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6C3F0094-D6DF-4276-AAA3-E2D74FA51B6F}" xr6:coauthVersionLast="37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ДЦ" sheetId="9" state="hidden" r:id="rId1"/>
    <sheet name="кошторис" sheetId="18" r:id="rId2"/>
  </sheets>
  <definedNames>
    <definedName name="_xlnm._FilterDatabase" localSheetId="0" hidden="1">ДЦ!$A$13:$M$488</definedName>
    <definedName name="_xlnm._FilterDatabase" localSheetId="1" hidden="1">кошторис!$A$14:$L$767</definedName>
    <definedName name="_xlnm.Print_Area" localSheetId="0">ДЦ!$A$1:$L$500</definedName>
    <definedName name="_xlnm.Print_Area" localSheetId="1">кошторис!$A$1:$L$771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8" l="1"/>
  <c r="A234" i="18" l="1"/>
  <c r="A236" i="18" s="1"/>
  <c r="F767" i="18"/>
  <c r="L766" i="18"/>
  <c r="L765" i="18"/>
  <c r="L764" i="18"/>
  <c r="F764" i="18"/>
  <c r="L763" i="18"/>
  <c r="L762" i="18"/>
  <c r="L761" i="18"/>
  <c r="L760" i="18"/>
  <c r="L759" i="18"/>
  <c r="F759" i="18"/>
  <c r="L758" i="18"/>
  <c r="L757" i="18"/>
  <c r="L756" i="18"/>
  <c r="J755" i="18"/>
  <c r="L755" i="18" s="1"/>
  <c r="F755" i="18"/>
  <c r="L754" i="18"/>
  <c r="L753" i="18"/>
  <c r="L752" i="18"/>
  <c r="L751" i="18"/>
  <c r="F751" i="18"/>
  <c r="J750" i="18"/>
  <c r="L750" i="18" s="1"/>
  <c r="F750" i="18"/>
  <c r="J749" i="18"/>
  <c r="L749" i="18" s="1"/>
  <c r="J748" i="18"/>
  <c r="L748" i="18" s="1"/>
  <c r="D748" i="18"/>
  <c r="F748" i="18" s="1"/>
  <c r="L747" i="18"/>
  <c r="L746" i="18"/>
  <c r="L745" i="18"/>
  <c r="L744" i="18"/>
  <c r="L743" i="18"/>
  <c r="L742" i="18"/>
  <c r="L741" i="18"/>
  <c r="L740" i="18"/>
  <c r="L739" i="18"/>
  <c r="L738" i="18"/>
  <c r="L737" i="18"/>
  <c r="F737" i="18"/>
  <c r="L736" i="18"/>
  <c r="L735" i="18"/>
  <c r="L734" i="18"/>
  <c r="L733" i="18"/>
  <c r="L732" i="18"/>
  <c r="L731" i="18"/>
  <c r="F731" i="18"/>
  <c r="L729" i="18"/>
  <c r="L728" i="18"/>
  <c r="L727" i="18"/>
  <c r="D727" i="18"/>
  <c r="F727" i="18" s="1"/>
  <c r="J726" i="18"/>
  <c r="L726" i="18" s="1"/>
  <c r="F726" i="18"/>
  <c r="L725" i="18"/>
  <c r="L724" i="18"/>
  <c r="F724" i="18"/>
  <c r="J723" i="18"/>
  <c r="L723" i="18" s="1"/>
  <c r="F723" i="18"/>
  <c r="J721" i="18"/>
  <c r="F721" i="18"/>
  <c r="J720" i="18"/>
  <c r="J719" i="18"/>
  <c r="F719" i="18"/>
  <c r="J718" i="18"/>
  <c r="J717" i="18"/>
  <c r="J716" i="18"/>
  <c r="J715" i="18"/>
  <c r="J714" i="18"/>
  <c r="F714" i="18"/>
  <c r="J713" i="18"/>
  <c r="L713" i="18" s="1"/>
  <c r="J712" i="18"/>
  <c r="L712" i="18" s="1"/>
  <c r="J711" i="18"/>
  <c r="L711" i="18" s="1"/>
  <c r="J710" i="18"/>
  <c r="L710" i="18" s="1"/>
  <c r="J709" i="18"/>
  <c r="J708" i="18"/>
  <c r="J707" i="18"/>
  <c r="F707" i="18"/>
  <c r="J706" i="18"/>
  <c r="J705" i="18"/>
  <c r="J704" i="18"/>
  <c r="F704" i="18"/>
  <c r="D701" i="18"/>
  <c r="F701" i="18" s="1"/>
  <c r="J700" i="18"/>
  <c r="L700" i="18" s="1"/>
  <c r="J699" i="18"/>
  <c r="L699" i="18" s="1"/>
  <c r="J698" i="18"/>
  <c r="L698" i="18" s="1"/>
  <c r="J697" i="18"/>
  <c r="L697" i="18" s="1"/>
  <c r="F697" i="18"/>
  <c r="J696" i="18"/>
  <c r="L696" i="18" s="1"/>
  <c r="J695" i="18"/>
  <c r="L695" i="18" s="1"/>
  <c r="F695" i="18"/>
  <c r="F694" i="18"/>
  <c r="J687" i="18"/>
  <c r="L687" i="18" s="1"/>
  <c r="J686" i="18"/>
  <c r="L686" i="18" s="1"/>
  <c r="F686" i="18"/>
  <c r="J646" i="18"/>
  <c r="L646" i="18" s="1"/>
  <c r="J645" i="18"/>
  <c r="L645" i="18" s="1"/>
  <c r="F645" i="18"/>
  <c r="J630" i="18"/>
  <c r="L630" i="18" s="1"/>
  <c r="J629" i="18"/>
  <c r="L629" i="18" s="1"/>
  <c r="F629" i="18"/>
  <c r="J626" i="18"/>
  <c r="L626" i="18" s="1"/>
  <c r="D626" i="18"/>
  <c r="J627" i="18" s="1"/>
  <c r="L627" i="18" s="1"/>
  <c r="D624" i="18"/>
  <c r="J625" i="18" s="1"/>
  <c r="L625" i="18" s="1"/>
  <c r="D623" i="18"/>
  <c r="J623" i="18" s="1"/>
  <c r="L623" i="18" s="1"/>
  <c r="F622" i="18"/>
  <c r="F621" i="18"/>
  <c r="J618" i="18"/>
  <c r="L618" i="18" s="1"/>
  <c r="J617" i="18"/>
  <c r="L617" i="18" s="1"/>
  <c r="F617" i="18"/>
  <c r="J283" i="18"/>
  <c r="L283" i="18" s="1"/>
  <c r="J282" i="18"/>
  <c r="L282" i="18" s="1"/>
  <c r="F282" i="18"/>
  <c r="J187" i="18"/>
  <c r="L187" i="18" s="1"/>
  <c r="J186" i="18"/>
  <c r="L186" i="18" s="1"/>
  <c r="F186" i="18"/>
  <c r="J130" i="18"/>
  <c r="L130" i="18" s="1"/>
  <c r="F130" i="18"/>
  <c r="J642" i="18"/>
  <c r="L642" i="18" s="1"/>
  <c r="D642" i="18"/>
  <c r="J643" i="18" s="1"/>
  <c r="L643" i="18" s="1"/>
  <c r="D639" i="18"/>
  <c r="F639" i="18" s="1"/>
  <c r="F638" i="18"/>
  <c r="D640" i="18"/>
  <c r="J159" i="18"/>
  <c r="L159" i="18" s="1"/>
  <c r="J158" i="18"/>
  <c r="L158" i="18" s="1"/>
  <c r="F158" i="18"/>
  <c r="J183" i="18"/>
  <c r="L183" i="18" s="1"/>
  <c r="F183" i="18"/>
  <c r="D171" i="18"/>
  <c r="F171" i="18" s="1"/>
  <c r="J168" i="18"/>
  <c r="L168" i="18" s="1"/>
  <c r="D168" i="18"/>
  <c r="J169" i="18" s="1"/>
  <c r="L169" i="18" s="1"/>
  <c r="F164" i="18"/>
  <c r="D163" i="18"/>
  <c r="D165" i="18" s="1"/>
  <c r="F165" i="18" s="1"/>
  <c r="D143" i="18"/>
  <c r="J144" i="18" s="1"/>
  <c r="L144" i="18" s="1"/>
  <c r="J156" i="18"/>
  <c r="L156" i="18" s="1"/>
  <c r="D150" i="18"/>
  <c r="F150" i="18" s="1"/>
  <c r="J181" i="18"/>
  <c r="L181" i="18" s="1"/>
  <c r="J180" i="18"/>
  <c r="L180" i="18" s="1"/>
  <c r="F180" i="18"/>
  <c r="F176" i="18"/>
  <c r="D175" i="18"/>
  <c r="D178" i="18" s="1"/>
  <c r="J155" i="18"/>
  <c r="L155" i="18" s="1"/>
  <c r="F151" i="18"/>
  <c r="D146" i="18"/>
  <c r="F146" i="18" s="1"/>
  <c r="J143" i="18"/>
  <c r="L143" i="18" s="1"/>
  <c r="F139" i="18"/>
  <c r="D138" i="18"/>
  <c r="D140" i="18" s="1"/>
  <c r="F140" i="18" s="1"/>
  <c r="F692" i="18"/>
  <c r="F691" i="18"/>
  <c r="F690" i="18"/>
  <c r="F688" i="18"/>
  <c r="D681" i="18"/>
  <c r="F681" i="18" s="1"/>
  <c r="D677" i="18"/>
  <c r="J680" i="18" s="1"/>
  <c r="L680" i="18" s="1"/>
  <c r="J670" i="18"/>
  <c r="L670" i="18" s="1"/>
  <c r="F670" i="18"/>
  <c r="I669" i="18"/>
  <c r="I668" i="18"/>
  <c r="I667" i="18"/>
  <c r="I666" i="18"/>
  <c r="I664" i="18"/>
  <c r="I659" i="18"/>
  <c r="D659" i="18"/>
  <c r="D671" i="18" s="1"/>
  <c r="J671" i="18" s="1"/>
  <c r="L671" i="18" s="1"/>
  <c r="D654" i="18"/>
  <c r="J657" i="18" s="1"/>
  <c r="L657" i="18" s="1"/>
  <c r="D652" i="18"/>
  <c r="J652" i="18" s="1"/>
  <c r="L652" i="18" s="1"/>
  <c r="D651" i="18"/>
  <c r="F651" i="18" s="1"/>
  <c r="D650" i="18"/>
  <c r="F650" i="18" s="1"/>
  <c r="F649" i="18"/>
  <c r="D633" i="18"/>
  <c r="J634" i="18" s="1"/>
  <c r="L634" i="18" s="1"/>
  <c r="J615" i="18"/>
  <c r="L615" i="18" s="1"/>
  <c r="F615" i="18"/>
  <c r="I608" i="18"/>
  <c r="I607" i="18"/>
  <c r="I606" i="18"/>
  <c r="I605" i="18"/>
  <c r="I603" i="18"/>
  <c r="I598" i="18"/>
  <c r="D598" i="18"/>
  <c r="J597" i="18"/>
  <c r="L597" i="18" s="1"/>
  <c r="F597" i="18"/>
  <c r="J596" i="18"/>
  <c r="L596" i="18" s="1"/>
  <c r="J595" i="18"/>
  <c r="L595" i="18" s="1"/>
  <c r="F595" i="18"/>
  <c r="D587" i="18"/>
  <c r="J588" i="18" s="1"/>
  <c r="L588" i="18" s="1"/>
  <c r="D586" i="18"/>
  <c r="F586" i="18" s="1"/>
  <c r="D581" i="18"/>
  <c r="J582" i="18" s="1"/>
  <c r="L582" i="18" s="1"/>
  <c r="J578" i="18"/>
  <c r="L578" i="18" s="1"/>
  <c r="J577" i="18"/>
  <c r="L577" i="18" s="1"/>
  <c r="L576" i="18"/>
  <c r="J575" i="18"/>
  <c r="L575" i="18" s="1"/>
  <c r="J574" i="18"/>
  <c r="L574" i="18" s="1"/>
  <c r="J573" i="18"/>
  <c r="J572" i="18"/>
  <c r="L572" i="18" s="1"/>
  <c r="J571" i="18"/>
  <c r="L571" i="18" s="1"/>
  <c r="J570" i="18"/>
  <c r="L570" i="18" s="1"/>
  <c r="J569" i="18"/>
  <c r="L569" i="18" s="1"/>
  <c r="J568" i="18"/>
  <c r="L568" i="18" s="1"/>
  <c r="F567" i="18"/>
  <c r="D563" i="18"/>
  <c r="J566" i="18" s="1"/>
  <c r="L566" i="18" s="1"/>
  <c r="D559" i="18"/>
  <c r="J562" i="18" s="1"/>
  <c r="L562" i="18" s="1"/>
  <c r="A563" i="18"/>
  <c r="I552" i="18"/>
  <c r="I551" i="18"/>
  <c r="I550" i="18"/>
  <c r="I549" i="18"/>
  <c r="I547" i="18"/>
  <c r="I542" i="18"/>
  <c r="D542" i="18"/>
  <c r="J545" i="18" s="1"/>
  <c r="D541" i="18"/>
  <c r="F541" i="18" s="1"/>
  <c r="D536" i="18"/>
  <c r="J539" i="18" s="1"/>
  <c r="L539" i="18" s="1"/>
  <c r="J534" i="18"/>
  <c r="L534" i="18" s="1"/>
  <c r="D534" i="18"/>
  <c r="J535" i="18" s="1"/>
  <c r="L535" i="18" s="1"/>
  <c r="J531" i="18"/>
  <c r="L531" i="18" s="1"/>
  <c r="J530" i="18"/>
  <c r="L530" i="18" s="1"/>
  <c r="F530" i="18"/>
  <c r="J528" i="18"/>
  <c r="L528" i="18" s="1"/>
  <c r="D528" i="18"/>
  <c r="J529" i="18" s="1"/>
  <c r="L529" i="18" s="1"/>
  <c r="D524" i="18"/>
  <c r="F524" i="18" s="1"/>
  <c r="D523" i="18"/>
  <c r="D525" i="18" s="1"/>
  <c r="F525" i="18" s="1"/>
  <c r="F521" i="18"/>
  <c r="J519" i="18"/>
  <c r="L519" i="18" s="1"/>
  <c r="J518" i="18"/>
  <c r="L518" i="18" s="1"/>
  <c r="L517" i="18"/>
  <c r="J516" i="18"/>
  <c r="L516" i="18" s="1"/>
  <c r="J515" i="18"/>
  <c r="L515" i="18" s="1"/>
  <c r="J514" i="18"/>
  <c r="J513" i="18"/>
  <c r="L513" i="18" s="1"/>
  <c r="J512" i="18"/>
  <c r="L512" i="18" s="1"/>
  <c r="J511" i="18"/>
  <c r="L511" i="18" s="1"/>
  <c r="J510" i="18"/>
  <c r="L510" i="18" s="1"/>
  <c r="J509" i="18"/>
  <c r="L509" i="18" s="1"/>
  <c r="F508" i="18"/>
  <c r="D504" i="18"/>
  <c r="J507" i="18" s="1"/>
  <c r="L507" i="18" s="1"/>
  <c r="D500" i="18"/>
  <c r="J503" i="18" s="1"/>
  <c r="L503" i="18" s="1"/>
  <c r="A504" i="18"/>
  <c r="I493" i="18"/>
  <c r="I492" i="18"/>
  <c r="I491" i="18"/>
  <c r="I490" i="18"/>
  <c r="I488" i="18"/>
  <c r="I483" i="18"/>
  <c r="D483" i="18"/>
  <c r="J485" i="18" s="1"/>
  <c r="L485" i="18" s="1"/>
  <c r="D482" i="18"/>
  <c r="F482" i="18" s="1"/>
  <c r="D477" i="18"/>
  <c r="J478" i="18" s="1"/>
  <c r="L478" i="18" s="1"/>
  <c r="J475" i="18"/>
  <c r="L475" i="18" s="1"/>
  <c r="D475" i="18"/>
  <c r="J476" i="18" s="1"/>
  <c r="L476" i="18" s="1"/>
  <c r="J472" i="18"/>
  <c r="L472" i="18" s="1"/>
  <c r="J471" i="18"/>
  <c r="L471" i="18" s="1"/>
  <c r="F471" i="18"/>
  <c r="J469" i="18"/>
  <c r="L469" i="18" s="1"/>
  <c r="D469" i="18"/>
  <c r="J470" i="18" s="1"/>
  <c r="L470" i="18" s="1"/>
  <c r="D465" i="18"/>
  <c r="F465" i="18" s="1"/>
  <c r="D464" i="18"/>
  <c r="D466" i="18" s="1"/>
  <c r="F466" i="18" s="1"/>
  <c r="F462" i="18"/>
  <c r="J460" i="18"/>
  <c r="L460" i="18" s="1"/>
  <c r="J459" i="18"/>
  <c r="L459" i="18" s="1"/>
  <c r="L458" i="18"/>
  <c r="J457" i="18"/>
  <c r="L457" i="18" s="1"/>
  <c r="J456" i="18"/>
  <c r="L456" i="18" s="1"/>
  <c r="J455" i="18"/>
  <c r="J454" i="18"/>
  <c r="L454" i="18" s="1"/>
  <c r="J453" i="18"/>
  <c r="L453" i="18" s="1"/>
  <c r="J452" i="18"/>
  <c r="L452" i="18" s="1"/>
  <c r="J451" i="18"/>
  <c r="L451" i="18" s="1"/>
  <c r="J450" i="18"/>
  <c r="L450" i="18" s="1"/>
  <c r="F449" i="18"/>
  <c r="D445" i="18"/>
  <c r="J446" i="18" s="1"/>
  <c r="L446" i="18" s="1"/>
  <c r="D441" i="18"/>
  <c r="A445" i="18"/>
  <c r="I434" i="18"/>
  <c r="I433" i="18"/>
  <c r="I432" i="18"/>
  <c r="I431" i="18"/>
  <c r="I429" i="18"/>
  <c r="I424" i="18"/>
  <c r="D424" i="18"/>
  <c r="D423" i="18"/>
  <c r="F423" i="18" s="1"/>
  <c r="D418" i="18"/>
  <c r="J419" i="18" s="1"/>
  <c r="L419" i="18" s="1"/>
  <c r="J416" i="18"/>
  <c r="L416" i="18" s="1"/>
  <c r="D416" i="18"/>
  <c r="J417" i="18" s="1"/>
  <c r="L417" i="18" s="1"/>
  <c r="J413" i="18"/>
  <c r="L413" i="18" s="1"/>
  <c r="J412" i="18"/>
  <c r="L412" i="18" s="1"/>
  <c r="F412" i="18"/>
  <c r="J410" i="18"/>
  <c r="L410" i="18" s="1"/>
  <c r="D410" i="18"/>
  <c r="F410" i="18" s="1"/>
  <c r="D406" i="18"/>
  <c r="F406" i="18" s="1"/>
  <c r="D405" i="18"/>
  <c r="D407" i="18" s="1"/>
  <c r="F407" i="18" s="1"/>
  <c r="F403" i="18"/>
  <c r="J401" i="18"/>
  <c r="L401" i="18" s="1"/>
  <c r="J400" i="18"/>
  <c r="L400" i="18" s="1"/>
  <c r="L399" i="18"/>
  <c r="J398" i="18"/>
  <c r="L398" i="18" s="1"/>
  <c r="J397" i="18"/>
  <c r="L397" i="18" s="1"/>
  <c r="J396" i="18"/>
  <c r="J395" i="18"/>
  <c r="L395" i="18" s="1"/>
  <c r="J394" i="18"/>
  <c r="L394" i="18" s="1"/>
  <c r="J393" i="18"/>
  <c r="L393" i="18" s="1"/>
  <c r="J392" i="18"/>
  <c r="L392" i="18" s="1"/>
  <c r="J391" i="18"/>
  <c r="L391" i="18" s="1"/>
  <c r="F390" i="18"/>
  <c r="D386" i="18"/>
  <c r="J389" i="18" s="1"/>
  <c r="L389" i="18" s="1"/>
  <c r="D382" i="18"/>
  <c r="J385" i="18" s="1"/>
  <c r="L385" i="18" s="1"/>
  <c r="A386" i="18"/>
  <c r="I375" i="18"/>
  <c r="I374" i="18"/>
  <c r="I373" i="18"/>
  <c r="I372" i="18"/>
  <c r="I370" i="18"/>
  <c r="I365" i="18"/>
  <c r="D365" i="18"/>
  <c r="D364" i="18"/>
  <c r="F364" i="18" s="1"/>
  <c r="D359" i="18"/>
  <c r="J362" i="18" s="1"/>
  <c r="L362" i="18" s="1"/>
  <c r="J357" i="18"/>
  <c r="L357" i="18" s="1"/>
  <c r="D357" i="18"/>
  <c r="F357" i="18" s="1"/>
  <c r="J354" i="18"/>
  <c r="L354" i="18" s="1"/>
  <c r="J353" i="18"/>
  <c r="L353" i="18" s="1"/>
  <c r="F353" i="18"/>
  <c r="J351" i="18"/>
  <c r="L351" i="18" s="1"/>
  <c r="D351" i="18"/>
  <c r="J352" i="18" s="1"/>
  <c r="L352" i="18" s="1"/>
  <c r="D347" i="18"/>
  <c r="F347" i="18" s="1"/>
  <c r="D346" i="18"/>
  <c r="D348" i="18" s="1"/>
  <c r="F348" i="18" s="1"/>
  <c r="F344" i="18"/>
  <c r="J342" i="18"/>
  <c r="L342" i="18" s="1"/>
  <c r="J341" i="18"/>
  <c r="L341" i="18" s="1"/>
  <c r="L340" i="18"/>
  <c r="J339" i="18"/>
  <c r="L339" i="18" s="1"/>
  <c r="J338" i="18"/>
  <c r="L338" i="18" s="1"/>
  <c r="J337" i="18"/>
  <c r="J336" i="18"/>
  <c r="L336" i="18" s="1"/>
  <c r="J335" i="18"/>
  <c r="L335" i="18" s="1"/>
  <c r="J334" i="18"/>
  <c r="L334" i="18" s="1"/>
  <c r="J333" i="18"/>
  <c r="L333" i="18" s="1"/>
  <c r="J332" i="18"/>
  <c r="L332" i="18" s="1"/>
  <c r="F331" i="18"/>
  <c r="D327" i="18"/>
  <c r="D323" i="18"/>
  <c r="A327" i="18"/>
  <c r="I316" i="18"/>
  <c r="I315" i="18"/>
  <c r="I314" i="18"/>
  <c r="I313" i="18"/>
  <c r="I311" i="18"/>
  <c r="I306" i="18"/>
  <c r="D306" i="18"/>
  <c r="D305" i="18"/>
  <c r="F305" i="18" s="1"/>
  <c r="D300" i="18"/>
  <c r="J301" i="18" s="1"/>
  <c r="L301" i="18" s="1"/>
  <c r="J298" i="18"/>
  <c r="L298" i="18" s="1"/>
  <c r="D298" i="18"/>
  <c r="J299" i="18" s="1"/>
  <c r="L299" i="18" s="1"/>
  <c r="J295" i="18"/>
  <c r="L295" i="18" s="1"/>
  <c r="J294" i="18"/>
  <c r="L294" i="18" s="1"/>
  <c r="F294" i="18"/>
  <c r="J292" i="18"/>
  <c r="L292" i="18" s="1"/>
  <c r="D292" i="18"/>
  <c r="D288" i="18"/>
  <c r="F288" i="18" s="1"/>
  <c r="D287" i="18"/>
  <c r="F287" i="18" s="1"/>
  <c r="F285" i="18"/>
  <c r="J280" i="18"/>
  <c r="L280" i="18" s="1"/>
  <c r="J279" i="18"/>
  <c r="L279" i="18" s="1"/>
  <c r="L278" i="18"/>
  <c r="J277" i="18"/>
  <c r="L277" i="18" s="1"/>
  <c r="J276" i="18"/>
  <c r="L276" i="18" s="1"/>
  <c r="J275" i="18"/>
  <c r="J274" i="18"/>
  <c r="L274" i="18" s="1"/>
  <c r="J273" i="18"/>
  <c r="L273" i="18" s="1"/>
  <c r="J272" i="18"/>
  <c r="L272" i="18" s="1"/>
  <c r="J271" i="18"/>
  <c r="L271" i="18" s="1"/>
  <c r="J270" i="18"/>
  <c r="L270" i="18" s="1"/>
  <c r="F269" i="18"/>
  <c r="F268" i="18"/>
  <c r="D263" i="18"/>
  <c r="J266" i="18" s="1"/>
  <c r="L266" i="18" s="1"/>
  <c r="D259" i="18"/>
  <c r="J261" i="18" s="1"/>
  <c r="L261" i="18" s="1"/>
  <c r="A263" i="18"/>
  <c r="D253" i="18"/>
  <c r="J256" i="18" s="1"/>
  <c r="L256" i="18" s="1"/>
  <c r="I252" i="18"/>
  <c r="J252" i="18" s="1"/>
  <c r="L252" i="18" s="1"/>
  <c r="I251" i="18"/>
  <c r="J251" i="18" s="1"/>
  <c r="L251" i="18" s="1"/>
  <c r="I250" i="18"/>
  <c r="J250" i="18" s="1"/>
  <c r="L250" i="18" s="1"/>
  <c r="I249" i="18"/>
  <c r="J249" i="18" s="1"/>
  <c r="L249" i="18" s="1"/>
  <c r="J248" i="18"/>
  <c r="L248" i="18" s="1"/>
  <c r="I247" i="18"/>
  <c r="J247" i="18" s="1"/>
  <c r="L247" i="18" s="1"/>
  <c r="J246" i="18"/>
  <c r="L246" i="18" s="1"/>
  <c r="J245" i="18"/>
  <c r="J244" i="18"/>
  <c r="L244" i="18" s="1"/>
  <c r="J243" i="18"/>
  <c r="L243" i="18" s="1"/>
  <c r="I242" i="18"/>
  <c r="J242" i="18" s="1"/>
  <c r="L242" i="18" s="1"/>
  <c r="F241" i="18"/>
  <c r="D236" i="18"/>
  <c r="J239" i="18" s="1"/>
  <c r="L239" i="18" s="1"/>
  <c r="J234" i="18"/>
  <c r="L234" i="18" s="1"/>
  <c r="D234" i="18"/>
  <c r="J235" i="18" s="1"/>
  <c r="L235" i="18" s="1"/>
  <c r="J231" i="18"/>
  <c r="L231" i="18" s="1"/>
  <c r="J230" i="18"/>
  <c r="L230" i="18" s="1"/>
  <c r="F230" i="18"/>
  <c r="J228" i="18"/>
  <c r="L228" i="18" s="1"/>
  <c r="D228" i="18"/>
  <c r="F228" i="18" s="1"/>
  <c r="D224" i="18"/>
  <c r="F224" i="18" s="1"/>
  <c r="D223" i="18"/>
  <c r="F223" i="18" s="1"/>
  <c r="F221" i="18"/>
  <c r="J219" i="18"/>
  <c r="L219" i="18" s="1"/>
  <c r="J218" i="18"/>
  <c r="L218" i="18" s="1"/>
  <c r="F218" i="18"/>
  <c r="J216" i="18"/>
  <c r="L216" i="18" s="1"/>
  <c r="D216" i="18"/>
  <c r="D212" i="18"/>
  <c r="F212" i="18" s="1"/>
  <c r="D211" i="18"/>
  <c r="F211" i="18" s="1"/>
  <c r="F209" i="18"/>
  <c r="J207" i="18"/>
  <c r="L207" i="18" s="1"/>
  <c r="J206" i="18"/>
  <c r="L206" i="18" s="1"/>
  <c r="J205" i="18"/>
  <c r="L205" i="18" s="1"/>
  <c r="J204" i="18"/>
  <c r="L204" i="18" s="1"/>
  <c r="F204" i="18"/>
  <c r="F203" i="18"/>
  <c r="L202" i="18"/>
  <c r="D202" i="18"/>
  <c r="F202" i="18" s="1"/>
  <c r="D201" i="18"/>
  <c r="F201" i="18" s="1"/>
  <c r="J199" i="18"/>
  <c r="L199" i="18" s="1"/>
  <c r="J198" i="18"/>
  <c r="L198" i="18" s="1"/>
  <c r="F198" i="18"/>
  <c r="L197" i="18"/>
  <c r="D197" i="18"/>
  <c r="F197" i="18" s="1"/>
  <c r="D196" i="18"/>
  <c r="F196" i="18" s="1"/>
  <c r="J194" i="18"/>
  <c r="L194" i="18" s="1"/>
  <c r="J193" i="18"/>
  <c r="L193" i="18" s="1"/>
  <c r="J192" i="18"/>
  <c r="L192" i="18" s="1"/>
  <c r="J191" i="18"/>
  <c r="L191" i="18" s="1"/>
  <c r="F191" i="18"/>
  <c r="D190" i="18"/>
  <c r="F190" i="18" s="1"/>
  <c r="L135" i="18"/>
  <c r="L134" i="18"/>
  <c r="D134" i="18"/>
  <c r="F134" i="18" s="1"/>
  <c r="D120" i="18"/>
  <c r="J121" i="18" s="1"/>
  <c r="L121" i="18" s="1"/>
  <c r="J119" i="18"/>
  <c r="L119" i="18" s="1"/>
  <c r="J118" i="18"/>
  <c r="L118" i="18" s="1"/>
  <c r="J117" i="18"/>
  <c r="L117" i="18" s="1"/>
  <c r="J116" i="18"/>
  <c r="L116" i="18" s="1"/>
  <c r="D116" i="18"/>
  <c r="F116" i="18" s="1"/>
  <c r="F115" i="18"/>
  <c r="D114" i="18"/>
  <c r="F114" i="18" s="1"/>
  <c r="J112" i="18"/>
  <c r="L112" i="18" s="1"/>
  <c r="J109" i="18"/>
  <c r="L109" i="18" s="1"/>
  <c r="D109" i="18"/>
  <c r="F109" i="18" s="1"/>
  <c r="F105" i="18"/>
  <c r="D104" i="18"/>
  <c r="D107" i="18" s="1"/>
  <c r="J101" i="18"/>
  <c r="L101" i="18" s="1"/>
  <c r="D101" i="18"/>
  <c r="J102" i="18" s="1"/>
  <c r="L102" i="18" s="1"/>
  <c r="D97" i="18"/>
  <c r="F97" i="18" s="1"/>
  <c r="D98" i="18"/>
  <c r="F98" i="18" s="1"/>
  <c r="J93" i="18"/>
  <c r="L93" i="18" s="1"/>
  <c r="J92" i="18"/>
  <c r="L92" i="18" s="1"/>
  <c r="J91" i="18"/>
  <c r="L91" i="18" s="1"/>
  <c r="J90" i="18"/>
  <c r="L90" i="18" s="1"/>
  <c r="F90" i="18"/>
  <c r="J88" i="18"/>
  <c r="L88" i="18" s="1"/>
  <c r="J87" i="18"/>
  <c r="L87" i="18" s="1"/>
  <c r="J86" i="18"/>
  <c r="L86" i="18" s="1"/>
  <c r="J85" i="18"/>
  <c r="L85" i="18" s="1"/>
  <c r="F85" i="18"/>
  <c r="J84" i="18"/>
  <c r="F84" i="18"/>
  <c r="J83" i="18"/>
  <c r="L83" i="18" s="1"/>
  <c r="F83" i="18"/>
  <c r="J81" i="18"/>
  <c r="L81" i="18" s="1"/>
  <c r="F81" i="18"/>
  <c r="F80" i="18"/>
  <c r="J77" i="18"/>
  <c r="L77" i="18" s="1"/>
  <c r="J76" i="18"/>
  <c r="L76" i="18" s="1"/>
  <c r="F76" i="18"/>
  <c r="J75" i="18"/>
  <c r="L75" i="18" s="1"/>
  <c r="J74" i="18"/>
  <c r="L74" i="18" s="1"/>
  <c r="F74" i="18"/>
  <c r="D69" i="18"/>
  <c r="F69" i="18" s="1"/>
  <c r="J68" i="18"/>
  <c r="J67" i="18"/>
  <c r="L67" i="18" s="1"/>
  <c r="J66" i="18"/>
  <c r="L66" i="18" s="1"/>
  <c r="F66" i="18"/>
  <c r="J65" i="18"/>
  <c r="L65" i="18" s="1"/>
  <c r="J64" i="18"/>
  <c r="L64" i="18" s="1"/>
  <c r="F64" i="18"/>
  <c r="F63" i="18"/>
  <c r="F62" i="18"/>
  <c r="J60" i="18"/>
  <c r="L60" i="18" s="1"/>
  <c r="J59" i="18"/>
  <c r="L59" i="18" s="1"/>
  <c r="F59" i="18"/>
  <c r="J58" i="18"/>
  <c r="L58" i="18" s="1"/>
  <c r="J57" i="18"/>
  <c r="L57" i="18" s="1"/>
  <c r="F57" i="18"/>
  <c r="D52" i="18"/>
  <c r="F52" i="18" s="1"/>
  <c r="J51" i="18"/>
  <c r="J50" i="18"/>
  <c r="L50" i="18" s="1"/>
  <c r="J49" i="18"/>
  <c r="L49" i="18" s="1"/>
  <c r="F49" i="18"/>
  <c r="J48" i="18"/>
  <c r="L48" i="18" s="1"/>
  <c r="J47" i="18"/>
  <c r="L47" i="18" s="1"/>
  <c r="F47" i="18"/>
  <c r="F46" i="18"/>
  <c r="F45" i="18"/>
  <c r="J43" i="18"/>
  <c r="L43" i="18" s="1"/>
  <c r="J42" i="18"/>
  <c r="L42" i="18" s="1"/>
  <c r="F42" i="18"/>
  <c r="D37" i="18"/>
  <c r="J36" i="18"/>
  <c r="J35" i="18"/>
  <c r="L35" i="18" s="1"/>
  <c r="J34" i="18"/>
  <c r="L34" i="18" s="1"/>
  <c r="F34" i="18"/>
  <c r="D32" i="18"/>
  <c r="J33" i="18" s="1"/>
  <c r="L33" i="18" s="1"/>
  <c r="I31" i="18"/>
  <c r="J31" i="18" s="1"/>
  <c r="L31" i="18" s="1"/>
  <c r="J30" i="18"/>
  <c r="L30" i="18" s="1"/>
  <c r="I29" i="18"/>
  <c r="J29" i="18" s="1"/>
  <c r="L29" i="18" s="1"/>
  <c r="I28" i="18"/>
  <c r="J28" i="18" s="1"/>
  <c r="L28" i="18" s="1"/>
  <c r="J27" i="18"/>
  <c r="L27" i="18" s="1"/>
  <c r="I26" i="18"/>
  <c r="J26" i="18" s="1"/>
  <c r="L26" i="18" s="1"/>
  <c r="J25" i="18"/>
  <c r="L25" i="18" s="1"/>
  <c r="J24" i="18"/>
  <c r="J23" i="18"/>
  <c r="L23" i="18" s="1"/>
  <c r="J22" i="18"/>
  <c r="L22" i="18" s="1"/>
  <c r="I21" i="18"/>
  <c r="J21" i="18" s="1"/>
  <c r="L21" i="18" s="1"/>
  <c r="J19" i="18"/>
  <c r="L19" i="18" s="1"/>
  <c r="J18" i="18"/>
  <c r="F18" i="18"/>
  <c r="F17" i="18"/>
  <c r="L715" i="18" l="1"/>
  <c r="L717" i="18"/>
  <c r="L714" i="18"/>
  <c r="L718" i="18"/>
  <c r="L721" i="18"/>
  <c r="L706" i="18"/>
  <c r="L709" i="18"/>
  <c r="L719" i="18"/>
  <c r="L704" i="18"/>
  <c r="L705" i="18"/>
  <c r="L707" i="18"/>
  <c r="J701" i="18"/>
  <c r="L701" i="18" s="1"/>
  <c r="L708" i="18"/>
  <c r="L716" i="18"/>
  <c r="L720" i="18"/>
  <c r="D730" i="18"/>
  <c r="J702" i="18"/>
  <c r="L702" i="18" s="1"/>
  <c r="F624" i="18"/>
  <c r="F623" i="18"/>
  <c r="J624" i="18"/>
  <c r="L624" i="18" s="1"/>
  <c r="F626" i="18"/>
  <c r="J131" i="18"/>
  <c r="L131" i="18" s="1"/>
  <c r="J466" i="18"/>
  <c r="L466" i="18" s="1"/>
  <c r="J140" i="18"/>
  <c r="L140" i="18" s="1"/>
  <c r="J165" i="18"/>
  <c r="L165" i="18" s="1"/>
  <c r="J525" i="18"/>
  <c r="L525" i="18" s="1"/>
  <c r="J348" i="18"/>
  <c r="L348" i="18" s="1"/>
  <c r="J639" i="18"/>
  <c r="L639" i="18" s="1"/>
  <c r="J98" i="18"/>
  <c r="L98" i="18" s="1"/>
  <c r="J407" i="18"/>
  <c r="L407" i="18" s="1"/>
  <c r="J651" i="18"/>
  <c r="L651" i="18" s="1"/>
  <c r="F640" i="18"/>
  <c r="J640" i="18"/>
  <c r="L640" i="18" s="1"/>
  <c r="J641" i="18"/>
  <c r="L641" i="18" s="1"/>
  <c r="F642" i="18"/>
  <c r="F637" i="18"/>
  <c r="J184" i="18"/>
  <c r="L184" i="18" s="1"/>
  <c r="J311" i="18"/>
  <c r="L311" i="18" s="1"/>
  <c r="J171" i="18"/>
  <c r="L171" i="18" s="1"/>
  <c r="F163" i="18"/>
  <c r="D166" i="18"/>
  <c r="J167" i="18" s="1"/>
  <c r="L167" i="18" s="1"/>
  <c r="J172" i="18"/>
  <c r="L172" i="18" s="1"/>
  <c r="F168" i="18"/>
  <c r="J308" i="18"/>
  <c r="L308" i="18" s="1"/>
  <c r="F382" i="18"/>
  <c r="J384" i="18"/>
  <c r="L384" i="18" s="1"/>
  <c r="F652" i="18"/>
  <c r="D153" i="18"/>
  <c r="L396" i="18"/>
  <c r="J434" i="18"/>
  <c r="L434" i="18" s="1"/>
  <c r="D177" i="18"/>
  <c r="J656" i="18"/>
  <c r="L656" i="18" s="1"/>
  <c r="D152" i="18"/>
  <c r="J179" i="18"/>
  <c r="L179" i="18" s="1"/>
  <c r="F178" i="18"/>
  <c r="J178" i="18"/>
  <c r="L178" i="18" s="1"/>
  <c r="F175" i="18"/>
  <c r="D435" i="18"/>
  <c r="J437" i="18" s="1"/>
  <c r="L437" i="18" s="1"/>
  <c r="L84" i="18"/>
  <c r="D99" i="18"/>
  <c r="J99" i="18" s="1"/>
  <c r="L99" i="18" s="1"/>
  <c r="J424" i="18"/>
  <c r="L424" i="18" s="1"/>
  <c r="F536" i="18"/>
  <c r="F563" i="18"/>
  <c r="F587" i="18"/>
  <c r="D494" i="18"/>
  <c r="J495" i="18" s="1"/>
  <c r="L495" i="18" s="1"/>
  <c r="J536" i="18"/>
  <c r="L536" i="18" s="1"/>
  <c r="J608" i="18"/>
  <c r="L608" i="18" s="1"/>
  <c r="J54" i="18"/>
  <c r="L54" i="18" s="1"/>
  <c r="F96" i="18"/>
  <c r="F101" i="18"/>
  <c r="F236" i="18"/>
  <c r="L455" i="18"/>
  <c r="F469" i="18"/>
  <c r="F475" i="18"/>
  <c r="F559" i="18"/>
  <c r="F654" i="18"/>
  <c r="D213" i="18"/>
  <c r="J316" i="18"/>
  <c r="L316" i="18" s="1"/>
  <c r="J310" i="18"/>
  <c r="L310" i="18" s="1"/>
  <c r="J314" i="18"/>
  <c r="L314" i="18" s="1"/>
  <c r="F671" i="18"/>
  <c r="J679" i="18"/>
  <c r="L679" i="18" s="1"/>
  <c r="F32" i="18"/>
  <c r="L36" i="18"/>
  <c r="L51" i="18"/>
  <c r="D111" i="18"/>
  <c r="F111" i="18" s="1"/>
  <c r="F234" i="18"/>
  <c r="F298" i="18"/>
  <c r="J426" i="18"/>
  <c r="L426" i="18" s="1"/>
  <c r="J432" i="18"/>
  <c r="L432" i="18" s="1"/>
  <c r="J491" i="18"/>
  <c r="L491" i="18" s="1"/>
  <c r="F523" i="18"/>
  <c r="F528" i="18"/>
  <c r="F534" i="18"/>
  <c r="J559" i="18"/>
  <c r="L559" i="18" s="1"/>
  <c r="L573" i="18"/>
  <c r="J653" i="18"/>
  <c r="L653" i="18" s="1"/>
  <c r="J654" i="18"/>
  <c r="L654" i="18" s="1"/>
  <c r="J664" i="18"/>
  <c r="L664" i="18" s="1"/>
  <c r="J238" i="18"/>
  <c r="L238" i="18" s="1"/>
  <c r="L245" i="18"/>
  <c r="L275" i="18"/>
  <c r="D296" i="18"/>
  <c r="J296" i="18" s="1"/>
  <c r="L296" i="18" s="1"/>
  <c r="D317" i="18"/>
  <c r="D321" i="18" s="1"/>
  <c r="J382" i="18"/>
  <c r="L382" i="18" s="1"/>
  <c r="J492" i="18"/>
  <c r="L492" i="18" s="1"/>
  <c r="D526" i="18"/>
  <c r="F526" i="18" s="1"/>
  <c r="F581" i="18"/>
  <c r="J663" i="18"/>
  <c r="L663" i="18" s="1"/>
  <c r="J667" i="18"/>
  <c r="L667" i="18" s="1"/>
  <c r="J674" i="18"/>
  <c r="L674" i="18" s="1"/>
  <c r="F677" i="18"/>
  <c r="D232" i="18"/>
  <c r="J232" i="18" s="1"/>
  <c r="L232" i="18" s="1"/>
  <c r="J602" i="18"/>
  <c r="L602" i="18" s="1"/>
  <c r="L24" i="18"/>
  <c r="J70" i="18"/>
  <c r="L70" i="18" s="1"/>
  <c r="D106" i="18"/>
  <c r="J110" i="18"/>
  <c r="L110" i="18" s="1"/>
  <c r="J236" i="18"/>
  <c r="L236" i="18" s="1"/>
  <c r="D289" i="18"/>
  <c r="J306" i="18"/>
  <c r="L306" i="18" s="1"/>
  <c r="L337" i="18"/>
  <c r="F346" i="18"/>
  <c r="F351" i="18"/>
  <c r="F359" i="18"/>
  <c r="F386" i="18"/>
  <c r="F416" i="18"/>
  <c r="J429" i="18"/>
  <c r="L429" i="18" s="1"/>
  <c r="F464" i="18"/>
  <c r="J483" i="18"/>
  <c r="L483" i="18" s="1"/>
  <c r="J487" i="18"/>
  <c r="L487" i="18" s="1"/>
  <c r="J490" i="18"/>
  <c r="L490" i="18" s="1"/>
  <c r="L514" i="18"/>
  <c r="J538" i="18"/>
  <c r="L538" i="18" s="1"/>
  <c r="J561" i="18"/>
  <c r="L561" i="18" s="1"/>
  <c r="J563" i="18"/>
  <c r="L563" i="18" s="1"/>
  <c r="J581" i="18"/>
  <c r="L581" i="18" s="1"/>
  <c r="J587" i="18"/>
  <c r="L587" i="18" s="1"/>
  <c r="D590" i="18"/>
  <c r="D593" i="18" s="1"/>
  <c r="J661" i="18"/>
  <c r="L661" i="18" s="1"/>
  <c r="J666" i="18"/>
  <c r="L666" i="18" s="1"/>
  <c r="J677" i="18"/>
  <c r="L677" i="18" s="1"/>
  <c r="J681" i="18"/>
  <c r="L681" i="18" s="1"/>
  <c r="F138" i="18"/>
  <c r="J71" i="18"/>
  <c r="L71" i="18" s="1"/>
  <c r="J359" i="18"/>
  <c r="L359" i="18" s="1"/>
  <c r="J386" i="18"/>
  <c r="L386" i="18" s="1"/>
  <c r="J565" i="18"/>
  <c r="L565" i="18" s="1"/>
  <c r="J599" i="18"/>
  <c r="L599" i="18" s="1"/>
  <c r="J683" i="18"/>
  <c r="L683" i="18" s="1"/>
  <c r="D467" i="18"/>
  <c r="J468" i="18" s="1"/>
  <c r="L468" i="18" s="1"/>
  <c r="D141" i="18"/>
  <c r="J142" i="18" s="1"/>
  <c r="L142" i="18" s="1"/>
  <c r="J32" i="18"/>
  <c r="L32" i="18" s="1"/>
  <c r="L68" i="18"/>
  <c r="J313" i="18"/>
  <c r="L313" i="18" s="1"/>
  <c r="J315" i="18"/>
  <c r="L315" i="18" s="1"/>
  <c r="D349" i="18"/>
  <c r="F349" i="18" s="1"/>
  <c r="J361" i="18"/>
  <c r="L361" i="18" s="1"/>
  <c r="J388" i="18"/>
  <c r="L388" i="18" s="1"/>
  <c r="J411" i="18"/>
  <c r="L411" i="18" s="1"/>
  <c r="J428" i="18"/>
  <c r="L428" i="18" s="1"/>
  <c r="J431" i="18"/>
  <c r="L431" i="18" s="1"/>
  <c r="J433" i="18"/>
  <c r="L433" i="18" s="1"/>
  <c r="J488" i="18"/>
  <c r="L488" i="18" s="1"/>
  <c r="J589" i="18"/>
  <c r="L589" i="18" s="1"/>
  <c r="J659" i="18"/>
  <c r="L659" i="18" s="1"/>
  <c r="F155" i="18"/>
  <c r="J146" i="18"/>
  <c r="L146" i="18" s="1"/>
  <c r="J147" i="18"/>
  <c r="L147" i="18" s="1"/>
  <c r="F143" i="18"/>
  <c r="F107" i="18"/>
  <c r="J108" i="18"/>
  <c r="L108" i="18" s="1"/>
  <c r="J107" i="18"/>
  <c r="L107" i="18" s="1"/>
  <c r="D40" i="18"/>
  <c r="J38" i="18"/>
  <c r="L38" i="18" s="1"/>
  <c r="F37" i="18"/>
  <c r="J122" i="18"/>
  <c r="L122" i="18" s="1"/>
  <c r="J120" i="18"/>
  <c r="L120" i="18" s="1"/>
  <c r="J325" i="18"/>
  <c r="L325" i="18" s="1"/>
  <c r="J323" i="18"/>
  <c r="L323" i="18" s="1"/>
  <c r="F323" i="18"/>
  <c r="J324" i="18"/>
  <c r="L324" i="18" s="1"/>
  <c r="F120" i="18"/>
  <c r="D257" i="18"/>
  <c r="J255" i="18"/>
  <c r="L255" i="18" s="1"/>
  <c r="J253" i="18"/>
  <c r="L253" i="18" s="1"/>
  <c r="F253" i="18"/>
  <c r="J265" i="18"/>
  <c r="L265" i="18" s="1"/>
  <c r="J263" i="18"/>
  <c r="L263" i="18" s="1"/>
  <c r="F263" i="18"/>
  <c r="J326" i="18"/>
  <c r="L326" i="18" s="1"/>
  <c r="D226" i="18"/>
  <c r="J39" i="18"/>
  <c r="L39" i="18" s="1"/>
  <c r="D55" i="18"/>
  <c r="J53" i="18"/>
  <c r="L53" i="18" s="1"/>
  <c r="D72" i="18"/>
  <c r="F104" i="18"/>
  <c r="D123" i="18"/>
  <c r="D214" i="18"/>
  <c r="F216" i="18"/>
  <c r="J217" i="18"/>
  <c r="L217" i="18" s="1"/>
  <c r="J254" i="18"/>
  <c r="L254" i="18" s="1"/>
  <c r="J264" i="18"/>
  <c r="L264" i="18" s="1"/>
  <c r="F292" i="18"/>
  <c r="J293" i="18"/>
  <c r="L293" i="18" s="1"/>
  <c r="J260" i="18"/>
  <c r="L260" i="18" s="1"/>
  <c r="J262" i="18"/>
  <c r="L262" i="18" s="1"/>
  <c r="J329" i="18"/>
  <c r="L329" i="18" s="1"/>
  <c r="J327" i="18"/>
  <c r="L327" i="18" s="1"/>
  <c r="J330" i="18"/>
  <c r="L330" i="18" s="1"/>
  <c r="J372" i="18"/>
  <c r="L372" i="18" s="1"/>
  <c r="J369" i="18"/>
  <c r="L369" i="18" s="1"/>
  <c r="D376" i="18"/>
  <c r="J370" i="18"/>
  <c r="L370" i="18" s="1"/>
  <c r="J367" i="18"/>
  <c r="L367" i="18" s="1"/>
  <c r="J365" i="18"/>
  <c r="L365" i="18" s="1"/>
  <c r="J368" i="18"/>
  <c r="L368" i="18" s="1"/>
  <c r="J371" i="18"/>
  <c r="L371" i="18" s="1"/>
  <c r="J373" i="18"/>
  <c r="L373" i="18" s="1"/>
  <c r="J375" i="18"/>
  <c r="L375" i="18" s="1"/>
  <c r="J443" i="18"/>
  <c r="L443" i="18" s="1"/>
  <c r="J441" i="18"/>
  <c r="L441" i="18" s="1"/>
  <c r="F441" i="18"/>
  <c r="J444" i="18"/>
  <c r="L444" i="18" s="1"/>
  <c r="J549" i="18"/>
  <c r="L549" i="18" s="1"/>
  <c r="J546" i="18"/>
  <c r="L546" i="18" s="1"/>
  <c r="D553" i="18"/>
  <c r="J547" i="18"/>
  <c r="L547" i="18" s="1"/>
  <c r="J544" i="18"/>
  <c r="L544" i="18" s="1"/>
  <c r="J542" i="18"/>
  <c r="L542" i="18" s="1"/>
  <c r="J551" i="18"/>
  <c r="L551" i="18" s="1"/>
  <c r="J543" i="18"/>
  <c r="L543" i="18" s="1"/>
  <c r="J552" i="18"/>
  <c r="L552" i="18" s="1"/>
  <c r="D225" i="18"/>
  <c r="J229" i="18"/>
  <c r="L229" i="18" s="1"/>
  <c r="F259" i="18"/>
  <c r="J302" i="18"/>
  <c r="L302" i="18" s="1"/>
  <c r="J300" i="18"/>
  <c r="L300" i="18" s="1"/>
  <c r="F300" i="18"/>
  <c r="J303" i="18"/>
  <c r="L303" i="18" s="1"/>
  <c r="F327" i="18"/>
  <c r="J358" i="18"/>
  <c r="L358" i="18" s="1"/>
  <c r="D408" i="18"/>
  <c r="F405" i="18"/>
  <c r="D414" i="18"/>
  <c r="J447" i="18"/>
  <c r="L447" i="18" s="1"/>
  <c r="J445" i="18"/>
  <c r="L445" i="18" s="1"/>
  <c r="J448" i="18"/>
  <c r="L448" i="18" s="1"/>
  <c r="J506" i="18"/>
  <c r="L506" i="18" s="1"/>
  <c r="J504" i="18"/>
  <c r="L504" i="18" s="1"/>
  <c r="J505" i="18"/>
  <c r="L505" i="18" s="1"/>
  <c r="F504" i="18"/>
  <c r="J550" i="18"/>
  <c r="L550" i="18" s="1"/>
  <c r="J237" i="18"/>
  <c r="L237" i="18" s="1"/>
  <c r="J259" i="18"/>
  <c r="L259" i="18" s="1"/>
  <c r="D290" i="18"/>
  <c r="J328" i="18"/>
  <c r="L328" i="18" s="1"/>
  <c r="J366" i="18"/>
  <c r="L366" i="18" s="1"/>
  <c r="J374" i="18"/>
  <c r="L374" i="18" s="1"/>
  <c r="J420" i="18"/>
  <c r="L420" i="18" s="1"/>
  <c r="J418" i="18"/>
  <c r="L418" i="18" s="1"/>
  <c r="F418" i="18"/>
  <c r="J421" i="18"/>
  <c r="L421" i="18" s="1"/>
  <c r="J442" i="18"/>
  <c r="L442" i="18" s="1"/>
  <c r="F445" i="18"/>
  <c r="J502" i="18"/>
  <c r="L502" i="18" s="1"/>
  <c r="J500" i="18"/>
  <c r="L500" i="18" s="1"/>
  <c r="F500" i="18"/>
  <c r="J501" i="18"/>
  <c r="L501" i="18" s="1"/>
  <c r="J548" i="18"/>
  <c r="L548" i="18" s="1"/>
  <c r="D609" i="18"/>
  <c r="J606" i="18"/>
  <c r="L606" i="18" s="1"/>
  <c r="J603" i="18"/>
  <c r="L603" i="18" s="1"/>
  <c r="J600" i="18"/>
  <c r="L600" i="18" s="1"/>
  <c r="J598" i="18"/>
  <c r="L598" i="18" s="1"/>
  <c r="J607" i="18"/>
  <c r="L607" i="18" s="1"/>
  <c r="J605" i="18"/>
  <c r="L605" i="18" s="1"/>
  <c r="J601" i="18"/>
  <c r="L601" i="18" s="1"/>
  <c r="J604" i="18"/>
  <c r="L604" i="18" s="1"/>
  <c r="J307" i="18"/>
  <c r="L307" i="18" s="1"/>
  <c r="J309" i="18"/>
  <c r="L309" i="18" s="1"/>
  <c r="J312" i="18"/>
  <c r="L312" i="18" s="1"/>
  <c r="D355" i="18"/>
  <c r="J387" i="18"/>
  <c r="L387" i="18" s="1"/>
  <c r="J425" i="18"/>
  <c r="L425" i="18" s="1"/>
  <c r="J427" i="18"/>
  <c r="L427" i="18" s="1"/>
  <c r="J430" i="18"/>
  <c r="L430" i="18" s="1"/>
  <c r="D473" i="18"/>
  <c r="L545" i="18"/>
  <c r="J672" i="18"/>
  <c r="L672" i="18" s="1"/>
  <c r="J673" i="18"/>
  <c r="L673" i="18" s="1"/>
  <c r="J360" i="18"/>
  <c r="L360" i="18" s="1"/>
  <c r="J383" i="18"/>
  <c r="L383" i="18" s="1"/>
  <c r="J479" i="18"/>
  <c r="L479" i="18" s="1"/>
  <c r="J477" i="18"/>
  <c r="L477" i="18" s="1"/>
  <c r="F477" i="18"/>
  <c r="J480" i="18"/>
  <c r="L480" i="18" s="1"/>
  <c r="J633" i="18"/>
  <c r="L633" i="18" s="1"/>
  <c r="F633" i="18"/>
  <c r="D675" i="18"/>
  <c r="J484" i="18"/>
  <c r="L484" i="18" s="1"/>
  <c r="J486" i="18"/>
  <c r="L486" i="18" s="1"/>
  <c r="J489" i="18"/>
  <c r="L489" i="18" s="1"/>
  <c r="J493" i="18"/>
  <c r="L493" i="18" s="1"/>
  <c r="D532" i="18"/>
  <c r="J564" i="18"/>
  <c r="L564" i="18" s="1"/>
  <c r="J660" i="18"/>
  <c r="L660" i="18" s="1"/>
  <c r="J662" i="18"/>
  <c r="L662" i="18" s="1"/>
  <c r="J665" i="18"/>
  <c r="L665" i="18" s="1"/>
  <c r="J669" i="18"/>
  <c r="L669" i="18" s="1"/>
  <c r="J682" i="18"/>
  <c r="L682" i="18" s="1"/>
  <c r="J684" i="18"/>
  <c r="L684" i="18" s="1"/>
  <c r="J537" i="18"/>
  <c r="L537" i="18" s="1"/>
  <c r="J560" i="18"/>
  <c r="L560" i="18" s="1"/>
  <c r="J655" i="18"/>
  <c r="L655" i="18" s="1"/>
  <c r="J668" i="18"/>
  <c r="L668" i="18" s="1"/>
  <c r="J678" i="18"/>
  <c r="L678" i="18" s="1"/>
  <c r="J349" i="18" l="1"/>
  <c r="L349" i="18" s="1"/>
  <c r="F730" i="18"/>
  <c r="J730" i="18"/>
  <c r="L730" i="18" s="1"/>
  <c r="F106" i="18"/>
  <c r="J106" i="18"/>
  <c r="L106" i="18" s="1"/>
  <c r="F225" i="18"/>
  <c r="J225" i="18"/>
  <c r="L225" i="18" s="1"/>
  <c r="F289" i="18"/>
  <c r="J289" i="18"/>
  <c r="L289" i="18" s="1"/>
  <c r="F213" i="18"/>
  <c r="J213" i="18"/>
  <c r="L213" i="18" s="1"/>
  <c r="F152" i="18"/>
  <c r="J152" i="18"/>
  <c r="L152" i="18" s="1"/>
  <c r="F177" i="18"/>
  <c r="J177" i="18"/>
  <c r="L177" i="18" s="1"/>
  <c r="J320" i="18"/>
  <c r="L320" i="18" s="1"/>
  <c r="J233" i="18"/>
  <c r="L233" i="18" s="1"/>
  <c r="J166" i="18"/>
  <c r="L166" i="18" s="1"/>
  <c r="F166" i="18"/>
  <c r="J496" i="18"/>
  <c r="L496" i="18" s="1"/>
  <c r="F467" i="18"/>
  <c r="F99" i="18"/>
  <c r="F296" i="18"/>
  <c r="J467" i="18"/>
  <c r="L467" i="18" s="1"/>
  <c r="J526" i="18"/>
  <c r="L526" i="18" s="1"/>
  <c r="J100" i="18"/>
  <c r="L100" i="18" s="1"/>
  <c r="J436" i="18"/>
  <c r="L436" i="18" s="1"/>
  <c r="F435" i="18"/>
  <c r="D439" i="18"/>
  <c r="F439" i="18" s="1"/>
  <c r="J111" i="18"/>
  <c r="L111" i="18" s="1"/>
  <c r="J435" i="18"/>
  <c r="L435" i="18" s="1"/>
  <c r="F232" i="18"/>
  <c r="J438" i="18"/>
  <c r="L438" i="18" s="1"/>
  <c r="D498" i="18"/>
  <c r="F498" i="18" s="1"/>
  <c r="J317" i="18"/>
  <c r="L317" i="18" s="1"/>
  <c r="J497" i="18"/>
  <c r="L497" i="18" s="1"/>
  <c r="J319" i="18"/>
  <c r="L319" i="18" s="1"/>
  <c r="J494" i="18"/>
  <c r="L494" i="18" s="1"/>
  <c r="F494" i="18"/>
  <c r="J297" i="18"/>
  <c r="L297" i="18" s="1"/>
  <c r="J527" i="18"/>
  <c r="L527" i="18" s="1"/>
  <c r="J350" i="18"/>
  <c r="L350" i="18" s="1"/>
  <c r="F317" i="18"/>
  <c r="J318" i="18"/>
  <c r="L318" i="18" s="1"/>
  <c r="F153" i="18"/>
  <c r="J153" i="18"/>
  <c r="L153" i="18" s="1"/>
  <c r="J592" i="18"/>
  <c r="L592" i="18" s="1"/>
  <c r="F590" i="18"/>
  <c r="J591" i="18"/>
  <c r="L591" i="18" s="1"/>
  <c r="F141" i="18"/>
  <c r="J141" i="18"/>
  <c r="L141" i="18" s="1"/>
  <c r="J154" i="18"/>
  <c r="L154" i="18" s="1"/>
  <c r="F355" i="18"/>
  <c r="J356" i="18"/>
  <c r="L356" i="18" s="1"/>
  <c r="J355" i="18"/>
  <c r="L355" i="18" s="1"/>
  <c r="J610" i="18"/>
  <c r="L610" i="18" s="1"/>
  <c r="J611" i="18"/>
  <c r="L611" i="18" s="1"/>
  <c r="J612" i="18"/>
  <c r="L612" i="18" s="1"/>
  <c r="J609" i="18"/>
  <c r="L609" i="18" s="1"/>
  <c r="D613" i="18"/>
  <c r="F609" i="18"/>
  <c r="J414" i="18"/>
  <c r="L414" i="18" s="1"/>
  <c r="F414" i="18"/>
  <c r="J415" i="18"/>
  <c r="L415" i="18" s="1"/>
  <c r="F376" i="18"/>
  <c r="J379" i="18"/>
  <c r="L379" i="18" s="1"/>
  <c r="J377" i="18"/>
  <c r="L377" i="18" s="1"/>
  <c r="D380" i="18"/>
  <c r="J376" i="18"/>
  <c r="L376" i="18" s="1"/>
  <c r="J378" i="18"/>
  <c r="L378" i="18" s="1"/>
  <c r="D127" i="18"/>
  <c r="J125" i="18"/>
  <c r="L125" i="18" s="1"/>
  <c r="J123" i="18"/>
  <c r="L123" i="18" s="1"/>
  <c r="J126" i="18"/>
  <c r="L126" i="18" s="1"/>
  <c r="F123" i="18"/>
  <c r="J124" i="18"/>
  <c r="L124" i="18" s="1"/>
  <c r="J226" i="18"/>
  <c r="L226" i="18" s="1"/>
  <c r="F226" i="18"/>
  <c r="J227" i="18"/>
  <c r="L227" i="18" s="1"/>
  <c r="J409" i="18"/>
  <c r="L409" i="18" s="1"/>
  <c r="J408" i="18"/>
  <c r="L408" i="18" s="1"/>
  <c r="F408" i="18"/>
  <c r="F473" i="18"/>
  <c r="J474" i="18"/>
  <c r="L474" i="18" s="1"/>
  <c r="J473" i="18"/>
  <c r="L473" i="18" s="1"/>
  <c r="F321" i="18"/>
  <c r="J322" i="18"/>
  <c r="L322" i="18" s="1"/>
  <c r="J321" i="18"/>
  <c r="L321" i="18" s="1"/>
  <c r="J215" i="18"/>
  <c r="L215" i="18" s="1"/>
  <c r="J214" i="18"/>
  <c r="L214" i="18" s="1"/>
  <c r="F214" i="18"/>
  <c r="F72" i="18"/>
  <c r="J73" i="18"/>
  <c r="L73" i="18" s="1"/>
  <c r="J72" i="18"/>
  <c r="L72" i="18" s="1"/>
  <c r="F532" i="18"/>
  <c r="J533" i="18"/>
  <c r="L533" i="18" s="1"/>
  <c r="J532" i="18"/>
  <c r="L532" i="18" s="1"/>
  <c r="J675" i="18"/>
  <c r="L675" i="18" s="1"/>
  <c r="J676" i="18"/>
  <c r="L676" i="18" s="1"/>
  <c r="F675" i="18"/>
  <c r="F593" i="18"/>
  <c r="J594" i="18"/>
  <c r="L594" i="18" s="1"/>
  <c r="J593" i="18"/>
  <c r="L593" i="18" s="1"/>
  <c r="J291" i="18"/>
  <c r="L291" i="18" s="1"/>
  <c r="J290" i="18"/>
  <c r="L290" i="18" s="1"/>
  <c r="F290" i="18"/>
  <c r="F553" i="18"/>
  <c r="J556" i="18"/>
  <c r="L556" i="18" s="1"/>
  <c r="J554" i="18"/>
  <c r="L554" i="18" s="1"/>
  <c r="D557" i="18"/>
  <c r="J553" i="18"/>
  <c r="L553" i="18" s="1"/>
  <c r="J555" i="18"/>
  <c r="L555" i="18" s="1"/>
  <c r="J56" i="18"/>
  <c r="L56" i="18" s="1"/>
  <c r="J55" i="18"/>
  <c r="L55" i="18" s="1"/>
  <c r="F55" i="18"/>
  <c r="F257" i="18"/>
  <c r="J258" i="18"/>
  <c r="L258" i="18" s="1"/>
  <c r="J257" i="18"/>
  <c r="L257" i="18" s="1"/>
  <c r="J41" i="18"/>
  <c r="L41" i="18" s="1"/>
  <c r="F40" i="18"/>
  <c r="J40" i="18"/>
  <c r="L40" i="18" s="1"/>
  <c r="J439" i="18" l="1"/>
  <c r="L439" i="18" s="1"/>
  <c r="J440" i="18"/>
  <c r="L440" i="18" s="1"/>
  <c r="J498" i="18"/>
  <c r="L498" i="18" s="1"/>
  <c r="J499" i="18"/>
  <c r="L499" i="18" s="1"/>
  <c r="J128" i="18"/>
  <c r="L128" i="18" s="1"/>
  <c r="F127" i="18"/>
  <c r="J127" i="18"/>
  <c r="L127" i="18" s="1"/>
  <c r="J557" i="18"/>
  <c r="L557" i="18" s="1"/>
  <c r="J558" i="18"/>
  <c r="L558" i="18" s="1"/>
  <c r="F557" i="18"/>
  <c r="J380" i="18"/>
  <c r="L380" i="18" s="1"/>
  <c r="J381" i="18"/>
  <c r="L381" i="18" s="1"/>
  <c r="F380" i="18"/>
  <c r="J613" i="18"/>
  <c r="L613" i="18" s="1"/>
  <c r="J614" i="18"/>
  <c r="L614" i="18" s="1"/>
  <c r="F613" i="18"/>
  <c r="I500" i="9" l="1"/>
  <c r="I496" i="9"/>
  <c r="K393" i="9" l="1"/>
  <c r="K389" i="9"/>
  <c r="K325" i="9"/>
  <c r="K321" i="9"/>
  <c r="K267" i="9"/>
  <c r="K263" i="9"/>
  <c r="K72" i="9"/>
  <c r="K68" i="9"/>
  <c r="K415" i="9"/>
  <c r="K289" i="9"/>
  <c r="K209" i="9"/>
  <c r="K480" i="9"/>
  <c r="K259" i="9"/>
  <c r="K255" i="9"/>
  <c r="K151" i="9"/>
  <c r="K143" i="9"/>
  <c r="K131" i="9"/>
  <c r="K115" i="9"/>
  <c r="K111" i="9"/>
  <c r="K482" i="9"/>
  <c r="K477" i="9"/>
  <c r="K473" i="9"/>
  <c r="K466" i="9"/>
  <c r="K462" i="9"/>
  <c r="K395" i="9"/>
  <c r="K391" i="9"/>
  <c r="K327" i="9"/>
  <c r="K323" i="9"/>
  <c r="K269" i="9"/>
  <c r="K265" i="9"/>
  <c r="K261" i="9"/>
  <c r="K257" i="9"/>
  <c r="K177" i="9"/>
  <c r="K173" i="9"/>
  <c r="K169" i="9"/>
  <c r="K165" i="9"/>
  <c r="K153" i="9"/>
  <c r="K145" i="9"/>
  <c r="K133" i="9"/>
  <c r="K121" i="9"/>
  <c r="K117" i="9"/>
  <c r="K113" i="9"/>
  <c r="K109" i="9"/>
  <c r="K74" i="9"/>
  <c r="K70" i="9"/>
  <c r="K481" i="9"/>
  <c r="K476" i="9"/>
  <c r="K472" i="9"/>
  <c r="K465" i="9"/>
  <c r="K461" i="9"/>
  <c r="K394" i="9"/>
  <c r="K390" i="9"/>
  <c r="K326" i="9"/>
  <c r="K322" i="9"/>
  <c r="K268" i="9"/>
  <c r="K264" i="9"/>
  <c r="K260" i="9"/>
  <c r="K256" i="9"/>
  <c r="K176" i="9"/>
  <c r="K172" i="9"/>
  <c r="K168" i="9"/>
  <c r="K164" i="9"/>
  <c r="K152" i="9"/>
  <c r="K144" i="9"/>
  <c r="K132" i="9"/>
  <c r="K120" i="9"/>
  <c r="K116" i="9"/>
  <c r="K112" i="9"/>
  <c r="K108" i="9"/>
  <c r="K73" i="9"/>
  <c r="K69" i="9"/>
  <c r="K36" i="9" l="1"/>
  <c r="K35" i="9"/>
  <c r="K20" i="9"/>
  <c r="K457" i="9" l="1"/>
  <c r="K384" i="9"/>
  <c r="K318" i="9"/>
  <c r="K251" i="9"/>
  <c r="K157" i="9"/>
  <c r="K62" i="9"/>
  <c r="M456" i="9" l="1"/>
  <c r="M383" i="9"/>
  <c r="M317" i="9"/>
  <c r="M250" i="9"/>
  <c r="M156" i="9"/>
  <c r="M61" i="9"/>
  <c r="K455" i="9"/>
  <c r="K382" i="9"/>
  <c r="K316" i="9"/>
  <c r="K248" i="9"/>
  <c r="K155" i="9"/>
  <c r="K64" i="9"/>
  <c r="K247" i="9"/>
  <c r="K103" i="9"/>
  <c r="K60" i="9"/>
  <c r="K44" i="9"/>
  <c r="K34" i="9"/>
  <c r="K445" i="9"/>
  <c r="K437" i="9"/>
  <c r="K429" i="9"/>
  <c r="K411" i="9"/>
  <c r="K407" i="9"/>
  <c r="K377" i="9"/>
  <c r="K369" i="9"/>
  <c r="K361" i="9"/>
  <c r="K353" i="9"/>
  <c r="K349" i="9"/>
  <c r="K311" i="9"/>
  <c r="K303" i="9"/>
  <c r="K285" i="9"/>
  <c r="K281" i="9"/>
  <c r="K237" i="9"/>
  <c r="K229" i="9"/>
  <c r="K221" i="9"/>
  <c r="K205" i="9"/>
  <c r="K201" i="9"/>
  <c r="K149" i="9"/>
  <c r="K137" i="9"/>
  <c r="K125" i="9"/>
  <c r="K97" i="9"/>
  <c r="K93" i="9"/>
  <c r="K56" i="9"/>
  <c r="K48" i="9"/>
  <c r="K40" i="9"/>
  <c r="K30" i="9"/>
  <c r="K26" i="9"/>
  <c r="K444" i="9"/>
  <c r="K436" i="9"/>
  <c r="K428" i="9"/>
  <c r="K416" i="9"/>
  <c r="K410" i="9"/>
  <c r="K406" i="9"/>
  <c r="K376" i="9"/>
  <c r="K368" i="9"/>
  <c r="K360" i="9"/>
  <c r="K352" i="9"/>
  <c r="K348" i="9"/>
  <c r="K310" i="9"/>
  <c r="K302" i="9"/>
  <c r="K290" i="9"/>
  <c r="K284" i="9"/>
  <c r="K280" i="9"/>
  <c r="K236" i="9"/>
  <c r="K228" i="9"/>
  <c r="K220" i="9"/>
  <c r="K210" i="9"/>
  <c r="K204" i="9"/>
  <c r="K200" i="9"/>
  <c r="K148" i="9"/>
  <c r="K136" i="9"/>
  <c r="K124" i="9"/>
  <c r="K96" i="9"/>
  <c r="K92" i="9"/>
  <c r="K55" i="9"/>
  <c r="K47" i="9"/>
  <c r="K39" i="9"/>
  <c r="K29" i="9"/>
  <c r="K25" i="9"/>
  <c r="K442" i="9"/>
  <c r="K434" i="9"/>
  <c r="K426" i="9"/>
  <c r="K408" i="9"/>
  <c r="K404" i="9"/>
  <c r="K374" i="9"/>
  <c r="K366" i="9"/>
  <c r="K358" i="9"/>
  <c r="K350" i="9"/>
  <c r="K346" i="9"/>
  <c r="K308" i="9"/>
  <c r="K300" i="9"/>
  <c r="K282" i="9"/>
  <c r="K278" i="9"/>
  <c r="K234" i="9"/>
  <c r="K226" i="9"/>
  <c r="K218" i="9"/>
  <c r="K202" i="9"/>
  <c r="K198" i="9"/>
  <c r="K146" i="9"/>
  <c r="K134" i="9"/>
  <c r="K122" i="9"/>
  <c r="K94" i="9"/>
  <c r="K90" i="9"/>
  <c r="K53" i="9"/>
  <c r="K45" i="9"/>
  <c r="K37" i="9"/>
  <c r="K27" i="9"/>
  <c r="K24" i="9"/>
  <c r="K454" i="9"/>
  <c r="K449" i="9"/>
  <c r="K441" i="9"/>
  <c r="K433" i="9"/>
  <c r="K425" i="9"/>
  <c r="K402" i="9"/>
  <c r="K381" i="9"/>
  <c r="K373" i="9"/>
  <c r="K365" i="9"/>
  <c r="K357" i="9"/>
  <c r="K334" i="9"/>
  <c r="K315" i="9"/>
  <c r="K307" i="9"/>
  <c r="K299" i="9"/>
  <c r="K276" i="9"/>
  <c r="K245" i="9"/>
  <c r="K243" i="9"/>
  <c r="K241" i="9"/>
  <c r="K233" i="9"/>
  <c r="K225" i="9"/>
  <c r="K196" i="9"/>
  <c r="K141" i="9"/>
  <c r="K129" i="9"/>
  <c r="K105" i="9"/>
  <c r="K101" i="9"/>
  <c r="K52" i="9"/>
  <c r="K19" i="9"/>
  <c r="K479" i="9"/>
  <c r="K474" i="9"/>
  <c r="K470" i="9"/>
  <c r="K463" i="9"/>
  <c r="K459" i="9"/>
  <c r="K453" i="9"/>
  <c r="K448" i="9"/>
  <c r="K446" i="9"/>
  <c r="K440" i="9"/>
  <c r="K438" i="9"/>
  <c r="K435" i="9"/>
  <c r="K432" i="9"/>
  <c r="K430" i="9"/>
  <c r="K427" i="9"/>
  <c r="K424" i="9"/>
  <c r="K422" i="9"/>
  <c r="K420" i="9"/>
  <c r="K418" i="9"/>
  <c r="K412" i="9"/>
  <c r="K409" i="9"/>
  <c r="K401" i="9"/>
  <c r="K392" i="9"/>
  <c r="K388" i="9"/>
  <c r="K380" i="9"/>
  <c r="K378" i="9"/>
  <c r="K372" i="9"/>
  <c r="K370" i="9"/>
  <c r="K367" i="9"/>
  <c r="K364" i="9"/>
  <c r="K362" i="9"/>
  <c r="K359" i="9"/>
  <c r="K356" i="9"/>
  <c r="K354" i="9"/>
  <c r="K347" i="9"/>
  <c r="K333" i="9"/>
  <c r="K324" i="9"/>
  <c r="K320" i="9"/>
  <c r="K314" i="9"/>
  <c r="K312" i="9"/>
  <c r="K306" i="9"/>
  <c r="K304" i="9"/>
  <c r="K301" i="9"/>
  <c r="K298" i="9"/>
  <c r="K296" i="9"/>
  <c r="K294" i="9"/>
  <c r="K292" i="9"/>
  <c r="K286" i="9"/>
  <c r="K283" i="9"/>
  <c r="K275" i="9"/>
  <c r="K266" i="9"/>
  <c r="K262" i="9"/>
  <c r="K258" i="9"/>
  <c r="K254" i="9"/>
  <c r="K246" i="9"/>
  <c r="K244" i="9"/>
  <c r="K242" i="9"/>
  <c r="K240" i="9"/>
  <c r="K238" i="9"/>
  <c r="K232" i="9"/>
  <c r="K230" i="9"/>
  <c r="K227" i="9"/>
  <c r="K224" i="9"/>
  <c r="K222" i="9"/>
  <c r="K219" i="9"/>
  <c r="K216" i="9"/>
  <c r="K214" i="9"/>
  <c r="K212" i="9"/>
  <c r="K206" i="9"/>
  <c r="K203" i="9"/>
  <c r="K195" i="9"/>
  <c r="K174" i="9"/>
  <c r="K170" i="9"/>
  <c r="K166" i="9"/>
  <c r="K162" i="9"/>
  <c r="K150" i="9"/>
  <c r="K142" i="9"/>
  <c r="K140" i="9"/>
  <c r="K138" i="9"/>
  <c r="K135" i="9"/>
  <c r="K130" i="9"/>
  <c r="K128" i="9"/>
  <c r="K126" i="9"/>
  <c r="K123" i="9"/>
  <c r="K118" i="9"/>
  <c r="K114" i="9"/>
  <c r="K110" i="9"/>
  <c r="K106" i="9"/>
  <c r="K104" i="9"/>
  <c r="K102" i="9"/>
  <c r="K100" i="9"/>
  <c r="K98" i="9"/>
  <c r="K95" i="9"/>
  <c r="K71" i="9"/>
  <c r="K67" i="9"/>
  <c r="K59" i="9"/>
  <c r="K57" i="9"/>
  <c r="K54" i="9"/>
  <c r="K51" i="9"/>
  <c r="K49" i="9"/>
  <c r="K43" i="9"/>
  <c r="K41" i="9"/>
  <c r="K38" i="9"/>
  <c r="K33" i="9"/>
  <c r="K31" i="9"/>
  <c r="K23" i="9"/>
  <c r="K18" i="9"/>
  <c r="K452" i="9"/>
  <c r="K447" i="9"/>
  <c r="K439" i="9"/>
  <c r="K431" i="9"/>
  <c r="K423" i="9"/>
  <c r="K421" i="9"/>
  <c r="K400" i="9"/>
  <c r="K379" i="9"/>
  <c r="K371" i="9"/>
  <c r="K363" i="9"/>
  <c r="K355" i="9"/>
  <c r="K332" i="9"/>
  <c r="K313" i="9"/>
  <c r="K305" i="9"/>
  <c r="K297" i="9"/>
  <c r="K295" i="9"/>
  <c r="K274" i="9"/>
  <c r="K239" i="9"/>
  <c r="K231" i="9"/>
  <c r="K223" i="9"/>
  <c r="K217" i="9"/>
  <c r="K215" i="9"/>
  <c r="K194" i="9"/>
  <c r="K139" i="9"/>
  <c r="K127" i="9"/>
  <c r="K99" i="9"/>
  <c r="K58" i="9"/>
  <c r="K50" i="9"/>
  <c r="K42" i="9"/>
  <c r="K32" i="9"/>
  <c r="K17" i="9"/>
  <c r="K450" i="9"/>
  <c r="K443" i="9"/>
  <c r="K405" i="9"/>
  <c r="K398" i="9"/>
  <c r="K375" i="9"/>
  <c r="K351" i="9"/>
  <c r="K330" i="9"/>
  <c r="K309" i="9"/>
  <c r="K279" i="9"/>
  <c r="K272" i="9"/>
  <c r="K235" i="9"/>
  <c r="K199" i="9"/>
  <c r="K192" i="9"/>
  <c r="K147" i="9"/>
  <c r="K91" i="9"/>
  <c r="K46" i="9"/>
  <c r="K28" i="9"/>
  <c r="K15" i="9"/>
  <c r="E53" i="9" l="1"/>
  <c r="E45" i="9"/>
  <c r="E122" i="9" l="1"/>
  <c r="D234" i="9" l="1"/>
  <c r="D104" i="9"/>
  <c r="J351" i="9" l="1"/>
  <c r="L351" i="9" s="1"/>
  <c r="J347" i="9"/>
  <c r="L347" i="9" s="1"/>
  <c r="J283" i="9"/>
  <c r="L283" i="9" s="1"/>
  <c r="J279" i="9"/>
  <c r="L279" i="9" s="1"/>
  <c r="J267" i="9"/>
  <c r="L267" i="9" s="1"/>
  <c r="J171" i="9" l="1"/>
  <c r="J91" i="9"/>
  <c r="L91" i="9" s="1"/>
  <c r="D474" i="9" l="1"/>
  <c r="D463" i="9"/>
  <c r="D459" i="9"/>
  <c r="D456" i="9"/>
  <c r="D442" i="9"/>
  <c r="D426" i="9"/>
  <c r="D422" i="9"/>
  <c r="D412" i="9"/>
  <c r="D408" i="9"/>
  <c r="J409" i="9" s="1"/>
  <c r="L409" i="9" s="1"/>
  <c r="D404" i="9"/>
  <c r="D398" i="9"/>
  <c r="D392" i="9"/>
  <c r="J393" i="9" s="1"/>
  <c r="L393" i="9" s="1"/>
  <c r="D388" i="9"/>
  <c r="D354" i="9"/>
  <c r="D330" i="9"/>
  <c r="D324" i="9"/>
  <c r="J325" i="9" s="1"/>
  <c r="L325" i="9" s="1"/>
  <c r="D320" i="9"/>
  <c r="E314" i="9"/>
  <c r="E312" i="9"/>
  <c r="I310" i="9"/>
  <c r="J310" i="9" s="1"/>
  <c r="L310" i="9" s="1"/>
  <c r="I308" i="9"/>
  <c r="E308" i="9"/>
  <c r="D296" i="9"/>
  <c r="D272" i="9"/>
  <c r="D258" i="9"/>
  <c r="J259" i="9" s="1"/>
  <c r="L259" i="9" s="1"/>
  <c r="D254" i="9"/>
  <c r="D250" i="9"/>
  <c r="D246" i="9"/>
  <c r="D244" i="9"/>
  <c r="J309" i="9" l="1"/>
  <c r="L309" i="9" s="1"/>
  <c r="F308" i="9"/>
  <c r="D312" i="9"/>
  <c r="F312" i="9" s="1"/>
  <c r="D314" i="9"/>
  <c r="J308" i="9"/>
  <c r="L308" i="9" s="1"/>
  <c r="J311" i="9"/>
  <c r="L311" i="9" s="1"/>
  <c r="D216" i="9"/>
  <c r="D202" i="9"/>
  <c r="J203" i="9" s="1"/>
  <c r="L203" i="9" s="1"/>
  <c r="F314" i="9" l="1"/>
  <c r="J314" i="9"/>
  <c r="L314" i="9" s="1"/>
  <c r="J315" i="9"/>
  <c r="L315" i="9" s="1"/>
  <c r="J313" i="9"/>
  <c r="L313" i="9" s="1"/>
  <c r="J312" i="9"/>
  <c r="L312" i="9" s="1"/>
  <c r="D198" i="9"/>
  <c r="J199" i="9" s="1"/>
  <c r="L199" i="9" s="1"/>
  <c r="D166" i="9"/>
  <c r="D130" i="9"/>
  <c r="J86" i="9"/>
  <c r="D78" i="9"/>
  <c r="D71" i="9" l="1"/>
  <c r="J72" i="9" s="1"/>
  <c r="L72" i="9" s="1"/>
  <c r="D67" i="9"/>
  <c r="D36" i="9"/>
  <c r="D31" i="9"/>
  <c r="D15" i="9" l="1"/>
  <c r="A15" i="9" s="1"/>
  <c r="J482" i="9" l="1"/>
  <c r="L482" i="9" s="1"/>
  <c r="J481" i="9"/>
  <c r="L481" i="9" s="1"/>
  <c r="J480" i="9"/>
  <c r="L480" i="9" s="1"/>
  <c r="J479" i="9"/>
  <c r="L479" i="9" s="1"/>
  <c r="E479" i="9"/>
  <c r="F479" i="9" s="1"/>
  <c r="I477" i="9"/>
  <c r="I476" i="9"/>
  <c r="K475" i="9"/>
  <c r="I475" i="9"/>
  <c r="I474" i="9"/>
  <c r="E474" i="9"/>
  <c r="K471" i="9"/>
  <c r="E470" i="9"/>
  <c r="E468" i="9"/>
  <c r="D468" i="9"/>
  <c r="D470" i="9" s="1"/>
  <c r="K464" i="9"/>
  <c r="E463" i="9"/>
  <c r="J464" i="9"/>
  <c r="K460" i="9"/>
  <c r="E459" i="9"/>
  <c r="J461" i="9"/>
  <c r="L461" i="9" s="1"/>
  <c r="E456" i="9"/>
  <c r="J457" i="9"/>
  <c r="L457" i="9" s="1"/>
  <c r="E455" i="9"/>
  <c r="D455" i="9"/>
  <c r="I454" i="9"/>
  <c r="E453" i="9"/>
  <c r="I452" i="9"/>
  <c r="I451" i="9"/>
  <c r="I450" i="9"/>
  <c r="E450" i="9"/>
  <c r="D450" i="9"/>
  <c r="D453" i="9" s="1"/>
  <c r="E448" i="9"/>
  <c r="E446" i="9"/>
  <c r="I444" i="9"/>
  <c r="I442" i="9"/>
  <c r="E442" i="9"/>
  <c r="E440" i="9"/>
  <c r="D440" i="9"/>
  <c r="J441" i="9" s="1"/>
  <c r="L441" i="9" s="1"/>
  <c r="E438" i="9"/>
  <c r="D438" i="9"/>
  <c r="J439" i="9" s="1"/>
  <c r="L439" i="9" s="1"/>
  <c r="J437" i="9"/>
  <c r="L437" i="9" s="1"/>
  <c r="I436" i="9"/>
  <c r="J436" i="9" s="1"/>
  <c r="L436" i="9" s="1"/>
  <c r="J435" i="9"/>
  <c r="L435" i="9" s="1"/>
  <c r="J434" i="9"/>
  <c r="L434" i="9" s="1"/>
  <c r="E434" i="9"/>
  <c r="F434" i="9" s="1"/>
  <c r="E432" i="9"/>
  <c r="E430" i="9"/>
  <c r="I428" i="9"/>
  <c r="E426" i="9"/>
  <c r="D432" i="9"/>
  <c r="E424" i="9"/>
  <c r="E422" i="9"/>
  <c r="J422" i="9"/>
  <c r="L422" i="9" s="1"/>
  <c r="E418" i="9"/>
  <c r="E412" i="9"/>
  <c r="J412" i="9"/>
  <c r="L412" i="9" s="1"/>
  <c r="J410" i="9"/>
  <c r="L410" i="9" s="1"/>
  <c r="E408" i="9"/>
  <c r="J411" i="9"/>
  <c r="L411" i="9" s="1"/>
  <c r="E404" i="9"/>
  <c r="J407" i="9"/>
  <c r="L407" i="9" s="1"/>
  <c r="E401" i="9"/>
  <c r="E398" i="9"/>
  <c r="J398" i="9"/>
  <c r="L398" i="9" s="1"/>
  <c r="J395" i="9"/>
  <c r="L395" i="9" s="1"/>
  <c r="J394" i="9"/>
  <c r="L394" i="9" s="1"/>
  <c r="J392" i="9"/>
  <c r="L392" i="9" s="1"/>
  <c r="E392" i="9"/>
  <c r="F392" i="9" s="1"/>
  <c r="J391" i="9"/>
  <c r="L391" i="9" s="1"/>
  <c r="J390" i="9"/>
  <c r="L390" i="9" s="1"/>
  <c r="J389" i="9"/>
  <c r="L389" i="9" s="1"/>
  <c r="J388" i="9"/>
  <c r="L388" i="9" s="1"/>
  <c r="E388" i="9"/>
  <c r="F388" i="9" s="1"/>
  <c r="J387" i="9"/>
  <c r="L387" i="9" s="1"/>
  <c r="K386" i="9"/>
  <c r="J386" i="9"/>
  <c r="E386" i="9"/>
  <c r="F386" i="9" s="1"/>
  <c r="J384" i="9"/>
  <c r="L384" i="9" s="1"/>
  <c r="J383" i="9"/>
  <c r="L383" i="9" s="1"/>
  <c r="E383" i="9"/>
  <c r="F383" i="9" s="1"/>
  <c r="J382" i="9"/>
  <c r="L382" i="9" s="1"/>
  <c r="E382" i="9"/>
  <c r="F382" i="9" s="1"/>
  <c r="E380" i="9"/>
  <c r="D380" i="9"/>
  <c r="J380" i="9" s="1"/>
  <c r="L380" i="9" s="1"/>
  <c r="E378" i="9"/>
  <c r="D378" i="9"/>
  <c r="J379" i="9" s="1"/>
  <c r="L379" i="9" s="1"/>
  <c r="J377" i="9"/>
  <c r="L377" i="9" s="1"/>
  <c r="I376" i="9"/>
  <c r="J376" i="9" s="1"/>
  <c r="L376" i="9" s="1"/>
  <c r="J375" i="9"/>
  <c r="L375" i="9" s="1"/>
  <c r="I374" i="9"/>
  <c r="J374" i="9" s="1"/>
  <c r="L374" i="9" s="1"/>
  <c r="E374" i="9"/>
  <c r="F374" i="9" s="1"/>
  <c r="E372" i="9"/>
  <c r="D372" i="9"/>
  <c r="J373" i="9" s="1"/>
  <c r="L373" i="9" s="1"/>
  <c r="E370" i="9"/>
  <c r="D370" i="9"/>
  <c r="J370" i="9" s="1"/>
  <c r="L370" i="9" s="1"/>
  <c r="J369" i="9"/>
  <c r="L369" i="9" s="1"/>
  <c r="I368" i="9"/>
  <c r="J368" i="9" s="1"/>
  <c r="L368" i="9" s="1"/>
  <c r="J367" i="9"/>
  <c r="L367" i="9" s="1"/>
  <c r="J366" i="9"/>
  <c r="L366" i="9" s="1"/>
  <c r="E366" i="9"/>
  <c r="F366" i="9" s="1"/>
  <c r="E364" i="9"/>
  <c r="D364" i="9"/>
  <c r="J365" i="9" s="1"/>
  <c r="L365" i="9" s="1"/>
  <c r="E362" i="9"/>
  <c r="D362" i="9"/>
  <c r="J363" i="9" s="1"/>
  <c r="L363" i="9" s="1"/>
  <c r="J361" i="9"/>
  <c r="L361" i="9" s="1"/>
  <c r="I360" i="9"/>
  <c r="J360" i="9" s="1"/>
  <c r="L360" i="9" s="1"/>
  <c r="J359" i="9"/>
  <c r="L359" i="9" s="1"/>
  <c r="J358" i="9"/>
  <c r="L358" i="9" s="1"/>
  <c r="E358" i="9"/>
  <c r="F358" i="9" s="1"/>
  <c r="E356" i="9"/>
  <c r="E354" i="9"/>
  <c r="J353" i="9"/>
  <c r="L353" i="9" s="1"/>
  <c r="J352" i="9"/>
  <c r="L352" i="9" s="1"/>
  <c r="J350" i="9"/>
  <c r="L350" i="9" s="1"/>
  <c r="E350" i="9"/>
  <c r="F350" i="9" s="1"/>
  <c r="J349" i="9"/>
  <c r="L349" i="9" s="1"/>
  <c r="J348" i="9"/>
  <c r="L348" i="9" s="1"/>
  <c r="J346" i="9"/>
  <c r="L346" i="9" s="1"/>
  <c r="E346" i="9"/>
  <c r="F346" i="9" s="1"/>
  <c r="J345" i="9"/>
  <c r="L345" i="9" s="1"/>
  <c r="J344" i="9"/>
  <c r="L344" i="9" s="1"/>
  <c r="J343" i="9"/>
  <c r="L343" i="9" s="1"/>
  <c r="K342" i="9"/>
  <c r="J342" i="9"/>
  <c r="K341" i="9"/>
  <c r="J341" i="9"/>
  <c r="E341" i="9"/>
  <c r="F341" i="9" s="1"/>
  <c r="J339" i="9"/>
  <c r="L339" i="9" s="1"/>
  <c r="J338" i="9"/>
  <c r="L338" i="9" s="1"/>
  <c r="J337" i="9"/>
  <c r="L337" i="9" s="1"/>
  <c r="K336" i="9"/>
  <c r="J336" i="9"/>
  <c r="K335" i="9"/>
  <c r="J335" i="9"/>
  <c r="E335" i="9"/>
  <c r="F335" i="9" s="1"/>
  <c r="E333" i="9"/>
  <c r="E330" i="9"/>
  <c r="J332" i="9"/>
  <c r="L332" i="9" s="1"/>
  <c r="E324" i="9"/>
  <c r="E320" i="9"/>
  <c r="J318" i="9"/>
  <c r="L318" i="9" s="1"/>
  <c r="J317" i="9"/>
  <c r="L317" i="9" s="1"/>
  <c r="E317" i="9"/>
  <c r="F317" i="9" s="1"/>
  <c r="J316" i="9"/>
  <c r="L316" i="9" s="1"/>
  <c r="E316" i="9"/>
  <c r="F316" i="9" s="1"/>
  <c r="E306" i="9"/>
  <c r="D306" i="9"/>
  <c r="E304" i="9"/>
  <c r="D304" i="9"/>
  <c r="J305" i="9" s="1"/>
  <c r="L305" i="9" s="1"/>
  <c r="J303" i="9"/>
  <c r="L303" i="9" s="1"/>
  <c r="I302" i="9"/>
  <c r="J302" i="9" s="1"/>
  <c r="L302" i="9" s="1"/>
  <c r="J301" i="9"/>
  <c r="L301" i="9" s="1"/>
  <c r="J300" i="9"/>
  <c r="L300" i="9" s="1"/>
  <c r="E300" i="9"/>
  <c r="F300" i="9" s="1"/>
  <c r="E298" i="9"/>
  <c r="E296" i="9"/>
  <c r="E292" i="9"/>
  <c r="D292" i="9"/>
  <c r="J294" i="9" s="1"/>
  <c r="L294" i="9" s="1"/>
  <c r="J291" i="9"/>
  <c r="L291" i="9" s="1"/>
  <c r="J290" i="9"/>
  <c r="L290" i="9" s="1"/>
  <c r="J289" i="9"/>
  <c r="L289" i="9" s="1"/>
  <c r="J288" i="9"/>
  <c r="L288" i="9" s="1"/>
  <c r="J287" i="9"/>
  <c r="L287" i="9" s="1"/>
  <c r="J286" i="9"/>
  <c r="L286" i="9" s="1"/>
  <c r="E286" i="9"/>
  <c r="F286" i="9" s="1"/>
  <c r="J285" i="9"/>
  <c r="L285" i="9" s="1"/>
  <c r="J284" i="9"/>
  <c r="L284" i="9" s="1"/>
  <c r="J282" i="9"/>
  <c r="L282" i="9" s="1"/>
  <c r="E282" i="9"/>
  <c r="F282" i="9" s="1"/>
  <c r="J281" i="9"/>
  <c r="L281" i="9" s="1"/>
  <c r="J280" i="9"/>
  <c r="L280" i="9" s="1"/>
  <c r="J278" i="9"/>
  <c r="L278" i="9" s="1"/>
  <c r="E278" i="9"/>
  <c r="F278" i="9" s="1"/>
  <c r="E275" i="9"/>
  <c r="D275" i="9"/>
  <c r="J276" i="9" s="1"/>
  <c r="L276" i="9" s="1"/>
  <c r="J274" i="9"/>
  <c r="L274" i="9" s="1"/>
  <c r="J273" i="9"/>
  <c r="L273" i="9" s="1"/>
  <c r="J272" i="9"/>
  <c r="L272" i="9" s="1"/>
  <c r="E272" i="9"/>
  <c r="F272" i="9" s="1"/>
  <c r="J269" i="9"/>
  <c r="L269" i="9" s="1"/>
  <c r="J268" i="9"/>
  <c r="L268" i="9" s="1"/>
  <c r="J266" i="9"/>
  <c r="L266" i="9" s="1"/>
  <c r="E266" i="9"/>
  <c r="F266" i="9" s="1"/>
  <c r="J265" i="9"/>
  <c r="L265" i="9" s="1"/>
  <c r="J264" i="9"/>
  <c r="L264" i="9" s="1"/>
  <c r="J263" i="9"/>
  <c r="L263" i="9" s="1"/>
  <c r="J262" i="9"/>
  <c r="L262" i="9" s="1"/>
  <c r="E262" i="9"/>
  <c r="F262" i="9" s="1"/>
  <c r="E258" i="9"/>
  <c r="J258" i="9"/>
  <c r="L258" i="9" s="1"/>
  <c r="J255" i="9"/>
  <c r="L255" i="9" s="1"/>
  <c r="E254" i="9"/>
  <c r="F254" i="9" s="1"/>
  <c r="J257" i="9"/>
  <c r="L257" i="9" s="1"/>
  <c r="E253" i="9"/>
  <c r="D253" i="9"/>
  <c r="J253" i="9" s="1"/>
  <c r="L253" i="9" s="1"/>
  <c r="E250" i="9"/>
  <c r="J250" i="9"/>
  <c r="L250" i="9" s="1"/>
  <c r="E249" i="9"/>
  <c r="D249" i="9"/>
  <c r="J249" i="9" s="1"/>
  <c r="L249" i="9" s="1"/>
  <c r="E248" i="9"/>
  <c r="D248" i="9"/>
  <c r="J248" i="9" s="1"/>
  <c r="L248" i="9" s="1"/>
  <c r="E246" i="9"/>
  <c r="J246" i="9"/>
  <c r="L246" i="9" s="1"/>
  <c r="E244" i="9"/>
  <c r="J244" i="9"/>
  <c r="L244" i="9" s="1"/>
  <c r="E242" i="9"/>
  <c r="E240" i="9"/>
  <c r="E238" i="9"/>
  <c r="J237" i="9"/>
  <c r="L237" i="9" s="1"/>
  <c r="I236" i="9"/>
  <c r="I234" i="9"/>
  <c r="J234" i="9" s="1"/>
  <c r="L234" i="9" s="1"/>
  <c r="E234" i="9"/>
  <c r="E232" i="9"/>
  <c r="E230" i="9"/>
  <c r="I228" i="9"/>
  <c r="E226" i="9"/>
  <c r="D226" i="9"/>
  <c r="E224" i="9"/>
  <c r="E222" i="9"/>
  <c r="I220" i="9"/>
  <c r="E218" i="9"/>
  <c r="D218" i="9"/>
  <c r="J219" i="9" s="1"/>
  <c r="L219" i="9" s="1"/>
  <c r="J217" i="9"/>
  <c r="L217" i="9" s="1"/>
  <c r="E216" i="9"/>
  <c r="F216" i="9" s="1"/>
  <c r="J216" i="9"/>
  <c r="L216" i="9" s="1"/>
  <c r="E212" i="9"/>
  <c r="E206" i="9"/>
  <c r="D206" i="9"/>
  <c r="J210" i="9" s="1"/>
  <c r="L210" i="9" s="1"/>
  <c r="E202" i="9"/>
  <c r="J204" i="9"/>
  <c r="L204" i="9" s="1"/>
  <c r="E198" i="9"/>
  <c r="J200" i="9"/>
  <c r="L200" i="9" s="1"/>
  <c r="E195" i="9"/>
  <c r="E192" i="9"/>
  <c r="K191" i="9"/>
  <c r="K190" i="9"/>
  <c r="K189" i="9"/>
  <c r="J189" i="9"/>
  <c r="J191" i="9" s="1"/>
  <c r="K188" i="9"/>
  <c r="K187" i="9"/>
  <c r="K186" i="9"/>
  <c r="K185" i="9"/>
  <c r="K184" i="9"/>
  <c r="K183" i="9"/>
  <c r="K182" i="9"/>
  <c r="E181" i="9"/>
  <c r="D181" i="9"/>
  <c r="D192" i="9" s="1"/>
  <c r="E180" i="9"/>
  <c r="D180" i="9"/>
  <c r="J180" i="9" s="1"/>
  <c r="L180" i="9" s="1"/>
  <c r="I177" i="9"/>
  <c r="J177" i="9" s="1"/>
  <c r="L177" i="9" s="1"/>
  <c r="I176" i="9"/>
  <c r="J176" i="9" s="1"/>
  <c r="L176" i="9" s="1"/>
  <c r="K175" i="9"/>
  <c r="I175" i="9"/>
  <c r="J175" i="9" s="1"/>
  <c r="I174" i="9"/>
  <c r="J174" i="9" s="1"/>
  <c r="L174" i="9" s="1"/>
  <c r="E174" i="9"/>
  <c r="F174" i="9" s="1"/>
  <c r="J173" i="9"/>
  <c r="L173" i="9" s="1"/>
  <c r="J172" i="9"/>
  <c r="L172" i="9" s="1"/>
  <c r="K171" i="9"/>
  <c r="J170" i="9"/>
  <c r="L170" i="9" s="1"/>
  <c r="E170" i="9"/>
  <c r="F170" i="9" s="1"/>
  <c r="K167" i="9"/>
  <c r="J167" i="9"/>
  <c r="E166" i="9"/>
  <c r="J168" i="9"/>
  <c r="L168" i="9" s="1"/>
  <c r="J165" i="9"/>
  <c r="L165" i="9" s="1"/>
  <c r="J164" i="9"/>
  <c r="L164" i="9" s="1"/>
  <c r="K163" i="9"/>
  <c r="J163" i="9"/>
  <c r="J162" i="9"/>
  <c r="L162" i="9" s="1"/>
  <c r="E162" i="9"/>
  <c r="F162" i="9" s="1"/>
  <c r="J161" i="9"/>
  <c r="L161" i="9" s="1"/>
  <c r="J160" i="9"/>
  <c r="L160" i="9" s="1"/>
  <c r="E160" i="9"/>
  <c r="F160" i="9" s="1"/>
  <c r="J159" i="9"/>
  <c r="L159" i="9" s="1"/>
  <c r="E159" i="9"/>
  <c r="F159" i="9" s="1"/>
  <c r="J157" i="9"/>
  <c r="L157" i="9" s="1"/>
  <c r="J156" i="9"/>
  <c r="L156" i="9" s="1"/>
  <c r="E156" i="9"/>
  <c r="F156" i="9" s="1"/>
  <c r="J155" i="9"/>
  <c r="L155" i="9" s="1"/>
  <c r="E155" i="9"/>
  <c r="F155" i="9" s="1"/>
  <c r="E154" i="9"/>
  <c r="D154" i="9"/>
  <c r="J154" i="9" s="1"/>
  <c r="L154" i="9" s="1"/>
  <c r="E150" i="9"/>
  <c r="D150" i="9"/>
  <c r="J151" i="9" s="1"/>
  <c r="L151" i="9" s="1"/>
  <c r="J149" i="9"/>
  <c r="L149" i="9" s="1"/>
  <c r="I148" i="9"/>
  <c r="J148" i="9" s="1"/>
  <c r="L148" i="9" s="1"/>
  <c r="J147" i="9"/>
  <c r="L147" i="9" s="1"/>
  <c r="I146" i="9"/>
  <c r="J146" i="9" s="1"/>
  <c r="L146" i="9" s="1"/>
  <c r="E146" i="9"/>
  <c r="F146" i="9" s="1"/>
  <c r="E142" i="9"/>
  <c r="D142" i="9"/>
  <c r="E140" i="9"/>
  <c r="D140" i="9"/>
  <c r="J141" i="9" s="1"/>
  <c r="L141" i="9" s="1"/>
  <c r="J139" i="9"/>
  <c r="L139" i="9" s="1"/>
  <c r="J138" i="9"/>
  <c r="L138" i="9" s="1"/>
  <c r="E138" i="9"/>
  <c r="F138" i="9" s="1"/>
  <c r="J137" i="9"/>
  <c r="L137" i="9" s="1"/>
  <c r="I136" i="9"/>
  <c r="J136" i="9" s="1"/>
  <c r="L136" i="9" s="1"/>
  <c r="J135" i="9"/>
  <c r="L135" i="9" s="1"/>
  <c r="J134" i="9"/>
  <c r="L134" i="9" s="1"/>
  <c r="E134" i="9"/>
  <c r="F134" i="9" s="1"/>
  <c r="J130" i="9"/>
  <c r="L130" i="9" s="1"/>
  <c r="E130" i="9"/>
  <c r="J131" i="9"/>
  <c r="L131" i="9" s="1"/>
  <c r="E128" i="9"/>
  <c r="D128" i="9"/>
  <c r="J129" i="9" s="1"/>
  <c r="L129" i="9" s="1"/>
  <c r="J127" i="9"/>
  <c r="L127" i="9" s="1"/>
  <c r="J126" i="9"/>
  <c r="L126" i="9" s="1"/>
  <c r="E126" i="9"/>
  <c r="F126" i="9" s="1"/>
  <c r="J125" i="9"/>
  <c r="L125" i="9" s="1"/>
  <c r="I124" i="9"/>
  <c r="J124" i="9" s="1"/>
  <c r="L124" i="9" s="1"/>
  <c r="J123" i="9"/>
  <c r="L123" i="9" s="1"/>
  <c r="J122" i="9"/>
  <c r="L122" i="9" s="1"/>
  <c r="F122" i="9"/>
  <c r="J121" i="9"/>
  <c r="L121" i="9" s="1"/>
  <c r="J120" i="9"/>
  <c r="L120" i="9" s="1"/>
  <c r="K119" i="9"/>
  <c r="J119" i="9"/>
  <c r="J118" i="9"/>
  <c r="L118" i="9" s="1"/>
  <c r="E118" i="9"/>
  <c r="F118" i="9" s="1"/>
  <c r="I117" i="9"/>
  <c r="J117" i="9" s="1"/>
  <c r="L117" i="9" s="1"/>
  <c r="J116" i="9"/>
  <c r="L116" i="9" s="1"/>
  <c r="J115" i="9"/>
  <c r="L115" i="9" s="1"/>
  <c r="J114" i="9"/>
  <c r="L114" i="9" s="1"/>
  <c r="E114" i="9"/>
  <c r="F114" i="9" s="1"/>
  <c r="J112" i="9"/>
  <c r="L112" i="9" s="1"/>
  <c r="J111" i="9"/>
  <c r="L111" i="9" s="1"/>
  <c r="J110" i="9"/>
  <c r="L110" i="9" s="1"/>
  <c r="E110" i="9"/>
  <c r="F110" i="9" s="1"/>
  <c r="J109" i="9"/>
  <c r="L109" i="9" s="1"/>
  <c r="J108" i="9"/>
  <c r="L108" i="9" s="1"/>
  <c r="K107" i="9"/>
  <c r="J107" i="9"/>
  <c r="J106" i="9"/>
  <c r="L106" i="9" s="1"/>
  <c r="E106" i="9"/>
  <c r="F106" i="9" s="1"/>
  <c r="E104" i="9"/>
  <c r="J105" i="9"/>
  <c r="L105" i="9" s="1"/>
  <c r="J103" i="9"/>
  <c r="L103" i="9" s="1"/>
  <c r="J102" i="9"/>
  <c r="L102" i="9" s="1"/>
  <c r="E102" i="9"/>
  <c r="F102" i="9" s="1"/>
  <c r="J101" i="9"/>
  <c r="L101" i="9" s="1"/>
  <c r="J100" i="9"/>
  <c r="L100" i="9" s="1"/>
  <c r="E100" i="9"/>
  <c r="F100" i="9" s="1"/>
  <c r="E98" i="9"/>
  <c r="D98" i="9"/>
  <c r="J97" i="9"/>
  <c r="L97" i="9" s="1"/>
  <c r="J96" i="9"/>
  <c r="L96" i="9" s="1"/>
  <c r="J95" i="9"/>
  <c r="L95" i="9" s="1"/>
  <c r="J94" i="9"/>
  <c r="L94" i="9" s="1"/>
  <c r="E94" i="9"/>
  <c r="F94" i="9" s="1"/>
  <c r="J93" i="9"/>
  <c r="L93" i="9" s="1"/>
  <c r="J92" i="9"/>
  <c r="L92" i="9" s="1"/>
  <c r="J90" i="9"/>
  <c r="L90" i="9" s="1"/>
  <c r="E90" i="9"/>
  <c r="F90" i="9" s="1"/>
  <c r="K88" i="9"/>
  <c r="K87" i="9"/>
  <c r="K86" i="9"/>
  <c r="K85" i="9"/>
  <c r="K84" i="9"/>
  <c r="K83" i="9"/>
  <c r="K82" i="9"/>
  <c r="K81" i="9"/>
  <c r="K80" i="9"/>
  <c r="K79" i="9"/>
  <c r="E78" i="9"/>
  <c r="J82" i="9"/>
  <c r="J77" i="9"/>
  <c r="L77" i="9" s="1"/>
  <c r="E77" i="9"/>
  <c r="F77" i="9" s="1"/>
  <c r="L464" i="9" l="1"/>
  <c r="F306" i="9"/>
  <c r="J371" i="9"/>
  <c r="L371" i="9" s="1"/>
  <c r="F372" i="9"/>
  <c r="J438" i="9"/>
  <c r="L438" i="9" s="1"/>
  <c r="J98" i="9"/>
  <c r="L98" i="9" s="1"/>
  <c r="J307" i="9"/>
  <c r="L307" i="9" s="1"/>
  <c r="L341" i="9"/>
  <c r="J459" i="9"/>
  <c r="L459" i="9" s="1"/>
  <c r="F463" i="9"/>
  <c r="F128" i="9"/>
  <c r="F249" i="9"/>
  <c r="F253" i="9"/>
  <c r="F362" i="9"/>
  <c r="L386" i="9"/>
  <c r="F408" i="9"/>
  <c r="F440" i="9"/>
  <c r="J450" i="9"/>
  <c r="L450" i="9" s="1"/>
  <c r="L342" i="9"/>
  <c r="F468" i="9"/>
  <c r="L191" i="9"/>
  <c r="F218" i="9"/>
  <c r="D222" i="9"/>
  <c r="J222" i="9" s="1"/>
  <c r="L222" i="9" s="1"/>
  <c r="F324" i="9"/>
  <c r="L335" i="9"/>
  <c r="F370" i="9"/>
  <c r="J400" i="9"/>
  <c r="L400" i="9" s="1"/>
  <c r="I113" i="9"/>
  <c r="J113" i="9" s="1"/>
  <c r="L113" i="9" s="1"/>
  <c r="D242" i="9"/>
  <c r="J242" i="9" s="1"/>
  <c r="L242" i="9" s="1"/>
  <c r="J306" i="9"/>
  <c r="L306" i="9" s="1"/>
  <c r="J331" i="9"/>
  <c r="L331" i="9" s="1"/>
  <c r="L175" i="9"/>
  <c r="L171" i="9"/>
  <c r="J128" i="9"/>
  <c r="L128" i="9" s="1"/>
  <c r="L119" i="9"/>
  <c r="L107" i="9"/>
  <c r="J454" i="9"/>
  <c r="L454" i="9" s="1"/>
  <c r="J453" i="9"/>
  <c r="L453" i="9" s="1"/>
  <c r="F78" i="9"/>
  <c r="J81" i="9"/>
  <c r="L81" i="9" s="1"/>
  <c r="L86" i="9"/>
  <c r="F98" i="9"/>
  <c r="L163" i="9"/>
  <c r="L167" i="9"/>
  <c r="L189" i="9"/>
  <c r="J228" i="9"/>
  <c r="L228" i="9" s="1"/>
  <c r="F244" i="9"/>
  <c r="F246" i="9"/>
  <c r="F248" i="9"/>
  <c r="F258" i="9"/>
  <c r="F275" i="9"/>
  <c r="F292" i="9"/>
  <c r="F304" i="9"/>
  <c r="J324" i="9"/>
  <c r="L324" i="9" s="1"/>
  <c r="L336" i="9"/>
  <c r="J362" i="9"/>
  <c r="L362" i="9" s="1"/>
  <c r="F364" i="9"/>
  <c r="J372" i="9"/>
  <c r="L372" i="9" s="1"/>
  <c r="F422" i="9"/>
  <c r="J428" i="9"/>
  <c r="L428" i="9" s="1"/>
  <c r="J452" i="9"/>
  <c r="L452" i="9" s="1"/>
  <c r="F456" i="9"/>
  <c r="J460" i="9"/>
  <c r="L460" i="9" s="1"/>
  <c r="J462" i="9"/>
  <c r="L462" i="9" s="1"/>
  <c r="J469" i="9"/>
  <c r="L469" i="9" s="1"/>
  <c r="J474" i="9"/>
  <c r="L474" i="9" s="1"/>
  <c r="F453" i="9"/>
  <c r="J78" i="9"/>
  <c r="L78" i="9" s="1"/>
  <c r="J85" i="9"/>
  <c r="L85" i="9" s="1"/>
  <c r="F104" i="9"/>
  <c r="F130" i="9"/>
  <c r="J132" i="9"/>
  <c r="L132" i="9" s="1"/>
  <c r="F140" i="9"/>
  <c r="F154" i="9"/>
  <c r="F202" i="9"/>
  <c r="J245" i="9"/>
  <c r="L245" i="9" s="1"/>
  <c r="J247" i="9"/>
  <c r="L247" i="9" s="1"/>
  <c r="F250" i="9"/>
  <c r="J275" i="9"/>
  <c r="L275" i="9" s="1"/>
  <c r="J292" i="9"/>
  <c r="L292" i="9" s="1"/>
  <c r="J304" i="9"/>
  <c r="L304" i="9" s="1"/>
  <c r="F330" i="9"/>
  <c r="J364" i="9"/>
  <c r="L364" i="9" s="1"/>
  <c r="F380" i="9"/>
  <c r="J451" i="9"/>
  <c r="L451" i="9" s="1"/>
  <c r="L82" i="9"/>
  <c r="J104" i="9"/>
  <c r="L104" i="9" s="1"/>
  <c r="J140" i="9"/>
  <c r="L140" i="9" s="1"/>
  <c r="F166" i="9"/>
  <c r="F198" i="9"/>
  <c r="J201" i="9"/>
  <c r="L201" i="9" s="1"/>
  <c r="J220" i="9"/>
  <c r="L220" i="9" s="1"/>
  <c r="D224" i="9"/>
  <c r="J225" i="9" s="1"/>
  <c r="L225" i="9" s="1"/>
  <c r="J227" i="9"/>
  <c r="L227" i="9" s="1"/>
  <c r="J251" i="9"/>
  <c r="L251" i="9" s="1"/>
  <c r="J293" i="9"/>
  <c r="L293" i="9" s="1"/>
  <c r="J326" i="9"/>
  <c r="L326" i="9" s="1"/>
  <c r="J330" i="9"/>
  <c r="L330" i="9" s="1"/>
  <c r="D333" i="9"/>
  <c r="J334" i="9" s="1"/>
  <c r="L334" i="9" s="1"/>
  <c r="J408" i="9"/>
  <c r="L408" i="9" s="1"/>
  <c r="F450" i="9"/>
  <c r="F459" i="9"/>
  <c r="J99" i="9"/>
  <c r="L99" i="9" s="1"/>
  <c r="F142" i="9"/>
  <c r="J143" i="9"/>
  <c r="L143" i="9" s="1"/>
  <c r="J145" i="9"/>
  <c r="L145" i="9" s="1"/>
  <c r="J185" i="9"/>
  <c r="L185" i="9" s="1"/>
  <c r="F181" i="9"/>
  <c r="J190" i="9"/>
  <c r="L190" i="9" s="1"/>
  <c r="J186" i="9"/>
  <c r="L186" i="9" s="1"/>
  <c r="J182" i="9"/>
  <c r="L182" i="9" s="1"/>
  <c r="J184" i="9"/>
  <c r="L184" i="9" s="1"/>
  <c r="J188" i="9"/>
  <c r="L188" i="9" s="1"/>
  <c r="J153" i="9"/>
  <c r="L153" i="9" s="1"/>
  <c r="J150" i="9"/>
  <c r="L150" i="9" s="1"/>
  <c r="F192" i="9"/>
  <c r="D240" i="9"/>
  <c r="D238" i="9"/>
  <c r="J235" i="9"/>
  <c r="L235" i="9" s="1"/>
  <c r="F234" i="9"/>
  <c r="J236" i="9"/>
  <c r="L236" i="9" s="1"/>
  <c r="J323" i="9"/>
  <c r="L323" i="9" s="1"/>
  <c r="J320" i="9"/>
  <c r="L320" i="9" s="1"/>
  <c r="F320" i="9"/>
  <c r="J321" i="9"/>
  <c r="L321" i="9" s="1"/>
  <c r="J80" i="9"/>
  <c r="L80" i="9" s="1"/>
  <c r="J84" i="9"/>
  <c r="L84" i="9" s="1"/>
  <c r="J88" i="9"/>
  <c r="L88" i="9" s="1"/>
  <c r="J79" i="9"/>
  <c r="L79" i="9" s="1"/>
  <c r="J83" i="9"/>
  <c r="L83" i="9" s="1"/>
  <c r="J87" i="9"/>
  <c r="L87" i="9" s="1"/>
  <c r="J133" i="9"/>
  <c r="L133" i="9" s="1"/>
  <c r="J142" i="9"/>
  <c r="L142" i="9" s="1"/>
  <c r="J144" i="9"/>
  <c r="L144" i="9" s="1"/>
  <c r="F150" i="9"/>
  <c r="J152" i="9"/>
  <c r="L152" i="9" s="1"/>
  <c r="F180" i="9"/>
  <c r="J181" i="9"/>
  <c r="L181" i="9" s="1"/>
  <c r="J183" i="9"/>
  <c r="L183" i="9" s="1"/>
  <c r="J187" i="9"/>
  <c r="L187" i="9" s="1"/>
  <c r="J211" i="9"/>
  <c r="L211" i="9" s="1"/>
  <c r="J208" i="9"/>
  <c r="L208" i="9" s="1"/>
  <c r="J206" i="9"/>
  <c r="L206" i="9" s="1"/>
  <c r="F206" i="9"/>
  <c r="D212" i="9"/>
  <c r="J209" i="9"/>
  <c r="L209" i="9" s="1"/>
  <c r="J207" i="9"/>
  <c r="L207" i="9" s="1"/>
  <c r="J322" i="9"/>
  <c r="L322" i="9" s="1"/>
  <c r="J406" i="9"/>
  <c r="L406" i="9" s="1"/>
  <c r="J404" i="9"/>
  <c r="L404" i="9" s="1"/>
  <c r="J405" i="9"/>
  <c r="L405" i="9" s="1"/>
  <c r="J166" i="9"/>
  <c r="L166" i="9" s="1"/>
  <c r="J169" i="9"/>
  <c r="L169" i="9" s="1"/>
  <c r="J198" i="9"/>
  <c r="L198" i="9" s="1"/>
  <c r="J205" i="9"/>
  <c r="L205" i="9" s="1"/>
  <c r="J218" i="9"/>
  <c r="L218" i="9" s="1"/>
  <c r="J221" i="9"/>
  <c r="L221" i="9" s="1"/>
  <c r="F226" i="9"/>
  <c r="D230" i="9"/>
  <c r="D232" i="9"/>
  <c r="J254" i="9"/>
  <c r="L254" i="9" s="1"/>
  <c r="J261" i="9"/>
  <c r="L261" i="9" s="1"/>
  <c r="J260" i="9"/>
  <c r="L260" i="9" s="1"/>
  <c r="F404" i="9"/>
  <c r="J202" i="9"/>
  <c r="L202" i="9" s="1"/>
  <c r="J226" i="9"/>
  <c r="L226" i="9" s="1"/>
  <c r="J229" i="9"/>
  <c r="L229" i="9" s="1"/>
  <c r="J256" i="9"/>
  <c r="L256" i="9" s="1"/>
  <c r="J296" i="9"/>
  <c r="L296" i="9" s="1"/>
  <c r="F296" i="9"/>
  <c r="J297" i="9"/>
  <c r="L297" i="9" s="1"/>
  <c r="D298" i="9"/>
  <c r="J355" i="9"/>
  <c r="L355" i="9" s="1"/>
  <c r="D356" i="9"/>
  <c r="J354" i="9"/>
  <c r="L354" i="9" s="1"/>
  <c r="F354" i="9"/>
  <c r="J378" i="9"/>
  <c r="L378" i="9" s="1"/>
  <c r="F378" i="9"/>
  <c r="J433" i="9"/>
  <c r="L433" i="9" s="1"/>
  <c r="J432" i="9"/>
  <c r="L432" i="9" s="1"/>
  <c r="F432" i="9"/>
  <c r="J445" i="9"/>
  <c r="L445" i="9" s="1"/>
  <c r="J442" i="9"/>
  <c r="L442" i="9" s="1"/>
  <c r="D448" i="9"/>
  <c r="D446" i="9"/>
  <c r="J443" i="9"/>
  <c r="L443" i="9" s="1"/>
  <c r="F442" i="9"/>
  <c r="J444" i="9"/>
  <c r="L444" i="9" s="1"/>
  <c r="J295" i="9"/>
  <c r="L295" i="9" s="1"/>
  <c r="J399" i="9"/>
  <c r="L399" i="9" s="1"/>
  <c r="D418" i="9"/>
  <c r="J415" i="9"/>
  <c r="L415" i="9" s="1"/>
  <c r="J413" i="9"/>
  <c r="L413" i="9" s="1"/>
  <c r="J423" i="9"/>
  <c r="L423" i="9" s="1"/>
  <c r="J429" i="9"/>
  <c r="L429" i="9" s="1"/>
  <c r="J426" i="9"/>
  <c r="L426" i="9" s="1"/>
  <c r="J427" i="9"/>
  <c r="L427" i="9" s="1"/>
  <c r="D430" i="9"/>
  <c r="F438" i="9"/>
  <c r="J440" i="9"/>
  <c r="L440" i="9" s="1"/>
  <c r="J455" i="9"/>
  <c r="L455" i="9" s="1"/>
  <c r="F455" i="9"/>
  <c r="J381" i="9"/>
  <c r="L381" i="9" s="1"/>
  <c r="F398" i="9"/>
  <c r="D401" i="9"/>
  <c r="J417" i="9"/>
  <c r="L417" i="9" s="1"/>
  <c r="J471" i="9"/>
  <c r="L471" i="9" s="1"/>
  <c r="J472" i="9"/>
  <c r="L472" i="9" s="1"/>
  <c r="J473" i="9"/>
  <c r="L473" i="9" s="1"/>
  <c r="J470" i="9"/>
  <c r="L470" i="9" s="1"/>
  <c r="F470" i="9"/>
  <c r="J327" i="9"/>
  <c r="L327" i="9" s="1"/>
  <c r="F412" i="9"/>
  <c r="J414" i="9"/>
  <c r="L414" i="9" s="1"/>
  <c r="J416" i="9"/>
  <c r="L416" i="9" s="1"/>
  <c r="D424" i="9"/>
  <c r="F424" i="9" s="1"/>
  <c r="F426" i="9"/>
  <c r="J456" i="9"/>
  <c r="L456" i="9" s="1"/>
  <c r="J463" i="9"/>
  <c r="L463" i="9" s="1"/>
  <c r="J466" i="9"/>
  <c r="L466" i="9" s="1"/>
  <c r="F474" i="9"/>
  <c r="J465" i="9"/>
  <c r="L465" i="9" s="1"/>
  <c r="J468" i="9"/>
  <c r="L468" i="9" s="1"/>
  <c r="J475" i="9"/>
  <c r="L475" i="9" s="1"/>
  <c r="J476" i="9"/>
  <c r="L476" i="9" s="1"/>
  <c r="J477" i="9"/>
  <c r="L477" i="9" s="1"/>
  <c r="J333" i="9" l="1"/>
  <c r="L333" i="9" s="1"/>
  <c r="F224" i="9"/>
  <c r="J223" i="9"/>
  <c r="L223" i="9" s="1"/>
  <c r="F238" i="9"/>
  <c r="F222" i="9"/>
  <c r="J224" i="9"/>
  <c r="L224" i="9" s="1"/>
  <c r="J243" i="9"/>
  <c r="L243" i="9" s="1"/>
  <c r="F242" i="9"/>
  <c r="F333" i="9"/>
  <c r="J401" i="9"/>
  <c r="L401" i="9" s="1"/>
  <c r="J402" i="9"/>
  <c r="L402" i="9" s="1"/>
  <c r="F401" i="9"/>
  <c r="J420" i="9"/>
  <c r="L420" i="9" s="1"/>
  <c r="J421" i="9"/>
  <c r="L421" i="9" s="1"/>
  <c r="J419" i="9"/>
  <c r="L419" i="9" s="1"/>
  <c r="J418" i="9"/>
  <c r="L418" i="9" s="1"/>
  <c r="J298" i="9"/>
  <c r="L298" i="9" s="1"/>
  <c r="F298" i="9"/>
  <c r="J299" i="9"/>
  <c r="L299" i="9" s="1"/>
  <c r="J431" i="9"/>
  <c r="L431" i="9" s="1"/>
  <c r="F430" i="9"/>
  <c r="J430" i="9"/>
  <c r="L430" i="9" s="1"/>
  <c r="J238" i="9"/>
  <c r="L238" i="9" s="1"/>
  <c r="J239" i="9"/>
  <c r="L239" i="9" s="1"/>
  <c r="D195" i="9"/>
  <c r="J192" i="9"/>
  <c r="L192" i="9" s="1"/>
  <c r="J194" i="9"/>
  <c r="L194" i="9" s="1"/>
  <c r="J193" i="9"/>
  <c r="L193" i="9" s="1"/>
  <c r="J424" i="9"/>
  <c r="L424" i="9" s="1"/>
  <c r="J425" i="9"/>
  <c r="L425" i="9" s="1"/>
  <c r="J447" i="9"/>
  <c r="L447" i="9" s="1"/>
  <c r="J446" i="9"/>
  <c r="L446" i="9" s="1"/>
  <c r="F446" i="9"/>
  <c r="F418" i="9"/>
  <c r="J357" i="9"/>
  <c r="L357" i="9" s="1"/>
  <c r="J356" i="9"/>
  <c r="L356" i="9" s="1"/>
  <c r="F356" i="9"/>
  <c r="F232" i="9"/>
  <c r="J233" i="9"/>
  <c r="L233" i="9" s="1"/>
  <c r="J232" i="9"/>
  <c r="L232" i="9" s="1"/>
  <c r="J215" i="9"/>
  <c r="L215" i="9" s="1"/>
  <c r="F212" i="9"/>
  <c r="J213" i="9"/>
  <c r="L213" i="9" s="1"/>
  <c r="J214" i="9"/>
  <c r="L214" i="9" s="1"/>
  <c r="J212" i="9"/>
  <c r="L212" i="9" s="1"/>
  <c r="J240" i="9"/>
  <c r="L240" i="9" s="1"/>
  <c r="F240" i="9"/>
  <c r="J241" i="9"/>
  <c r="L241" i="9" s="1"/>
  <c r="J449" i="9"/>
  <c r="L449" i="9" s="1"/>
  <c r="J448" i="9"/>
  <c r="L448" i="9" s="1"/>
  <c r="F448" i="9"/>
  <c r="F230" i="9"/>
  <c r="J231" i="9"/>
  <c r="L231" i="9" s="1"/>
  <c r="J230" i="9"/>
  <c r="L230" i="9" s="1"/>
  <c r="J195" i="9" l="1"/>
  <c r="L195" i="9" s="1"/>
  <c r="J196" i="9"/>
  <c r="L196" i="9" s="1"/>
  <c r="F195" i="9"/>
  <c r="E51" i="9" l="1"/>
  <c r="D51" i="9"/>
  <c r="E49" i="9"/>
  <c r="D49" i="9"/>
  <c r="J48" i="9"/>
  <c r="L48" i="9" s="1"/>
  <c r="I47" i="9"/>
  <c r="J47" i="9" s="1"/>
  <c r="L47" i="9" s="1"/>
  <c r="J46" i="9"/>
  <c r="L46" i="9" s="1"/>
  <c r="J45" i="9"/>
  <c r="L45" i="9" s="1"/>
  <c r="F45" i="9"/>
  <c r="J50" i="9" l="1"/>
  <c r="L50" i="9" s="1"/>
  <c r="F51" i="9"/>
  <c r="F49" i="9"/>
  <c r="J49" i="9"/>
  <c r="L49" i="9" s="1"/>
  <c r="J51" i="9"/>
  <c r="L51" i="9" s="1"/>
  <c r="J52" i="9"/>
  <c r="L52" i="9" s="1"/>
  <c r="D66" i="9" l="1"/>
  <c r="D21" i="9"/>
  <c r="E61" i="9" l="1"/>
  <c r="E41" i="9" l="1"/>
  <c r="E43" i="9"/>
  <c r="E57" i="9"/>
  <c r="F53" i="9"/>
  <c r="E59" i="9"/>
  <c r="J74" i="9"/>
  <c r="L74" i="9" s="1"/>
  <c r="J73" i="9"/>
  <c r="L73" i="9" s="1"/>
  <c r="J71" i="9"/>
  <c r="L71" i="9" s="1"/>
  <c r="E71" i="9"/>
  <c r="F71" i="9" s="1"/>
  <c r="J70" i="9"/>
  <c r="L70" i="9" s="1"/>
  <c r="J69" i="9"/>
  <c r="L69" i="9" s="1"/>
  <c r="J68" i="9"/>
  <c r="L68" i="9" s="1"/>
  <c r="J67" i="9"/>
  <c r="L67" i="9" s="1"/>
  <c r="E67" i="9"/>
  <c r="F67" i="9" s="1"/>
  <c r="E66" i="9"/>
  <c r="J66" i="9"/>
  <c r="L66" i="9" s="1"/>
  <c r="J64" i="9"/>
  <c r="L64" i="9" s="1"/>
  <c r="E64" i="9"/>
  <c r="F64" i="9" s="1"/>
  <c r="E63" i="9"/>
  <c r="D63" i="9"/>
  <c r="J63" i="9" s="1"/>
  <c r="L63" i="9" s="1"/>
  <c r="J62" i="9"/>
  <c r="L62" i="9" s="1"/>
  <c r="J61" i="9"/>
  <c r="L61" i="9" s="1"/>
  <c r="F61" i="9"/>
  <c r="D59" i="9"/>
  <c r="D57" i="9"/>
  <c r="J56" i="9"/>
  <c r="L56" i="9" s="1"/>
  <c r="I55" i="9"/>
  <c r="J55" i="9" s="1"/>
  <c r="L55" i="9" s="1"/>
  <c r="J54" i="9"/>
  <c r="L54" i="9" s="1"/>
  <c r="J53" i="9"/>
  <c r="L53" i="9" s="1"/>
  <c r="D43" i="9"/>
  <c r="D41" i="9"/>
  <c r="J40" i="9"/>
  <c r="L40" i="9" s="1"/>
  <c r="I39" i="9"/>
  <c r="J39" i="9" s="1"/>
  <c r="L39" i="9" s="1"/>
  <c r="J38" i="9"/>
  <c r="L38" i="9" s="1"/>
  <c r="J37" i="9"/>
  <c r="L37" i="9" s="1"/>
  <c r="E37" i="9"/>
  <c r="F37" i="9" s="1"/>
  <c r="E36" i="9"/>
  <c r="F36" i="9" s="1"/>
  <c r="J36" i="9"/>
  <c r="L36" i="9" s="1"/>
  <c r="J35" i="9"/>
  <c r="L35" i="9" s="1"/>
  <c r="E35" i="9"/>
  <c r="F35" i="9" s="1"/>
  <c r="E33" i="9"/>
  <c r="D33" i="9"/>
  <c r="J32" i="9"/>
  <c r="L32" i="9" s="1"/>
  <c r="J31" i="9"/>
  <c r="L31" i="9" s="1"/>
  <c r="E31" i="9"/>
  <c r="F31" i="9" s="1"/>
  <c r="J30" i="9"/>
  <c r="L30" i="9" s="1"/>
  <c r="J29" i="9"/>
  <c r="L29" i="9" s="1"/>
  <c r="J28" i="9"/>
  <c r="L28" i="9" s="1"/>
  <c r="J27" i="9"/>
  <c r="L27" i="9" s="1"/>
  <c r="E27" i="9"/>
  <c r="F27" i="9" s="1"/>
  <c r="J26" i="9"/>
  <c r="L26" i="9" s="1"/>
  <c r="J25" i="9"/>
  <c r="L25" i="9" s="1"/>
  <c r="J24" i="9"/>
  <c r="L24" i="9" s="1"/>
  <c r="J23" i="9"/>
  <c r="L23" i="9" s="1"/>
  <c r="E23" i="9"/>
  <c r="F23" i="9" s="1"/>
  <c r="E21" i="9"/>
  <c r="J21" i="9"/>
  <c r="L21" i="9" s="1"/>
  <c r="J20" i="9"/>
  <c r="L20" i="9" s="1"/>
  <c r="E20" i="9"/>
  <c r="F20" i="9" s="1"/>
  <c r="E18" i="9"/>
  <c r="D18" i="9"/>
  <c r="J17" i="9"/>
  <c r="L17" i="9" s="1"/>
  <c r="J16" i="9"/>
  <c r="L16" i="9" s="1"/>
  <c r="J15" i="9"/>
  <c r="L15" i="9" s="1"/>
  <c r="E15" i="9"/>
  <c r="F15" i="9" s="1"/>
  <c r="J59" i="9" l="1"/>
  <c r="L59" i="9" s="1"/>
  <c r="A59" i="9"/>
  <c r="J58" i="9"/>
  <c r="L58" i="9" s="1"/>
  <c r="A57" i="9"/>
  <c r="J42" i="9"/>
  <c r="L42" i="9" s="1"/>
  <c r="A41" i="9"/>
  <c r="J19" i="9"/>
  <c r="L19" i="9" s="1"/>
  <c r="A78" i="9"/>
  <c r="A67" i="9"/>
  <c r="A66" i="9"/>
  <c r="A63" i="9"/>
  <c r="A23" i="9"/>
  <c r="A20" i="9"/>
  <c r="A64" i="9"/>
  <c r="A94" i="9"/>
  <c r="A53" i="9"/>
  <c r="A61" i="9"/>
  <c r="A31" i="9"/>
  <c r="A36" i="9"/>
  <c r="A21" i="9"/>
  <c r="A90" i="9"/>
  <c r="A45" i="9"/>
  <c r="A77" i="9"/>
  <c r="A35" i="9"/>
  <c r="A18" i="9"/>
  <c r="A37" i="9"/>
  <c r="A27" i="9"/>
  <c r="A71" i="9"/>
  <c r="A174" i="9"/>
  <c r="A154" i="9"/>
  <c r="A118" i="9"/>
  <c r="A206" i="9"/>
  <c r="A126" i="9"/>
  <c r="A170" i="9"/>
  <c r="A202" i="9"/>
  <c r="A198" i="9"/>
  <c r="A156" i="9"/>
  <c r="A150" i="9"/>
  <c r="A181" i="9"/>
  <c r="A226" i="9"/>
  <c r="A155" i="9"/>
  <c r="A146" i="9"/>
  <c r="A159" i="9"/>
  <c r="A142" i="9"/>
  <c r="A162" i="9"/>
  <c r="A98" i="9"/>
  <c r="A130" i="9"/>
  <c r="A140" i="9"/>
  <c r="A234" i="9"/>
  <c r="A128" i="9"/>
  <c r="A114" i="9"/>
  <c r="A192" i="9"/>
  <c r="A122" i="9"/>
  <c r="A138" i="9"/>
  <c r="A160" i="9"/>
  <c r="A134" i="9"/>
  <c r="A218" i="9"/>
  <c r="A110" i="9"/>
  <c r="A104" i="9"/>
  <c r="A166" i="9"/>
  <c r="A180" i="9"/>
  <c r="A216" i="9"/>
  <c r="A106" i="9"/>
  <c r="A102" i="9"/>
  <c r="A100" i="9"/>
  <c r="A232" i="9"/>
  <c r="A212" i="9"/>
  <c r="A222" i="9"/>
  <c r="A224" i="9"/>
  <c r="A456" i="9"/>
  <c r="A272" i="9"/>
  <c r="A401" i="9"/>
  <c r="A383" i="9"/>
  <c r="A248" i="9"/>
  <c r="A392" i="9"/>
  <c r="A238" i="9"/>
  <c r="A278" i="9"/>
  <c r="A442" i="9"/>
  <c r="A468" i="9"/>
  <c r="A358" i="9"/>
  <c r="A354" i="9"/>
  <c r="A341" i="9"/>
  <c r="A304" i="9"/>
  <c r="A330" i="9"/>
  <c r="A424" i="9"/>
  <c r="A386" i="9"/>
  <c r="A244" i="9"/>
  <c r="A242" i="9"/>
  <c r="A246" i="9"/>
  <c r="A418" i="9"/>
  <c r="A282" i="9"/>
  <c r="A422" i="9"/>
  <c r="A249" i="9"/>
  <c r="A275" i="9"/>
  <c r="A335" i="9"/>
  <c r="A230" i="9"/>
  <c r="A296" i="9"/>
  <c r="A316" i="9"/>
  <c r="A312" i="9"/>
  <c r="A254" i="9"/>
  <c r="A455" i="9"/>
  <c r="A333" i="9"/>
  <c r="A412" i="9"/>
  <c r="A324" i="9"/>
  <c r="A404" i="9"/>
  <c r="A380" i="9"/>
  <c r="A300" i="9"/>
  <c r="A298" i="9"/>
  <c r="A448" i="9"/>
  <c r="A382" i="9"/>
  <c r="A364" i="9"/>
  <c r="A453" i="9"/>
  <c r="A262" i="9"/>
  <c r="A346" i="9"/>
  <c r="A408" i="9"/>
  <c r="A372" i="9"/>
  <c r="A292" i="9"/>
  <c r="A370" i="9"/>
  <c r="A434" i="9"/>
  <c r="A398" i="9"/>
  <c r="A320" i="9"/>
  <c r="A430" i="9"/>
  <c r="A474" i="9"/>
  <c r="A374" i="9"/>
  <c r="A314" i="9"/>
  <c r="A446" i="9"/>
  <c r="A378" i="9"/>
  <c r="A306" i="9"/>
  <c r="A286" i="9"/>
  <c r="A479" i="9"/>
  <c r="A426" i="9"/>
  <c r="A388" i="9"/>
  <c r="A308" i="9"/>
  <c r="A317" i="9"/>
  <c r="A440" i="9"/>
  <c r="A258" i="9"/>
  <c r="A450" i="9"/>
  <c r="A463" i="9"/>
  <c r="A362" i="9"/>
  <c r="A350" i="9"/>
  <c r="A470" i="9"/>
  <c r="A240" i="9"/>
  <c r="A250" i="9"/>
  <c r="A356" i="9"/>
  <c r="A266" i="9"/>
  <c r="A432" i="9"/>
  <c r="A438" i="9"/>
  <c r="A366" i="9"/>
  <c r="A253" i="9"/>
  <c r="A459" i="9"/>
  <c r="A195" i="9"/>
  <c r="A51" i="9"/>
  <c r="A49" i="9"/>
  <c r="J33" i="9"/>
  <c r="L33" i="9" s="1"/>
  <c r="A33" i="9"/>
  <c r="J43" i="9"/>
  <c r="L43" i="9" s="1"/>
  <c r="A43" i="9"/>
  <c r="F21" i="9"/>
  <c r="F63" i="9"/>
  <c r="J18" i="9"/>
  <c r="L18" i="9" s="1"/>
  <c r="F33" i="9"/>
  <c r="F41" i="9"/>
  <c r="F59" i="9"/>
  <c r="J60" i="9"/>
  <c r="L60" i="9" s="1"/>
  <c r="J41" i="9"/>
  <c r="L41" i="9" s="1"/>
  <c r="F18" i="9"/>
  <c r="J34" i="9"/>
  <c r="L34" i="9" s="1"/>
  <c r="F57" i="9"/>
  <c r="J57" i="9"/>
  <c r="L57" i="9" s="1"/>
  <c r="F43" i="9"/>
  <c r="J44" i="9"/>
  <c r="L44" i="9" s="1"/>
  <c r="F66" i="9"/>
  <c r="L483" i="9" l="1"/>
  <c r="F483" i="9"/>
  <c r="F484" i="9" l="1"/>
  <c r="F485" i="9" s="1"/>
  <c r="F486" i="9" s="1"/>
  <c r="F487" i="9" s="1"/>
  <c r="F488" i="9" s="1"/>
</calcChain>
</file>

<file path=xl/sharedStrings.xml><?xml version="1.0" encoding="utf-8"?>
<sst xmlns="http://schemas.openxmlformats.org/spreadsheetml/2006/main" count="3498" uniqueCount="473">
  <si>
    <t>№ п/п</t>
  </si>
  <si>
    <t>Найменування робіт і витрат</t>
  </si>
  <si>
    <t>Од. вим.</t>
  </si>
  <si>
    <t>Кількість</t>
  </si>
  <si>
    <t>Ціна один., грн без ПДВ</t>
  </si>
  <si>
    <t>Вартість робіт грн. без ПДВ</t>
  </si>
  <si>
    <t>Матеріали</t>
  </si>
  <si>
    <t xml:space="preserve">Норма витрат </t>
  </si>
  <si>
    <t>Вартість, грн без ПДВ</t>
  </si>
  <si>
    <t xml:space="preserve">Підвал </t>
  </si>
  <si>
    <t>Стеля</t>
  </si>
  <si>
    <t>м²</t>
  </si>
  <si>
    <t>Грунтовка-фарба Anserglob EG 62 acryl</t>
  </si>
  <si>
    <t>л/м²</t>
  </si>
  <si>
    <t>Шпаклівка НР Старт</t>
  </si>
  <si>
    <t>кг/м²</t>
  </si>
  <si>
    <t>Шпаклівка НР Фініш</t>
  </si>
  <si>
    <t>Грунтівка Ансерглоб 58</t>
  </si>
  <si>
    <t>м²/м²</t>
  </si>
  <si>
    <t>Склосітка 145 гр/м2</t>
  </si>
  <si>
    <t>Стіни</t>
  </si>
  <si>
    <t>Водоемульсійна фарба Caparol Savanne 16</t>
  </si>
  <si>
    <t>м/п</t>
  </si>
  <si>
    <t>л/м.п</t>
  </si>
  <si>
    <t>кг/м.п</t>
  </si>
  <si>
    <t>Профіль кутовий штукатурний</t>
  </si>
  <si>
    <t>м/м.п</t>
  </si>
  <si>
    <t>м.п</t>
  </si>
  <si>
    <t>м²/м.п</t>
  </si>
  <si>
    <t>Влаштування кутиків деформаційних швів</t>
  </si>
  <si>
    <t>Металевий перфорований кутик</t>
  </si>
  <si>
    <t>Підлога</t>
  </si>
  <si>
    <t>Влаштування покриття підлог з керамічних плиток 300х300мм</t>
  </si>
  <si>
    <t>Клей для плитки КС 11</t>
  </si>
  <si>
    <t>Затирка для швів СЕ 33 плюс</t>
  </si>
  <si>
    <t xml:space="preserve">Фарбування стель водоемульсійними сумішами </t>
  </si>
  <si>
    <t>Штукатурка МП-75</t>
  </si>
  <si>
    <t>м/м²</t>
  </si>
  <si>
    <t>Фінішне шпаклювання стін</t>
  </si>
  <si>
    <t>Фарбування стін водоемульсійними сумішами</t>
  </si>
  <si>
    <t>м2</t>
  </si>
  <si>
    <t>Всього вартість робіт (без ПДВ)</t>
  </si>
  <si>
    <t>грн</t>
  </si>
  <si>
    <t>Всього вартість матеріалів (без ПДВ)</t>
  </si>
  <si>
    <t>Разом (без ПДВ)</t>
  </si>
  <si>
    <t>м.п/м.п</t>
  </si>
  <si>
    <t>Водоемульсійна фарба Caparol Grau-weiss</t>
  </si>
  <si>
    <t>Влаштування деформаційного шву</t>
  </si>
  <si>
    <t>Водоемульсійна фарба (Caparol Grau-Weiss)</t>
  </si>
  <si>
    <t xml:space="preserve">Ссылка на накладную, счет или акт приема передачи </t>
  </si>
  <si>
    <t>14кг/9л</t>
  </si>
  <si>
    <t>10л/15кг</t>
  </si>
  <si>
    <t>10л/7кг</t>
  </si>
  <si>
    <t>Плитки керамічні для підлог 300х300мм  Грес Е0070</t>
  </si>
  <si>
    <t>Бетоноконтакт</t>
  </si>
  <si>
    <t>Влаштування  стрічки EPDM</t>
  </si>
  <si>
    <t>м.п.</t>
  </si>
  <si>
    <t xml:space="preserve">Гіпсова машинна штукартурка цегляних стін, та стін з бетонних і керамзитобетонних блоків </t>
  </si>
  <si>
    <t>м.п/м²</t>
  </si>
  <si>
    <t>Шпаклювання стель за 2 рази</t>
  </si>
  <si>
    <t>Гіпсова машинна штукартурка бетонних стін</t>
  </si>
  <si>
    <t xml:space="preserve">Вапняне фарбування стін </t>
  </si>
  <si>
    <t>Вапно</t>
  </si>
  <si>
    <t xml:space="preserve">Вапняне фарбування стель </t>
  </si>
  <si>
    <t>Фінішне шпаклювання  укосів, шириною 200 мм</t>
  </si>
  <si>
    <t>Фарбування укосів водоемульсійними сумішами, шириною 200 мм</t>
  </si>
  <si>
    <t>Гіпсова машинна штукартурка по цегляних та газоблочних укосам, шириною 200мм</t>
  </si>
  <si>
    <t>Гіпсова машинна штукартурка по цегляних та газоблочних укосам, шириною 140мм</t>
  </si>
  <si>
    <t>Фінішне шпаклювання  укосів, шириною 140 мм</t>
  </si>
  <si>
    <t>Фарбування укосів водоемульсійними сумішами, шириною 140 мм</t>
  </si>
  <si>
    <t>Cтрічка  EPDM</t>
  </si>
  <si>
    <t>Влаштування плінтусів h=100мм з керамічних плиток 300х300мм</t>
  </si>
  <si>
    <t>Глибокопроникна грунтовка типу СТ-17 Cerezit</t>
  </si>
  <si>
    <r>
      <rPr>
        <b/>
        <sz val="10"/>
        <rFont val="Times New Roman"/>
        <family val="1"/>
        <charset val="204"/>
      </rPr>
      <t>Договірна ціна</t>
    </r>
    <r>
      <rPr>
        <sz val="10"/>
        <rFont val="Times New Roman"/>
        <family val="1"/>
        <charset val="204"/>
      </rPr>
      <t xml:space="preserve">: динамічна </t>
    </r>
  </si>
  <si>
    <r>
      <rPr>
        <b/>
        <sz val="10"/>
        <rFont val="Times New Roman"/>
        <family val="1"/>
        <charset val="204"/>
      </rPr>
      <t xml:space="preserve">Найменування будівництва та иого адреса </t>
    </r>
    <r>
      <rPr>
        <sz val="10"/>
        <rFont val="Times New Roman"/>
        <family val="1"/>
        <charset val="204"/>
      </rPr>
      <t>- комплекс підготовчих робіт та будівельно-монтажних робіт по будівництву житлових будинків №13.1; №13.2; №13.6; №13.7; №13.8; №13.9; №13.10; громадських будівель №13,12; №13.13 та будівель трансформаторних підстанцій №13.14; №13.15; №13.16 у складі об’єкта будівництва «Комплексна забудова мікрорайонів VI, VII, VIII, IX, X, XIII багатофункціонального житлового району на проспекті Правди навпроти перетину з  проспектом Василя Порика у Подільському районі м. Києва (коригування ХІІІ мікрорайону)</t>
    </r>
  </si>
  <si>
    <t>Вапняне фарбування укосів</t>
  </si>
  <si>
    <t>Профіль AR291-150 (Профіль AR 281-150)</t>
  </si>
  <si>
    <t xml:space="preserve">Профіль AR822-150 </t>
  </si>
  <si>
    <r>
      <t xml:space="preserve">Найменування об'єкта - </t>
    </r>
    <r>
      <rPr>
        <sz val="10"/>
        <rFont val="Times New Roman"/>
        <family val="1"/>
        <charset val="204"/>
      </rPr>
      <t>Будинок № 13.9</t>
    </r>
  </si>
  <si>
    <r>
      <rPr>
        <b/>
        <sz val="10"/>
        <rFont val="Times New Roman"/>
        <family val="1"/>
        <charset val="204"/>
      </rPr>
      <t>Основа</t>
    </r>
    <r>
      <rPr>
        <sz val="10"/>
        <rFont val="Times New Roman"/>
        <family val="1"/>
        <charset val="204"/>
      </rPr>
      <t>: 1722-13.9-АР</t>
    </r>
  </si>
  <si>
    <t>Фінішне шпаклювання укосів, шириною 150 мм</t>
  </si>
  <si>
    <t>Фарбування укосів водоемульсійними сумішами, шириною 150 мм</t>
  </si>
  <si>
    <t>Гіпсова машинна штукартурка по залізобетонним укосам, шириною 150 мм</t>
  </si>
  <si>
    <t>МЗК  1 поверх</t>
  </si>
  <si>
    <t>Профіль AR262-152</t>
  </si>
  <si>
    <t>Влаштування підвісних стель типу "Armstrong"</t>
  </si>
  <si>
    <t>Плита AMF (1200х550х20)</t>
  </si>
  <si>
    <t>Профіль поперечний 0,6м  Kraft Nova</t>
  </si>
  <si>
    <t>шт/м²</t>
  </si>
  <si>
    <t>Профіль головний 3,6м</t>
  </si>
  <si>
    <t>Профіль поперечний 1,2м Kraft Nova</t>
  </si>
  <si>
    <t>Профіль пристінний 3,0м Kraft Nova</t>
  </si>
  <si>
    <t>шт/м2</t>
  </si>
  <si>
    <t>Підвіска пружинна із зажимом "Твіст"</t>
  </si>
  <si>
    <t>Стержень з вушком</t>
  </si>
  <si>
    <t>Стержень з крючком</t>
  </si>
  <si>
    <t>Стельовий дюбель (анкерний)</t>
  </si>
  <si>
    <t>Дюбель 6/40</t>
  </si>
  <si>
    <t>шт/м.п проф. кут</t>
  </si>
  <si>
    <t>Водоемульсійна фарба Caparol Schieter 0</t>
  </si>
  <si>
    <t>Влаштування покриття стін з керамічних плиток 600х200мм</t>
  </si>
  <si>
    <t>Плитки керамічні 600х200 ( Paradyz midian bianco)</t>
  </si>
  <si>
    <t>Влаштування покриття стін з керамічних плиток  300x600</t>
  </si>
  <si>
    <t>Плитки керамічні 600х300 ( YC-53 nat. - сіра)</t>
  </si>
  <si>
    <t>Плитки керамічні 600х300 ( YC-04 nat. - біла)</t>
  </si>
  <si>
    <t>Влаштування покриття стін з керамічних плиток 1200x200мм</t>
  </si>
  <si>
    <t>Плитки керамічні " Макассар коричневий темний обрізний 1200x200 мм" ( Cerrad Podgola Tonella Honey Rect)</t>
  </si>
  <si>
    <t>Гіпсова машинна штукартурка по цегляним та газоблочним укосам, шириною 200 мм</t>
  </si>
  <si>
    <t>Фінішне шпаклювання укосів, шириною 200 мм</t>
  </si>
  <si>
    <t>Влаштування покриття укосів з керамічних плиток 300x600, шириною 200мм</t>
  </si>
  <si>
    <t>Гіпсова машинна штукартурка по цегляних та газоблочних укосам, шириною 70мм</t>
  </si>
  <si>
    <t>Фінішне шпаклювання укосів, шириною 70 мм</t>
  </si>
  <si>
    <t>Фарбування укосів водоемульсійними сумішами, шириною 70 мм</t>
  </si>
  <si>
    <t>Влаштування покриття укосів з керамічних плиток 300x600, шириною 70мм</t>
  </si>
  <si>
    <t>Гіпсова машинна штукартурка по залізобетонним укосам, шириною 150мм</t>
  </si>
  <si>
    <t>Влаштування стрічки EPDM</t>
  </si>
  <si>
    <t>Профіль PAV23-150</t>
  </si>
  <si>
    <t xml:space="preserve"> Обмазуюча гідроізоляція в 2 шари </t>
  </si>
  <si>
    <t>Обмазуюча гідроізоляція Ceresit CR 65</t>
  </si>
  <si>
    <t>Геотекстиль 120г/м2</t>
  </si>
  <si>
    <t>Влаштування покриття підлог з керамічних плиток 600х600мм</t>
  </si>
  <si>
    <t>Плитки керамічні для підлог 600х600мм  ("Kerama Marazzi Про Стоун DD600500R")</t>
  </si>
  <si>
    <t>Влаштування покриття підлог з керамічних плиток 400х400мм</t>
  </si>
  <si>
    <t>Плитки керамічні для підлог 400х400мм (Golden Tile Area Cement 322830, колір-сірий)</t>
  </si>
  <si>
    <t>Влаштування плінтусів h=100мм з керамічних плиток 600х100мм</t>
  </si>
  <si>
    <t>Влаштування плінтусів h=100мм з керамічних плиток 400х400мм</t>
  </si>
  <si>
    <t>МЗК  з 2 по 25 поверхи</t>
  </si>
  <si>
    <t>Профіль кутовий декоративний 3м - периметр по факту (203,25м)</t>
  </si>
  <si>
    <t xml:space="preserve">Шпаклювання стель </t>
  </si>
  <si>
    <t>Утеплення стін мінватою товщ. 50 мм</t>
  </si>
  <si>
    <t>Плити мінераловатні товщ. 50мм 95-105кг/м3</t>
  </si>
  <si>
    <t>Клеєва суміш для кріплення мінвати Ансерглоб 39</t>
  </si>
  <si>
    <t>Дюбель-зонт 10х120мм</t>
  </si>
  <si>
    <t>Клеєва суміш для армування плит з мінвати Ансерглоб 40</t>
  </si>
  <si>
    <t>Шпаклювання стін по мін.ваті гіпсовими сумішами</t>
  </si>
  <si>
    <t>Плитки керамічні для підлог 300х600мм  "Zeus Ceramica Concrete Nero ZRXRM9R"</t>
  </si>
  <si>
    <t xml:space="preserve">Влаштування плінтусів h=100мм з керамічних плиток 300х600мм   </t>
  </si>
  <si>
    <t>Влаштування плінтусів h=100мм з керамічних плиток 300х100мм</t>
  </si>
  <si>
    <t>26  поверх</t>
  </si>
  <si>
    <t>Шпаклювання стель</t>
  </si>
  <si>
    <t>Фарбування стель водоемульсійними сумішами</t>
  </si>
  <si>
    <t>Влаштування звукопоглинального облицювання стелі в котельній</t>
  </si>
  <si>
    <t>Профиль CD 60*27</t>
  </si>
  <si>
    <t>п.м</t>
  </si>
  <si>
    <t>Профиль UD 28*27</t>
  </si>
  <si>
    <t>п.м/м²</t>
  </si>
  <si>
    <t xml:space="preserve">Акустична мінераловатна вата Acostik Wool Sonet P  100мм </t>
  </si>
  <si>
    <t>м2/м2</t>
  </si>
  <si>
    <t>Оцинкований металевий перфорований лист 0,5 мм з коєф. перфорації не менше30%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</si>
  <si>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</si>
  <si>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Прямий підвіс</t>
  </si>
  <si>
    <t>шт</t>
  </si>
  <si>
    <t>Влаштування звукопоглинального облицювання стін в приміщенні котельні</t>
  </si>
  <si>
    <t>Профиль UW 100x50</t>
  </si>
  <si>
    <t>Гіпсова машинна штукартурка цегляних стін</t>
  </si>
  <si>
    <t xml:space="preserve">Фінішне шпаклювання стін </t>
  </si>
  <si>
    <t>Обмазуюча гідроізоляція Ceresit CR 66</t>
  </si>
  <si>
    <t>Сходові клітини з 1-го по 26-й поверхи</t>
  </si>
  <si>
    <t xml:space="preserve">Фарбування стель і косоурів водоемульсійними сумішами </t>
  </si>
  <si>
    <t xml:space="preserve">Фінішне шпаклювання стін  </t>
  </si>
  <si>
    <t>Шпаклювання торців сходів шириною 120 мм в 2 шари</t>
  </si>
  <si>
    <t>Фарбування торців сходів водоемульсійною фарбою шириною 120мм</t>
  </si>
  <si>
    <t>Влаштування плінтусів h=100мм з керамічних плиток 400х100мм</t>
  </si>
  <si>
    <t>Холодні переходи</t>
  </si>
  <si>
    <t>Вхідні майданчики 1-го поверху</t>
  </si>
  <si>
    <t>Влаштування покриття підлог з керамічних плиток 300х600мм</t>
  </si>
  <si>
    <t>на внутрішнє опорядження</t>
  </si>
  <si>
    <t>Профіль кутовий декоративний 3м - периметр по факту (219,65м)</t>
  </si>
  <si>
    <t>Приміщення на покрівлі (відм. +79.460)</t>
  </si>
  <si>
    <t>Шпаклювання стель і косоурів</t>
  </si>
  <si>
    <t>Плитки керамічні для підлог 300х600мм  "RW034 ESTIMA"</t>
  </si>
  <si>
    <t>рах. 0011607 п. 1</t>
  </si>
  <si>
    <t>рах. 00014839 п. 8</t>
  </si>
  <si>
    <t>рах. 00014839 п. 9</t>
  </si>
  <si>
    <t>рах. 20094557 п. 1</t>
  </si>
  <si>
    <t>ТП №2310 від 16.03.20</t>
  </si>
  <si>
    <t>рах. 00014839 п. 10</t>
  </si>
  <si>
    <t>рах. 20094557 п. 3</t>
  </si>
  <si>
    <t>рах. 0007401 п. 1</t>
  </si>
  <si>
    <t>рах.1771</t>
  </si>
  <si>
    <t>рах.20094557</t>
  </si>
  <si>
    <t>рах.№18058 від 11.06.20</t>
  </si>
  <si>
    <t>рах.ЄМ-00013633 від 15.06.20</t>
  </si>
  <si>
    <t>рах.№348 від 28.04.20, п.3</t>
  </si>
  <si>
    <t>рах.№13162 від 28.07.20</t>
  </si>
  <si>
    <t>рах.№2198 від 12.08.20</t>
  </si>
  <si>
    <t>рах.№348 від 28.04.20, п.6</t>
  </si>
  <si>
    <t xml:space="preserve"> Договірна ціна №12110(13.9)-1</t>
  </si>
  <si>
    <t>Інші витрати (без ПДВ)</t>
  </si>
  <si>
    <t>Разом з іншими витратами (без ПДВ)</t>
  </si>
  <si>
    <t>Податок на додану вартість 20%</t>
  </si>
  <si>
    <t>Всього вартість  робіт  з урахуванням ПДВ</t>
  </si>
  <si>
    <t xml:space="preserve">М. П.  Замовник         </t>
  </si>
  <si>
    <t xml:space="preserve"> Генеральний директор ____________________Л. А.Іоничев</t>
  </si>
  <si>
    <t>"____"____________2020 року</t>
  </si>
  <si>
    <t xml:space="preserve">                          </t>
  </si>
  <si>
    <t xml:space="preserve"> Директор фінансовий ____________________   В. Д. Черепніна</t>
  </si>
  <si>
    <t xml:space="preserve">М. П. Генпідрядник  </t>
  </si>
  <si>
    <t>Генеральний директор ____________________Л. В. Чиківчук</t>
  </si>
  <si>
    <r>
      <rPr>
        <b/>
        <sz val="10"/>
        <rFont val="Times New Roman"/>
        <family val="1"/>
        <charset val="204"/>
      </rPr>
      <t>Підприємство, організація</t>
    </r>
    <r>
      <rPr>
        <sz val="10"/>
        <rFont val="Times New Roman"/>
        <family val="1"/>
        <charset val="204"/>
      </rPr>
      <t xml:space="preserve"> - ТОВ "ДИПРОІНБУД"   </t>
    </r>
    <r>
      <rPr>
        <sz val="10"/>
        <color indexed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                               </t>
    </r>
  </si>
  <si>
    <r>
      <rPr>
        <b/>
        <sz val="10"/>
        <rFont val="Times New Roman"/>
        <family val="1"/>
        <charset val="204"/>
      </rPr>
      <t>Ідентифікаційний код ЄДРПОУ</t>
    </r>
    <r>
      <rPr>
        <sz val="10"/>
        <rFont val="Times New Roman"/>
        <family val="1"/>
        <charset val="204"/>
      </rPr>
      <t xml:space="preserve"> - (33296568)                                        </t>
    </r>
  </si>
  <si>
    <r>
      <rPr>
        <b/>
        <sz val="10"/>
        <rFont val="Times New Roman"/>
        <family val="1"/>
        <charset val="204"/>
      </rPr>
      <t>Замовник</t>
    </r>
    <r>
      <rPr>
        <sz val="10"/>
        <rFont val="Times New Roman"/>
        <family val="1"/>
        <charset val="204"/>
      </rPr>
      <t xml:space="preserve"> -ТОВ "РІЕЛТ-БУД"</t>
    </r>
  </si>
  <si>
    <r>
      <rPr>
        <b/>
        <sz val="10"/>
        <rFont val="Times New Roman"/>
        <family val="1"/>
        <charset val="204"/>
      </rPr>
      <t>Генпідрядник</t>
    </r>
    <r>
      <rPr>
        <sz val="10"/>
        <rFont val="Times New Roman"/>
        <family val="1"/>
        <charset val="204"/>
      </rPr>
      <t xml:space="preserve"> - ТОВ "ДИПРОІНБУД"</t>
    </r>
  </si>
  <si>
    <r>
      <rPr>
        <b/>
        <sz val="10"/>
        <rFont val="Times New Roman"/>
        <family val="1"/>
        <charset val="204"/>
      </rPr>
      <t>Договір</t>
    </r>
    <r>
      <rPr>
        <sz val="10"/>
        <rFont val="Times New Roman"/>
        <family val="1"/>
        <charset val="204"/>
      </rPr>
      <t xml:space="preserve"> №26/12/2017-ГПР/XIII/1 від 26 грудня 2017 року</t>
    </r>
  </si>
  <si>
    <t>расценка согласно бюджета код 12110, п.45</t>
  </si>
  <si>
    <t>Корпус №1 Підвал на відм.-3.300,-1.600</t>
  </si>
  <si>
    <t>прим.№302</t>
  </si>
  <si>
    <t>Влаштування стін та колон з ГКЛ</t>
  </si>
  <si>
    <t>Профіль CD 60/27</t>
  </si>
  <si>
    <t>Профіль UD 28/27</t>
  </si>
  <si>
    <t>Подовжувач профілів 60/110</t>
  </si>
  <si>
    <t>Стрічка ущільнююча</t>
  </si>
  <si>
    <t>Шуруп самонарізний 9,5</t>
  </si>
  <si>
    <t>Шуруп самонарізний 25</t>
  </si>
  <si>
    <t>Шпаклівка Фугенфюллер</t>
  </si>
  <si>
    <t xml:space="preserve">Стрічка клейка для швів </t>
  </si>
  <si>
    <t>Демонтаж плінтусу</t>
  </si>
  <si>
    <t>Монтаж плінтусу</t>
  </si>
  <si>
    <t>Фарбування стін водоемульсійними сумішами в 2 шари</t>
  </si>
  <si>
    <t>Влаштуваня захисного покриття</t>
  </si>
  <si>
    <t>стрічка малярна</t>
  </si>
  <si>
    <t>Штукатурна суміш МП-75 Кнауф</t>
  </si>
  <si>
    <t>Кутик для мокрої штукатурки пластиковий, 3м</t>
  </si>
  <si>
    <t>Шпаклівка "Кнауф Мультіфініш"</t>
  </si>
  <si>
    <t>Гіпсова машинна штукартурка дверних та віконних відкосів</t>
  </si>
  <si>
    <t>Шпаклювання відкосів (фініш),</t>
  </si>
  <si>
    <t>Фарбування відкосів водоемульсійними сумішами, , за 2 рази</t>
  </si>
  <si>
    <t>Демонтаж дверного простінку</t>
  </si>
  <si>
    <t>м3</t>
  </si>
  <si>
    <t>Демонтаж металлопластикових та металевих дверей</t>
  </si>
  <si>
    <t>прим.№015</t>
  </si>
  <si>
    <t>прим.№035</t>
  </si>
  <si>
    <t>Встановлення металлопластикових  та металевих дверей</t>
  </si>
  <si>
    <t>Корпус №1 Перший поверх на відм.0.000,+1.600</t>
  </si>
  <si>
    <t>Демонтаж стіни під двері</t>
  </si>
  <si>
    <t>прим.№116,119</t>
  </si>
  <si>
    <t>Влаштування покриття підлог з керамічних плиток 300х300мм (сан.вузол)</t>
  </si>
  <si>
    <t>Обмазувальна гідроізоляція Ceresit CR 65</t>
  </si>
  <si>
    <t>Влаштування обмазочної гідроізоляції в 2 шари з заходом на стіну (сан.вузол)</t>
  </si>
  <si>
    <t>Влаштування  стяжки підлоги (сан.вузол)</t>
  </si>
  <si>
    <t>Влаштування покриття стін з керамічних плиток 300х300мм (сан.вузол)</t>
  </si>
  <si>
    <t>Демонтаж покриття підлоги</t>
  </si>
  <si>
    <t>Шліфування підлог від клею</t>
  </si>
  <si>
    <t>Влаштування покриття  з каучуку</t>
  </si>
  <si>
    <t>прим.№102,108,134,136</t>
  </si>
  <si>
    <t>Влаштування плінтусу</t>
  </si>
  <si>
    <t>Влаштування покриття  з ПВХ</t>
  </si>
  <si>
    <t>Кабінети</t>
  </si>
  <si>
    <t>Влаштуваня захисного покриття стін перед шліфуванням</t>
  </si>
  <si>
    <t>прим.№104</t>
  </si>
  <si>
    <t>Демонтаж простінку</t>
  </si>
  <si>
    <t>Демонтаж покриття стін</t>
  </si>
  <si>
    <t>Мурування стіни з цегли 250мм</t>
  </si>
  <si>
    <t xml:space="preserve">Розчин РК Р 12 (М 75) </t>
  </si>
  <si>
    <t>Сітка Вр-1 Ø3мм. чар 50х50 мм</t>
  </si>
  <si>
    <t>Арматура Ø8мм А240С</t>
  </si>
  <si>
    <t>тн</t>
  </si>
  <si>
    <t>Бетоноконтакт "АС-4" Polimin</t>
  </si>
  <si>
    <t>Сітка штукатурна 160пл. "Fiberglass"</t>
  </si>
  <si>
    <t>Шпаклювання стін (старт, фініш)</t>
  </si>
  <si>
    <t>Шпаклівка "Кнауф Старт"</t>
  </si>
  <si>
    <t>Корпус №1 Другий  поверх на відм.+3.300,+4.500</t>
  </si>
  <si>
    <t>прим.№220</t>
  </si>
  <si>
    <t>Влаштування металлопластикових стін</t>
  </si>
  <si>
    <t>Металлопластикова стіна 5550мм (дві двері)</t>
  </si>
  <si>
    <t>комп</t>
  </si>
  <si>
    <t>Корпус №1 Четвертий  поверх на відм.+3.300,+4.500</t>
  </si>
  <si>
    <t>прим.№459</t>
  </si>
  <si>
    <t>Металлопластикова стіна 3550мм (глуха)</t>
  </si>
  <si>
    <t>Демонтаж стіни під вікно</t>
  </si>
  <si>
    <t>Влаштування ПВХ вікна</t>
  </si>
  <si>
    <t>Вікно металлопластикове 1000Х1000мм</t>
  </si>
  <si>
    <t>Демонтаж сантехнічних приборів</t>
  </si>
  <si>
    <t>прим.№458</t>
  </si>
  <si>
    <t>прим.№444</t>
  </si>
  <si>
    <t>Вікно металлопластикове 1500Х1000мм</t>
  </si>
  <si>
    <t>прим.№434,436</t>
  </si>
  <si>
    <t>прим.№427,429</t>
  </si>
  <si>
    <t>Влаштуваня захисного покриття стін перед демонтажем</t>
  </si>
  <si>
    <t>Демонтаж ГЛК конструкций</t>
  </si>
  <si>
    <t>Влаштування покриття стін з мозайки дошової кабіни</t>
  </si>
  <si>
    <t>прим.№423,425</t>
  </si>
  <si>
    <t>прим.№416,418</t>
  </si>
  <si>
    <t>прим.№420,422</t>
  </si>
  <si>
    <t>прим.№408,410</t>
  </si>
  <si>
    <t>прим.№412,414</t>
  </si>
  <si>
    <t>шт/м.п</t>
  </si>
  <si>
    <t>прим.№440</t>
  </si>
  <si>
    <t>Фарбування стін водоемульсійними сумішами, , за 2 рази</t>
  </si>
  <si>
    <t>Корпус №1 П"ятого  поверху на відм.+13,200</t>
  </si>
  <si>
    <t>прим.№501</t>
  </si>
  <si>
    <t>Корпус №2 Другий поверх на відм.+4,950</t>
  </si>
  <si>
    <t>Корпус №2 План на відм.+8,250</t>
  </si>
  <si>
    <t>Плінтус GHm Барбакан</t>
  </si>
  <si>
    <t>шт/м</t>
  </si>
  <si>
    <t>Герметик силіконовий Penosil Premium</t>
  </si>
  <si>
    <t>Водоемульсійна фарба  "DUFA" D100</t>
  </si>
  <si>
    <t>Гіпсокартоний лист вологостійкий Knauf в 2 шари</t>
  </si>
  <si>
    <t>Грунт глибокопроникаючий, Ceresit CT 17 Супер</t>
  </si>
  <si>
    <t>Двері металеві Redford 960x2100</t>
  </si>
  <si>
    <t>Двері металлопластикові WDS 760X2180</t>
  </si>
  <si>
    <t>Дюбель 6/40 Expert Fix</t>
  </si>
  <si>
    <t>Затирка для швів Cerasit CE 40</t>
  </si>
  <si>
    <t xml:space="preserve">Клей для плитки Cerasit CM 117 </t>
  </si>
  <si>
    <t>Мозайка AquaMo</t>
  </si>
  <si>
    <t>Підвіс прямий 60/27 (деталь ES) Profstal</t>
  </si>
  <si>
    <t>Плита AMF (1200х600х20) Thermatey</t>
  </si>
  <si>
    <t>Плитки керамічні  Cersanit 300х300</t>
  </si>
  <si>
    <t>Плівка ПВХ 200мкм</t>
  </si>
  <si>
    <t xml:space="preserve">Профіль кутовий декоративний 3м </t>
  </si>
  <si>
    <t>ПВХ плитка LG Decotile DTT</t>
  </si>
  <si>
    <t xml:space="preserve">Клей Kiilto Extra </t>
  </si>
  <si>
    <t>л/м2</t>
  </si>
  <si>
    <t>Мокрий фасад</t>
  </si>
  <si>
    <t>Армуючий склад Capatect Standard Klebe- und Armierungsmasse 176</t>
  </si>
  <si>
    <t>кг</t>
  </si>
  <si>
    <t>Сітка Capatect Standard Gewebe 640 (50м.п.x1,0м.п.) щільність 145г/м2</t>
  </si>
  <si>
    <t>Відновлення фасаду (герметизація отворів від обстрілу</t>
  </si>
  <si>
    <t>Адгезійний грунт  Capatect Standard Putzgrund 605  колір Ginster 20  (беж)</t>
  </si>
  <si>
    <t>Фінішне покриття Capatect Standard SilikonPutz K15 колір Ginster 20  (беж)</t>
  </si>
  <si>
    <t>фінішне декоративне оздоблення окрашене в масі, "барашек" 1,5 мм. Силіконова (з попереднім грунтуванням)  поле стіни Caparol</t>
  </si>
  <si>
    <t>Влаштування вишок ту та лісів</t>
  </si>
  <si>
    <t>Прокладання гофротруб</t>
  </si>
  <si>
    <t>м</t>
  </si>
  <si>
    <t>Гофрошланг Ду16</t>
  </si>
  <si>
    <t>Вимикач автоматичнийВА63 C 3Р 16А Schneider Electric</t>
  </si>
  <si>
    <t>Прокладання силового кабелю з мідними жилами</t>
  </si>
  <si>
    <t>Кабелi силовi з мiдними жилами  і низьким димоутворенням 0,6/1кВ перерізом 3х1,5 мм2</t>
  </si>
  <si>
    <t xml:space="preserve">Монтаж коробок </t>
  </si>
  <si>
    <t>Коробка розподільча відкритої установки ІР44, 100х100мм</t>
  </si>
  <si>
    <t>Коробка розподільча Е30</t>
  </si>
  <si>
    <t>Коробка відгалужувальна Ф80мм з кришкою</t>
  </si>
  <si>
    <t xml:space="preserve">Прокладання полоси сталевої </t>
  </si>
  <si>
    <t>Смуга сталева 25х4 мм</t>
  </si>
  <si>
    <t>Зажим для кабелю діаметром 35-40мм LCU/V 35-40 СКаТ</t>
  </si>
  <si>
    <t>Зажим для кабелю діаметром 16-21мм LCU/V 16-21 СКаТ</t>
  </si>
  <si>
    <t>Зажим для кабелю діаметром 12-16мм LCU/V 12-16 СКаТ</t>
  </si>
  <si>
    <t>Прокладання безгалогенного кабелю вогнестійкого</t>
  </si>
  <si>
    <t>Кабель Е180/Е30 з мідними жилами, 0,6/1кВ, перерізом 3х2,5мм2</t>
  </si>
  <si>
    <t>Монтаж металевих лотків</t>
  </si>
  <si>
    <t>Лоток металевий, оцинкований, вогнетривкий Е90 300х100h L=3000мм СКаТ</t>
  </si>
  <si>
    <t>Планка перфорована 300 Е90 СКаТ</t>
  </si>
  <si>
    <t>Скоба стельова Е90 СКаТ</t>
  </si>
  <si>
    <t>Болти М8х60</t>
  </si>
  <si>
    <t>Гайка М8</t>
  </si>
  <si>
    <t>Шайба М8</t>
  </si>
  <si>
    <t>Гвинт М6х12 СКаТ</t>
  </si>
  <si>
    <t>Гайка з насічкою М6</t>
  </si>
  <si>
    <t>Анкер М8</t>
  </si>
  <si>
    <t>Шпилька М8 довжиною 1м Е90</t>
  </si>
  <si>
    <t>Перегородка для лотка довжиною 2м Е90 СКаТ</t>
  </si>
  <si>
    <t xml:space="preserve">Монтаж світильників </t>
  </si>
  <si>
    <t xml:space="preserve">Свiтильник накладний LED, 20Вт, ІР20 </t>
  </si>
  <si>
    <t xml:space="preserve">Свiтильник вбудований LED, 20Вт, ІР20 </t>
  </si>
  <si>
    <t xml:space="preserve">Свiтильник накладний вологозахищений LED, 20Вт, ІР44 </t>
  </si>
  <si>
    <t>Свiтильник накладний вологозахищений LED, 40Вт, ІР44, l=1200мм</t>
  </si>
  <si>
    <t>Свiтильник накладний вологозахищений LED, 1х20Вт, ІР44</t>
  </si>
  <si>
    <t>ЩК-1 металевий вбудований, габарити 405hх320х120мм</t>
  </si>
  <si>
    <t>ЩК-2 металевий вбудований, габарити 405hх320х120мм</t>
  </si>
  <si>
    <t>Встановлення  автоматів в щитки</t>
  </si>
  <si>
    <t xml:space="preserve">Автоматичний вимикач Schneider Electric ВА63 16А 1P С </t>
  </si>
  <si>
    <t>Монтаж розеток</t>
  </si>
  <si>
    <t>Розетка двополюсна, утоплена, з заземленням, 220В, 16А, ІР20</t>
  </si>
  <si>
    <t>Розетка двополюсна, утоплена, з заземленням, вологозахищена, з кришечкою, 220В, 16А, ІР44</t>
  </si>
  <si>
    <t>Розетка трифазна, накладна, із захисним
пристосуванням з заземленням, 380В, 16А,ІР20</t>
  </si>
  <si>
    <t>Монтаж  щитів</t>
  </si>
  <si>
    <t xml:space="preserve">Монтаж щита електроспоживання     </t>
  </si>
  <si>
    <t xml:space="preserve">Щит електроспоживання металевий (ІР54)  ВРП-ІТП Елетон      </t>
  </si>
  <si>
    <t>Реле многофункциональное Zubr MF40</t>
  </si>
  <si>
    <t>Монтаж ящика зниженої напруги</t>
  </si>
  <si>
    <t>Ящик зниженої напруги 220/12В, з трансформатором 250Вт, з розеткою на корпусі</t>
  </si>
  <si>
    <t>Монтаж труби ПВХ</t>
  </si>
  <si>
    <t xml:space="preserve">Труба гладка ПВХ д20 мм </t>
  </si>
  <si>
    <t>Трубостійка на два загороджувальних вогні із зовн.різьбою, Ф20мм,L=1000мм</t>
  </si>
  <si>
    <t>Штампований утримувач полосової сталі h30мм, товщиною 4мм</t>
  </si>
  <si>
    <t>Скоба монтажна однолапкова СММ-6</t>
  </si>
  <si>
    <t>Скоба монтажна однолапкова СММ-8</t>
  </si>
  <si>
    <t>Скоба монтажна однолапкова СММ-20</t>
  </si>
  <si>
    <t>Пусконалагоджувальні роботи</t>
  </si>
  <si>
    <t>к-т</t>
  </si>
  <si>
    <t>Інше</t>
  </si>
  <si>
    <t>Робота автокрану</t>
  </si>
  <si>
    <t>смена</t>
  </si>
  <si>
    <t>Погрузка та снесення сміття</t>
  </si>
  <si>
    <t>чол/год</t>
  </si>
  <si>
    <t>Вивіз сміття</t>
  </si>
  <si>
    <t>маш.</t>
  </si>
  <si>
    <t>САМОВИРІВНЮВАЛЬНА СУМІШ CERESIT DG</t>
  </si>
  <si>
    <t>Каучукове покриття Decotile</t>
  </si>
  <si>
    <t>комп.</t>
  </si>
  <si>
    <t>Монтаж унітазу з урахуванням трубопроводів та підключення до стояків та гребінок</t>
  </si>
  <si>
    <t>Монтаж душової кабіни з урахуванням трубопроводів та підключення до стояків та гребінок</t>
  </si>
  <si>
    <t>Duofix монтажний елемент для душу, для висоти
стяжки 65-90 мм Hansgrohe</t>
  </si>
  <si>
    <t>Декоративна накладка д/душового елемента,
нерж., антиванд Hansgrohe</t>
  </si>
  <si>
    <t>Верхній душ PowderRain 240 Верхній душ Hansgrohe</t>
  </si>
  <si>
    <t>Душовий набір Croma Select E Multi/Unica’Croma Hansgrohe</t>
  </si>
  <si>
    <t>Зовнішня частина змішувача MetrisHansgrohe</t>
  </si>
  <si>
    <t>Внутрішня частина змішувача 6049,00 Hansgrohe</t>
  </si>
  <si>
    <t>Бачок прихованого монтажу Geberit Sigma Geberit</t>
  </si>
  <si>
    <t>Sigma30 клавіша змиву, панель та клавіши хром
глянець, декоративні смужки хром мат Geberit</t>
  </si>
  <si>
    <t>Унітаз пристінний безобідковий + кришка
soft-close Geberit</t>
  </si>
  <si>
    <t>Шлангове підключення Hansgrohe</t>
  </si>
  <si>
    <t>Комплект меблів: тумба+раковина+дзеркало
60см, білий глянцевий Primera</t>
  </si>
  <si>
    <t>Змішувач д/раковини Hansgrohe</t>
  </si>
  <si>
    <t>Донний клапан д/раковини Hansgrohe</t>
  </si>
  <si>
    <t>Сифон д/раковини Hansgrohe</t>
  </si>
  <si>
    <t xml:space="preserve"> Вентиль кутовий Hansgrohe</t>
  </si>
  <si>
    <t>Монтаж роковини з урахуванням трубопроводів та підключення до стояків та гребінок</t>
  </si>
  <si>
    <t>Полотенцесушитель Классик 600x430/400 Маріо</t>
  </si>
  <si>
    <t>Кутових кранів, круглий корпус, колір
хром Маріо</t>
  </si>
  <si>
    <t>Монтаж полотенцесушителя з урахуванням трубопроводів та підключення до стояків та гребіно</t>
  </si>
  <si>
    <t>Монтаж гігієничного душу з урахуванням трубопроводів та підключення до стояків та гребіно</t>
  </si>
  <si>
    <t>Гігієнічний душ, хром</t>
  </si>
  <si>
    <t>прим.№202,203,223</t>
  </si>
  <si>
    <t xml:space="preserve"> Кошторис</t>
  </si>
  <si>
    <t>прим.№354,351,344,341,338,355,332,329,326,323,319,313, 316,307, 310</t>
  </si>
  <si>
    <t>Корпус №1 Трейтій поверх на відм.+3.300,+4.500</t>
  </si>
  <si>
    <t>прим.№230,229,228,227,226,217,216,215,214,213,210,209, 208,207,206,235,238,233,234</t>
  </si>
  <si>
    <t>прим.№290</t>
  </si>
  <si>
    <t>Стелі</t>
  </si>
  <si>
    <t>Фарбування стель водоемульсійними сумішами, , за 2 рази</t>
  </si>
  <si>
    <t>Корпус №2 Перший поверх на відм.+1,650</t>
  </si>
  <si>
    <t>Загальнобудівельні роботи</t>
  </si>
  <si>
    <t>Сантехнічні роботи</t>
  </si>
  <si>
    <t>Електротехнічні роботи</t>
  </si>
  <si>
    <t>6</t>
  </si>
  <si>
    <t>7</t>
  </si>
  <si>
    <t>8</t>
  </si>
  <si>
    <t>14</t>
  </si>
  <si>
    <t>15</t>
  </si>
  <si>
    <t>16</t>
  </si>
  <si>
    <t>22</t>
  </si>
  <si>
    <t>23</t>
  </si>
  <si>
    <t>24</t>
  </si>
  <si>
    <t>29</t>
  </si>
  <si>
    <t>49</t>
  </si>
  <si>
    <t>50</t>
  </si>
  <si>
    <t>57</t>
  </si>
  <si>
    <t>63</t>
  </si>
  <si>
    <t>69</t>
  </si>
  <si>
    <t>75</t>
  </si>
  <si>
    <t>76</t>
  </si>
  <si>
    <t>106</t>
  </si>
  <si>
    <t>110</t>
  </si>
  <si>
    <t>111</t>
  </si>
  <si>
    <t>125</t>
  </si>
  <si>
    <t>128</t>
  </si>
  <si>
    <t>142</t>
  </si>
  <si>
    <t>145</t>
  </si>
  <si>
    <t>160</t>
  </si>
  <si>
    <t>163</t>
  </si>
  <si>
    <t>177</t>
  </si>
  <si>
    <t>180</t>
  </si>
  <si>
    <t>194</t>
  </si>
  <si>
    <t>197</t>
  </si>
  <si>
    <t>198</t>
  </si>
  <si>
    <t>200</t>
  </si>
  <si>
    <t>201</t>
  </si>
  <si>
    <t>202</t>
  </si>
  <si>
    <t>207</t>
  </si>
  <si>
    <t>209</t>
  </si>
  <si>
    <t>215</t>
  </si>
  <si>
    <t>216</t>
  </si>
  <si>
    <t>222</t>
  </si>
  <si>
    <t>231</t>
  </si>
  <si>
    <t>234</t>
  </si>
  <si>
    <t>Коробка установочна Ø60мм</t>
  </si>
  <si>
    <t>Цегла керамічна повнотіла М100</t>
  </si>
  <si>
    <t>на внутрішнє опорядження,сантехнічні,елекротехнічні роботи та  влаштування мокрого фасаду</t>
  </si>
  <si>
    <t>Додаток №1</t>
  </si>
  <si>
    <t xml:space="preserve">Виконавець: </t>
  </si>
  <si>
    <r>
      <t>Замовник:</t>
    </r>
    <r>
      <rPr>
        <sz val="10"/>
        <rFont val="Times New Roman"/>
        <family val="1"/>
        <charset val="204"/>
      </rPr>
      <t xml:space="preserve"> </t>
    </r>
  </si>
  <si>
    <t xml:space="preserve">Найменування будівництва та його адреса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</si>
</sst>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\ _₴_-;\-* #,##0.00\ _₴_-;_-* &quot;-&quot;??\ _₴_-;_-@_-"/>
    <numFmt numFmtId="164" formatCode="_-* #,##0.00_-;\-* #,##0.00_-;_-* &quot;-&quot;??_-;_-@_-"/>
    <numFmt numFmtId="165" formatCode="_-* #,##0.00\ &quot;₽&quot;_-;\-* #,##0.00\ &quot;₽&quot;_-;_-* &quot;-&quot;??\ &quot;₽&quot;_-;_-@_-"/>
    <numFmt numFmtId="166" formatCode="#,##0.00\ _₴"/>
    <numFmt numFmtId="167" formatCode="#,##0.00\ _₽"/>
    <numFmt numFmtId="168" formatCode="#,##0\ _₽"/>
    <numFmt numFmtId="169" formatCode="_-* #,##0.00_₴_-;\-* #,##0.00_₴_-;_-* &quot;-&quot;??_₴_-;_-@_-"/>
    <numFmt numFmtId="170" formatCode="#,##0.000\ _₽"/>
    <numFmt numFmtId="171" formatCode="#,##0.000"/>
    <numFmt numFmtId="172" formatCode="#,##0.00_₴"/>
    <numFmt numFmtId="173" formatCode="0.000"/>
    <numFmt numFmtId="174" formatCode="#,##0.00_р_."/>
    <numFmt numFmtId="175" formatCode="#,##0.0"/>
    <numFmt numFmtId="176" formatCode="_-* #,##0.00\ _₽_-;\-* #,##0.00\ _₽_-;_-* &quot;-&quot;??\ _₽_-;_-@_-"/>
    <numFmt numFmtId="177" formatCode="_-* #,##0.00_р_._-;\-* #,##0.00_р_._-;_-* &quot;-&quot;??_р_._-;_-@_-"/>
    <numFmt numFmtId="178" formatCode="_-* #,##0.00\ _г_р_н_._-;\-* #,##0.00\ _г_р_н_._-;_-* &quot;-&quot;??\ _г_р_н_._-;_-@_-"/>
    <numFmt numFmtId="179" formatCode="0.0"/>
    <numFmt numFmtId="180" formatCode="0.0000"/>
    <numFmt numFmtId="181" formatCode="#,##0.00_ ;\-#,##0.00\ 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ahoma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color indexed="8"/>
      <name val="MS Sans Serif"/>
      <family val="2"/>
      <charset val="204"/>
    </font>
    <font>
      <sz val="11"/>
      <name val="??"/>
      <charset val="204"/>
    </font>
    <font>
      <sz val="10"/>
      <name val="Helv"/>
      <family val="2"/>
    </font>
    <font>
      <sz val="14"/>
      <name val="Arial"/>
      <family val="2"/>
      <charset val="204"/>
    </font>
    <font>
      <sz val="9"/>
      <color indexed="8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4" fillId="0" borderId="0"/>
    <xf numFmtId="0" fontId="12" fillId="0" borderId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1" fillId="0" borderId="0"/>
    <xf numFmtId="0" fontId="1" fillId="0" borderId="0"/>
    <xf numFmtId="176" fontId="2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0" fontId="25" fillId="0" borderId="0"/>
    <xf numFmtId="0" fontId="14" fillId="0" borderId="0"/>
    <xf numFmtId="0" fontId="21" fillId="0" borderId="0"/>
    <xf numFmtId="0" fontId="2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7" fillId="0" borderId="0">
      <alignment horizontal="left"/>
    </xf>
    <xf numFmtId="9" fontId="26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21" fillId="0" borderId="0" applyFont="0" applyFill="0" applyBorder="0" applyAlignment="0" applyProtection="0"/>
    <xf numFmtId="0" fontId="1" fillId="0" borderId="0"/>
    <xf numFmtId="0" fontId="21" fillId="0" borderId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4" fillId="0" borderId="0"/>
    <xf numFmtId="0" fontId="25" fillId="0" borderId="0"/>
    <xf numFmtId="0" fontId="21" fillId="0" borderId="0"/>
    <xf numFmtId="9" fontId="24" fillId="0" borderId="0" applyFont="0" applyFill="0" applyBorder="0" applyAlignment="0" applyProtection="0"/>
    <xf numFmtId="0" fontId="14" fillId="0" borderId="0"/>
    <xf numFmtId="0" fontId="14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5" fillId="0" borderId="0"/>
    <xf numFmtId="0" fontId="14" fillId="0" borderId="0"/>
    <xf numFmtId="0" fontId="29" fillId="0" borderId="0"/>
    <xf numFmtId="0" fontId="25" fillId="0" borderId="0"/>
    <xf numFmtId="0" fontId="30" fillId="0" borderId="0"/>
    <xf numFmtId="0" fontId="25" fillId="0" borderId="0"/>
    <xf numFmtId="0" fontId="31" fillId="0" borderId="0">
      <alignment vertical="center"/>
    </xf>
    <xf numFmtId="0" fontId="3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6" borderId="0" applyNumberFormat="0" applyBorder="0" applyAlignment="0" applyProtection="0"/>
    <xf numFmtId="0" fontId="1" fillId="3" borderId="0" applyNumberFormat="0" applyBorder="0" applyAlignment="0" applyProtection="0"/>
    <xf numFmtId="0" fontId="28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6" borderId="0" applyNumberFormat="0" applyBorder="0" applyAlignment="0" applyProtection="0"/>
    <xf numFmtId="0" fontId="1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0" borderId="0"/>
    <xf numFmtId="0" fontId="33" fillId="0" borderId="0"/>
    <xf numFmtId="0" fontId="30" fillId="0" borderId="0"/>
    <xf numFmtId="0" fontId="30" fillId="0" borderId="0" applyNumberFormat="0" applyFont="0" applyFill="0" applyBorder="0" applyAlignment="0" applyProtection="0"/>
    <xf numFmtId="0" fontId="34" fillId="5" borderId="36" applyNumberFormat="0" applyFont="0" applyBorder="0" applyAlignment="0" applyProtection="0">
      <protection locked="0"/>
    </xf>
    <xf numFmtId="0" fontId="35" fillId="7" borderId="37" applyNumberFormat="0" applyAlignment="0" applyProtection="0"/>
    <xf numFmtId="0" fontId="35" fillId="7" borderId="37" applyNumberFormat="0" applyAlignment="0" applyProtection="0"/>
    <xf numFmtId="0" fontId="35" fillId="7" borderId="37" applyNumberFormat="0" applyAlignment="0" applyProtection="0"/>
    <xf numFmtId="0" fontId="35" fillId="7" borderId="37" applyNumberFormat="0" applyAlignment="0" applyProtection="0"/>
    <xf numFmtId="0" fontId="36" fillId="8" borderId="38" applyNumberFormat="0" applyAlignment="0" applyProtection="0"/>
    <xf numFmtId="0" fontId="36" fillId="8" borderId="38" applyNumberFormat="0" applyAlignment="0" applyProtection="0"/>
    <xf numFmtId="0" fontId="36" fillId="8" borderId="38" applyNumberFormat="0" applyAlignment="0" applyProtection="0"/>
    <xf numFmtId="0" fontId="36" fillId="8" borderId="38" applyNumberFormat="0" applyAlignment="0" applyProtection="0"/>
    <xf numFmtId="0" fontId="37" fillId="8" borderId="37" applyNumberFormat="0" applyAlignment="0" applyProtection="0"/>
    <xf numFmtId="0" fontId="37" fillId="8" borderId="37" applyNumberFormat="0" applyAlignment="0" applyProtection="0"/>
    <xf numFmtId="0" fontId="37" fillId="8" borderId="37" applyNumberFormat="0" applyAlignment="0" applyProtection="0"/>
    <xf numFmtId="0" fontId="37" fillId="8" borderId="37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39" fillId="0" borderId="3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4" fillId="0" borderId="0"/>
    <xf numFmtId="0" fontId="16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6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40" fillId="0" borderId="0"/>
    <xf numFmtId="0" fontId="28" fillId="0" borderId="0"/>
    <xf numFmtId="0" fontId="2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4" fillId="9" borderId="40" applyNumberFormat="0" applyAlignment="0" applyProtection="0"/>
    <xf numFmtId="0" fontId="24" fillId="9" borderId="40" applyNumberFormat="0" applyAlignment="0" applyProtection="0"/>
    <xf numFmtId="0" fontId="24" fillId="9" borderId="40" applyNumberFormat="0" applyAlignment="0" applyProtection="0"/>
    <xf numFmtId="0" fontId="24" fillId="9" borderId="40" applyNumberFormat="0" applyAlignment="0" applyProtection="0"/>
    <xf numFmtId="0" fontId="29" fillId="0" borderId="0"/>
    <xf numFmtId="16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14" fillId="0" borderId="0"/>
    <xf numFmtId="0" fontId="1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24" fillId="0" borderId="0"/>
    <xf numFmtId="0" fontId="24" fillId="0" borderId="0"/>
    <xf numFmtId="0" fontId="42" fillId="0" borderId="0"/>
  </cellStyleXfs>
  <cellXfs count="738">
    <xf numFmtId="0" fontId="0" fillId="0" borderId="0" xfId="0"/>
    <xf numFmtId="166" fontId="16" fillId="0" borderId="0" xfId="1" applyNumberFormat="1" applyFont="1" applyFill="1" applyAlignment="1">
      <alignment horizontal="left"/>
    </xf>
    <xf numFmtId="49" fontId="16" fillId="0" borderId="0" xfId="1" applyNumberFormat="1" applyFont="1" applyFill="1" applyAlignment="1">
      <alignment horizontal="right"/>
    </xf>
    <xf numFmtId="0" fontId="16" fillId="0" borderId="0" xfId="1" applyFont="1" applyFill="1"/>
    <xf numFmtId="166" fontId="16" fillId="0" borderId="0" xfId="1" applyNumberFormat="1" applyFont="1" applyFill="1" applyAlignment="1">
      <alignment horizontal="left" vertical="center"/>
    </xf>
    <xf numFmtId="49" fontId="16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vertical="center"/>
    </xf>
    <xf numFmtId="0" fontId="16" fillId="0" borderId="0" xfId="1" applyFont="1" applyFill="1" applyAlignment="1">
      <alignment horizontal="left" vertical="center"/>
    </xf>
    <xf numFmtId="165" fontId="17" fillId="0" borderId="0" xfId="2" applyFont="1" applyFill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167" fontId="16" fillId="0" borderId="2" xfId="1" applyNumberFormat="1" applyFont="1" applyFill="1" applyBorder="1" applyAlignment="1">
      <alignment horizontal="center" vertical="center" wrapText="1"/>
    </xf>
    <xf numFmtId="167" fontId="16" fillId="0" borderId="3" xfId="1" applyNumberFormat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vertical="center" wrapText="1"/>
    </xf>
    <xf numFmtId="168" fontId="16" fillId="0" borderId="5" xfId="2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168" fontId="16" fillId="0" borderId="5" xfId="1" applyNumberFormat="1" applyFont="1" applyFill="1" applyBorder="1" applyAlignment="1">
      <alignment horizontal="center" vertical="center" wrapText="1"/>
    </xf>
    <xf numFmtId="168" fontId="16" fillId="0" borderId="6" xfId="1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vertical="center" wrapText="1"/>
    </xf>
    <xf numFmtId="167" fontId="17" fillId="0" borderId="8" xfId="2" applyNumberFormat="1" applyFont="1" applyFill="1" applyBorder="1" applyAlignment="1">
      <alignment horizontal="center" vertical="center" wrapText="1"/>
    </xf>
    <xf numFmtId="167" fontId="17" fillId="0" borderId="8" xfId="1" applyNumberFormat="1" applyFont="1" applyFill="1" applyBorder="1" applyAlignment="1">
      <alignment horizontal="right" vertical="center" wrapText="1"/>
    </xf>
    <xf numFmtId="167" fontId="17" fillId="0" borderId="9" xfId="1" applyNumberFormat="1" applyFont="1" applyFill="1" applyBorder="1" applyAlignment="1">
      <alignment horizontal="right" vertical="center" wrapText="1"/>
    </xf>
    <xf numFmtId="167" fontId="16" fillId="0" borderId="11" xfId="1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left" vertical="center"/>
    </xf>
    <xf numFmtId="167" fontId="16" fillId="0" borderId="12" xfId="1" applyNumberFormat="1" applyFont="1" applyFill="1" applyBorder="1" applyAlignment="1">
      <alignment horizontal="center" vertical="center"/>
    </xf>
    <xf numFmtId="167" fontId="16" fillId="0" borderId="17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Alignment="1">
      <alignment vertical="center"/>
    </xf>
    <xf numFmtId="166" fontId="16" fillId="0" borderId="0" xfId="1" applyNumberFormat="1" applyFont="1" applyFill="1" applyAlignment="1">
      <alignment horizontal="right" vertical="center"/>
    </xf>
    <xf numFmtId="49" fontId="16" fillId="0" borderId="0" xfId="1" applyNumberFormat="1" applyFont="1" applyFill="1" applyAlignment="1">
      <alignment vertical="center"/>
    </xf>
    <xf numFmtId="0" fontId="16" fillId="0" borderId="12" xfId="1" applyFont="1" applyFill="1" applyBorder="1" applyAlignment="1">
      <alignment vertical="center" wrapText="1"/>
    </xf>
    <xf numFmtId="167" fontId="16" fillId="0" borderId="12" xfId="1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167" fontId="16" fillId="0" borderId="12" xfId="0" applyNumberFormat="1" applyFont="1" applyFill="1" applyBorder="1" applyAlignment="1">
      <alignment horizontal="center" vertical="center"/>
    </xf>
    <xf numFmtId="166" fontId="16" fillId="0" borderId="16" xfId="1" applyNumberFormat="1" applyFont="1" applyFill="1" applyBorder="1" applyAlignment="1">
      <alignment horizontal="left" vertical="center"/>
    </xf>
    <xf numFmtId="166" fontId="16" fillId="0" borderId="16" xfId="1" applyNumberFormat="1" applyFont="1" applyFill="1" applyBorder="1" applyAlignment="1">
      <alignment horizontal="center" vertical="center"/>
    </xf>
    <xf numFmtId="166" fontId="16" fillId="0" borderId="16" xfId="1" applyNumberFormat="1" applyFont="1" applyFill="1" applyBorder="1" applyAlignment="1">
      <alignment vertical="center"/>
    </xf>
    <xf numFmtId="167" fontId="16" fillId="0" borderId="16" xfId="1" applyNumberFormat="1" applyFont="1" applyFill="1" applyBorder="1" applyAlignment="1">
      <alignment horizontal="center" vertical="center"/>
    </xf>
    <xf numFmtId="167" fontId="16" fillId="0" borderId="18" xfId="1" applyNumberFormat="1" applyFont="1" applyFill="1" applyBorder="1" applyAlignment="1">
      <alignment horizontal="center" vertical="center"/>
    </xf>
    <xf numFmtId="167" fontId="17" fillId="0" borderId="8" xfId="1" applyNumberFormat="1" applyFont="1" applyFill="1" applyBorder="1" applyAlignment="1">
      <alignment horizontal="center" vertical="center" wrapText="1"/>
    </xf>
    <xf numFmtId="167" fontId="17" fillId="0" borderId="9" xfId="1" applyNumberFormat="1" applyFont="1" applyFill="1" applyBorder="1" applyAlignment="1">
      <alignment horizontal="center" vertical="center" wrapText="1"/>
    </xf>
    <xf numFmtId="166" fontId="16" fillId="0" borderId="22" xfId="1" applyNumberFormat="1" applyFont="1" applyFill="1" applyBorder="1" applyAlignment="1">
      <alignment horizontal="right" vertical="center"/>
    </xf>
    <xf numFmtId="0" fontId="16" fillId="0" borderId="12" xfId="12" applyFont="1" applyFill="1" applyBorder="1" applyAlignment="1">
      <alignment horizontal="left" vertical="center"/>
    </xf>
    <xf numFmtId="0" fontId="16" fillId="0" borderId="12" xfId="14" applyFont="1" applyFill="1" applyBorder="1" applyAlignment="1">
      <alignment horizontal="center" vertical="center"/>
    </xf>
    <xf numFmtId="167" fontId="16" fillId="0" borderId="12" xfId="14" applyNumberFormat="1" applyFont="1" applyFill="1" applyBorder="1" applyAlignment="1">
      <alignment horizontal="center" vertical="center"/>
    </xf>
    <xf numFmtId="0" fontId="16" fillId="0" borderId="12" xfId="12" applyFont="1" applyFill="1" applyBorder="1" applyAlignment="1">
      <alignment horizontal="left" vertical="center" wrapText="1"/>
    </xf>
    <xf numFmtId="0" fontId="16" fillId="0" borderId="12" xfId="15" applyFont="1" applyFill="1" applyBorder="1" applyAlignment="1">
      <alignment horizontal="left" vertical="center"/>
    </xf>
    <xf numFmtId="171" fontId="16" fillId="0" borderId="12" xfId="15" applyNumberFormat="1" applyFont="1" applyFill="1" applyBorder="1" applyAlignment="1">
      <alignment horizontal="center" vertical="center"/>
    </xf>
    <xf numFmtId="4" fontId="16" fillId="0" borderId="12" xfId="15" applyNumberFormat="1" applyFont="1" applyFill="1" applyBorder="1" applyAlignment="1">
      <alignment horizontal="center" vertical="center"/>
    </xf>
    <xf numFmtId="0" fontId="16" fillId="0" borderId="12" xfId="15" applyFont="1" applyFill="1" applyBorder="1" applyAlignment="1">
      <alignment horizontal="left" vertical="center" wrapText="1"/>
    </xf>
    <xf numFmtId="171" fontId="16" fillId="0" borderId="12" xfId="15" applyNumberFormat="1" applyFont="1" applyFill="1" applyBorder="1" applyAlignment="1">
      <alignment horizontal="center" vertical="center" wrapText="1"/>
    </xf>
    <xf numFmtId="0" fontId="16" fillId="0" borderId="12" xfId="5" applyFont="1" applyFill="1" applyBorder="1" applyAlignment="1">
      <alignment horizontal="center" vertical="center"/>
    </xf>
    <xf numFmtId="166" fontId="16" fillId="0" borderId="12" xfId="1" applyNumberFormat="1" applyFont="1" applyFill="1" applyBorder="1" applyAlignment="1">
      <alignment horizontal="left" vertical="center"/>
    </xf>
    <xf numFmtId="166" fontId="16" fillId="0" borderId="12" xfId="1" applyNumberFormat="1" applyFont="1" applyFill="1" applyBorder="1" applyAlignment="1">
      <alignment horizontal="center" vertical="center"/>
    </xf>
    <xf numFmtId="166" fontId="16" fillId="0" borderId="12" xfId="1" applyNumberFormat="1" applyFont="1" applyFill="1" applyBorder="1" applyAlignment="1">
      <alignment vertical="center"/>
    </xf>
    <xf numFmtId="0" fontId="16" fillId="0" borderId="16" xfId="1" applyFont="1" applyFill="1" applyBorder="1" applyAlignment="1">
      <alignment vertical="center" wrapText="1"/>
    </xf>
    <xf numFmtId="166" fontId="16" fillId="0" borderId="2" xfId="1" applyNumberFormat="1" applyFont="1" applyFill="1" applyBorder="1" applyAlignment="1">
      <alignment horizontal="left" vertical="center"/>
    </xf>
    <xf numFmtId="166" fontId="16" fillId="0" borderId="2" xfId="1" applyNumberFormat="1" applyFont="1" applyFill="1" applyBorder="1" applyAlignment="1">
      <alignment horizontal="center" vertical="center"/>
    </xf>
    <xf numFmtId="166" fontId="16" fillId="0" borderId="2" xfId="1" applyNumberFormat="1" applyFont="1" applyFill="1" applyBorder="1" applyAlignment="1">
      <alignment vertical="center"/>
    </xf>
    <xf numFmtId="170" fontId="16" fillId="0" borderId="2" xfId="1" applyNumberFormat="1" applyFont="1" applyFill="1" applyBorder="1" applyAlignment="1">
      <alignment horizontal="center" vertical="center"/>
    </xf>
    <xf numFmtId="167" fontId="16" fillId="0" borderId="2" xfId="1" applyNumberFormat="1" applyFont="1" applyFill="1" applyBorder="1" applyAlignment="1">
      <alignment horizontal="center" vertical="center"/>
    </xf>
    <xf numFmtId="167" fontId="16" fillId="0" borderId="3" xfId="1" applyNumberFormat="1" applyFont="1" applyFill="1" applyBorder="1" applyAlignment="1">
      <alignment horizontal="center" vertical="center"/>
    </xf>
    <xf numFmtId="0" fontId="16" fillId="0" borderId="12" xfId="8" applyFont="1" applyFill="1" applyBorder="1" applyAlignment="1">
      <alignment horizontal="left" vertical="center"/>
    </xf>
    <xf numFmtId="170" fontId="16" fillId="0" borderId="12" xfId="1" applyNumberFormat="1" applyFont="1" applyFill="1" applyBorder="1" applyAlignment="1">
      <alignment horizontal="center" vertical="center"/>
    </xf>
    <xf numFmtId="49" fontId="17" fillId="0" borderId="14" xfId="1" applyNumberFormat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vertical="center"/>
    </xf>
    <xf numFmtId="0" fontId="17" fillId="0" borderId="12" xfId="1" applyFont="1" applyFill="1" applyBorder="1" applyAlignment="1">
      <alignment horizontal="center" vertical="center"/>
    </xf>
    <xf numFmtId="167" fontId="17" fillId="0" borderId="12" xfId="2" applyNumberFormat="1" applyFont="1" applyFill="1" applyBorder="1" applyAlignment="1">
      <alignment horizontal="center" vertical="center"/>
    </xf>
    <xf numFmtId="167" fontId="17" fillId="0" borderId="12" xfId="2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vertical="center"/>
    </xf>
    <xf numFmtId="167" fontId="16" fillId="0" borderId="12" xfId="1" applyNumberFormat="1" applyFont="1" applyFill="1" applyBorder="1" applyAlignment="1">
      <alignment horizontal="right" vertical="center"/>
    </xf>
    <xf numFmtId="167" fontId="16" fillId="0" borderId="17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49" fontId="17" fillId="0" borderId="0" xfId="1" applyNumberFormat="1" applyFont="1" applyFill="1" applyAlignment="1">
      <alignment horizontal="center" vertical="center"/>
    </xf>
    <xf numFmtId="167" fontId="16" fillId="0" borderId="0" xfId="2" applyNumberFormat="1" applyFont="1" applyFill="1" applyAlignment="1">
      <alignment horizontal="center" vertical="center"/>
    </xf>
    <xf numFmtId="167" fontId="16" fillId="0" borderId="0" xfId="1" applyNumberFormat="1" applyFont="1" applyFill="1" applyAlignment="1">
      <alignment horizontal="right" vertical="center"/>
    </xf>
    <xf numFmtId="0" fontId="16" fillId="0" borderId="16" xfId="1" applyFont="1" applyFill="1" applyBorder="1" applyAlignment="1">
      <alignment horizontal="left" vertical="center"/>
    </xf>
    <xf numFmtId="170" fontId="16" fillId="0" borderId="16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167" fontId="16" fillId="0" borderId="2" xfId="1" applyNumberFormat="1" applyFont="1" applyFill="1" applyBorder="1" applyAlignment="1">
      <alignment horizontal="right" vertical="center"/>
    </xf>
    <xf numFmtId="167" fontId="16" fillId="0" borderId="3" xfId="3" applyNumberFormat="1" applyFont="1" applyFill="1" applyBorder="1" applyAlignment="1">
      <alignment horizontal="right" vertical="center"/>
    </xf>
    <xf numFmtId="171" fontId="16" fillId="0" borderId="12" xfId="1" applyNumberFormat="1" applyFont="1" applyFill="1" applyBorder="1" applyAlignment="1">
      <alignment horizontal="center" vertical="top" wrapText="1"/>
    </xf>
    <xf numFmtId="0" fontId="16" fillId="0" borderId="12" xfId="5" applyFont="1" applyFill="1" applyBorder="1" applyAlignment="1">
      <alignment horizontal="left" vertical="center"/>
    </xf>
    <xf numFmtId="4" fontId="16" fillId="0" borderId="12" xfId="1" applyNumberFormat="1" applyFont="1" applyFill="1" applyBorder="1" applyAlignment="1">
      <alignment vertical="top"/>
    </xf>
    <xf numFmtId="4" fontId="16" fillId="0" borderId="12" xfId="1" applyNumberFormat="1" applyFont="1" applyFill="1" applyBorder="1" applyAlignment="1">
      <alignment horizontal="center" vertical="top"/>
    </xf>
    <xf numFmtId="4" fontId="16" fillId="0" borderId="12" xfId="1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4" fontId="16" fillId="0" borderId="0" xfId="0" applyNumberFormat="1" applyFont="1" applyFill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center" wrapText="1"/>
    </xf>
    <xf numFmtId="166" fontId="16" fillId="0" borderId="23" xfId="1" applyNumberFormat="1" applyFont="1" applyFill="1" applyBorder="1" applyAlignment="1">
      <alignment horizontal="left" vertical="center"/>
    </xf>
    <xf numFmtId="166" fontId="16" fillId="0" borderId="24" xfId="1" applyNumberFormat="1" applyFont="1" applyFill="1" applyBorder="1" applyAlignment="1">
      <alignment horizontal="left" vertical="center"/>
    </xf>
    <xf numFmtId="166" fontId="16" fillId="0" borderId="24" xfId="1" applyNumberFormat="1" applyFont="1" applyFill="1" applyBorder="1" applyAlignment="1">
      <alignment vertical="center"/>
    </xf>
    <xf numFmtId="166" fontId="16" fillId="0" borderId="24" xfId="1" applyNumberFormat="1" applyFont="1" applyFill="1" applyBorder="1" applyAlignment="1">
      <alignment horizontal="right" vertical="center"/>
    </xf>
    <xf numFmtId="166" fontId="16" fillId="0" borderId="25" xfId="1" applyNumberFormat="1" applyFont="1" applyFill="1" applyBorder="1" applyAlignment="1">
      <alignment vertical="center"/>
    </xf>
    <xf numFmtId="0" fontId="16" fillId="0" borderId="0" xfId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12" xfId="19" applyFont="1" applyFill="1" applyBorder="1" applyAlignment="1">
      <alignment horizontal="left" vertical="center"/>
    </xf>
    <xf numFmtId="171" fontId="16" fillId="0" borderId="12" xfId="19" applyNumberFormat="1" applyFont="1" applyFill="1" applyBorder="1" applyAlignment="1">
      <alignment horizontal="center" vertical="center"/>
    </xf>
    <xf numFmtId="0" fontId="16" fillId="0" borderId="12" xfId="20" applyFont="1" applyFill="1" applyBorder="1" applyAlignment="1">
      <alignment horizontal="left" vertical="center"/>
    </xf>
    <xf numFmtId="0" fontId="16" fillId="0" borderId="12" xfId="20" applyFont="1" applyFill="1" applyBorder="1" applyAlignment="1">
      <alignment vertical="center" wrapText="1"/>
    </xf>
    <xf numFmtId="171" fontId="16" fillId="0" borderId="12" xfId="19" applyNumberFormat="1" applyFont="1" applyFill="1" applyBorder="1" applyAlignment="1">
      <alignment horizontal="center" vertical="center" wrapText="1"/>
    </xf>
    <xf numFmtId="168" fontId="17" fillId="0" borderId="5" xfId="2" applyNumberFormat="1" applyFont="1" applyFill="1" applyBorder="1" applyAlignment="1">
      <alignment horizontal="center" vertical="center" wrapText="1"/>
    </xf>
    <xf numFmtId="167" fontId="17" fillId="0" borderId="5" xfId="1" applyNumberFormat="1" applyFont="1" applyFill="1" applyBorder="1" applyAlignment="1">
      <alignment horizontal="center" vertical="center" wrapText="1"/>
    </xf>
    <xf numFmtId="4" fontId="16" fillId="0" borderId="2" xfId="1" applyNumberFormat="1" applyFont="1" applyFill="1" applyBorder="1" applyAlignment="1">
      <alignment horizontal="center" vertical="center"/>
    </xf>
    <xf numFmtId="0" fontId="16" fillId="0" borderId="2" xfId="20" applyFont="1" applyFill="1" applyBorder="1" applyAlignment="1">
      <alignment horizontal="center" vertical="center"/>
    </xf>
    <xf numFmtId="167" fontId="16" fillId="0" borderId="2" xfId="20" applyNumberFormat="1" applyFont="1" applyFill="1" applyBorder="1" applyAlignment="1">
      <alignment horizontal="center" vertical="center"/>
    </xf>
    <xf numFmtId="167" fontId="16" fillId="0" borderId="3" xfId="20" applyNumberFormat="1" applyFont="1" applyFill="1" applyBorder="1" applyAlignment="1">
      <alignment horizontal="center" vertical="center"/>
    </xf>
    <xf numFmtId="2" fontId="16" fillId="0" borderId="12" xfId="1" applyNumberFormat="1" applyFont="1" applyFill="1" applyBorder="1" applyAlignment="1">
      <alignment horizontal="left" vertical="center" wrapText="1"/>
    </xf>
    <xf numFmtId="0" fontId="16" fillId="0" borderId="12" xfId="20" applyFont="1" applyFill="1" applyBorder="1" applyAlignment="1">
      <alignment horizontal="center" vertical="center"/>
    </xf>
    <xf numFmtId="167" fontId="16" fillId="0" borderId="12" xfId="20" applyNumberFormat="1" applyFont="1" applyFill="1" applyBorder="1" applyAlignment="1">
      <alignment horizontal="center" vertical="center"/>
    </xf>
    <xf numFmtId="167" fontId="16" fillId="0" borderId="17" xfId="20" applyNumberFormat="1" applyFont="1" applyFill="1" applyBorder="1" applyAlignment="1">
      <alignment horizontal="center" vertical="center"/>
    </xf>
    <xf numFmtId="170" fontId="16" fillId="0" borderId="12" xfId="20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/>
    </xf>
    <xf numFmtId="0" fontId="16" fillId="0" borderId="16" xfId="20" applyFont="1" applyFill="1" applyBorder="1" applyAlignment="1">
      <alignment horizontal="center" vertical="center"/>
    </xf>
    <xf numFmtId="167" fontId="16" fillId="0" borderId="18" xfId="20" applyNumberFormat="1" applyFont="1" applyFill="1" applyBorder="1" applyAlignment="1">
      <alignment horizontal="center" vertical="center"/>
    </xf>
    <xf numFmtId="167" fontId="16" fillId="0" borderId="12" xfId="20" applyNumberFormat="1" applyFont="1" applyFill="1" applyBorder="1" applyAlignment="1">
      <alignment horizontal="center" vertical="center" wrapText="1"/>
    </xf>
    <xf numFmtId="167" fontId="16" fillId="0" borderId="12" xfId="19" applyNumberFormat="1" applyFont="1" applyFill="1" applyBorder="1" applyAlignment="1">
      <alignment horizontal="center" vertical="center"/>
    </xf>
    <xf numFmtId="167" fontId="16" fillId="0" borderId="12" xfId="19" applyNumberFormat="1" applyFont="1" applyFill="1" applyBorder="1" applyAlignment="1">
      <alignment horizontal="center" vertical="center" wrapText="1"/>
    </xf>
    <xf numFmtId="166" fontId="16" fillId="0" borderId="11" xfId="1" applyNumberFormat="1" applyFont="1" applyFill="1" applyBorder="1" applyAlignment="1">
      <alignment horizontal="left" vertical="center"/>
    </xf>
    <xf numFmtId="167" fontId="16" fillId="0" borderId="16" xfId="20" applyNumberFormat="1" applyFont="1" applyFill="1" applyBorder="1" applyAlignment="1">
      <alignment horizontal="center" vertical="center"/>
    </xf>
    <xf numFmtId="0" fontId="16" fillId="0" borderId="11" xfId="21" applyFont="1" applyFill="1" applyBorder="1" applyAlignment="1">
      <alignment horizontal="left" vertical="center"/>
    </xf>
    <xf numFmtId="0" fontId="16" fillId="0" borderId="11" xfId="21" applyFont="1" applyFill="1" applyBorder="1" applyAlignment="1">
      <alignment horizontal="center" vertical="center"/>
    </xf>
    <xf numFmtId="167" fontId="16" fillId="0" borderId="11" xfId="21" applyNumberFormat="1" applyFont="1" applyFill="1" applyBorder="1" applyAlignment="1">
      <alignment horizontal="center" vertical="center"/>
    </xf>
    <xf numFmtId="4" fontId="16" fillId="0" borderId="16" xfId="21" applyNumberFormat="1" applyFont="1" applyFill="1" applyBorder="1" applyAlignment="1">
      <alignment vertical="top"/>
    </xf>
    <xf numFmtId="4" fontId="16" fillId="0" borderId="16" xfId="21" applyNumberFormat="1" applyFont="1" applyFill="1" applyBorder="1" applyAlignment="1">
      <alignment horizontal="center" vertical="top"/>
    </xf>
    <xf numFmtId="4" fontId="16" fillId="0" borderId="16" xfId="21" applyNumberFormat="1" applyFont="1" applyFill="1" applyBorder="1" applyAlignment="1">
      <alignment horizontal="center" vertical="top" wrapText="1"/>
    </xf>
    <xf numFmtId="4" fontId="17" fillId="0" borderId="8" xfId="2" applyNumberFormat="1" applyFont="1" applyFill="1" applyBorder="1" applyAlignment="1">
      <alignment horizontal="center" vertical="center" wrapText="1"/>
    </xf>
    <xf numFmtId="167" fontId="17" fillId="0" borderId="8" xfId="20" applyNumberFormat="1" applyFont="1" applyFill="1" applyBorder="1" applyAlignment="1">
      <alignment horizontal="center" vertical="center" wrapText="1"/>
    </xf>
    <xf numFmtId="167" fontId="16" fillId="0" borderId="9" xfId="20" applyNumberFormat="1" applyFont="1" applyFill="1" applyBorder="1" applyAlignment="1">
      <alignment horizontal="center" vertical="center"/>
    </xf>
    <xf numFmtId="166" fontId="16" fillId="0" borderId="28" xfId="1" applyNumberFormat="1" applyFont="1" applyFill="1" applyBorder="1" applyAlignment="1">
      <alignment horizontal="left" vertical="center"/>
    </xf>
    <xf numFmtId="0" fontId="16" fillId="0" borderId="28" xfId="1" applyFont="1" applyFill="1" applyBorder="1" applyAlignment="1">
      <alignment horizontal="center" vertical="center"/>
    </xf>
    <xf numFmtId="4" fontId="16" fillId="0" borderId="28" xfId="1" applyNumberFormat="1" applyFont="1" applyFill="1" applyBorder="1" applyAlignment="1">
      <alignment horizontal="center" vertical="center"/>
    </xf>
    <xf numFmtId="166" fontId="16" fillId="0" borderId="28" xfId="1" applyNumberFormat="1" applyFont="1" applyFill="1" applyBorder="1" applyAlignment="1">
      <alignment vertical="center"/>
    </xf>
    <xf numFmtId="0" fontId="16" fillId="0" borderId="28" xfId="20" applyFont="1" applyFill="1" applyBorder="1" applyAlignment="1">
      <alignment horizontal="center" vertical="center"/>
    </xf>
    <xf numFmtId="167" fontId="16" fillId="0" borderId="28" xfId="20" applyNumberFormat="1" applyFont="1" applyFill="1" applyBorder="1" applyAlignment="1">
      <alignment horizontal="center" vertical="center"/>
    </xf>
    <xf numFmtId="167" fontId="16" fillId="0" borderId="29" xfId="20" applyNumberFormat="1" applyFont="1" applyFill="1" applyBorder="1" applyAlignment="1">
      <alignment horizontal="center" vertical="center"/>
    </xf>
    <xf numFmtId="0" fontId="16" fillId="0" borderId="12" xfId="9" applyFont="1" applyFill="1" applyBorder="1" applyAlignment="1">
      <alignment vertical="center" wrapText="1"/>
    </xf>
    <xf numFmtId="0" fontId="16" fillId="0" borderId="12" xfId="22" applyFont="1" applyFill="1" applyBorder="1" applyAlignment="1">
      <alignment horizontal="center" vertical="center"/>
    </xf>
    <xf numFmtId="167" fontId="16" fillId="0" borderId="12" xfId="22" applyNumberFormat="1" applyFont="1" applyFill="1" applyBorder="1" applyAlignment="1">
      <alignment horizontal="center" vertical="center" wrapText="1"/>
    </xf>
    <xf numFmtId="4" fontId="16" fillId="0" borderId="12" xfId="22" applyNumberFormat="1" applyFont="1" applyFill="1" applyBorder="1" applyAlignment="1">
      <alignment horizontal="center" vertical="center" wrapText="1"/>
    </xf>
    <xf numFmtId="4" fontId="16" fillId="0" borderId="12" xfId="22" applyNumberFormat="1" applyFont="1" applyFill="1" applyBorder="1" applyAlignment="1">
      <alignment horizontal="center" vertical="center"/>
    </xf>
    <xf numFmtId="167" fontId="16" fillId="0" borderId="13" xfId="20" applyNumberFormat="1" applyFont="1" applyFill="1" applyBorder="1" applyAlignment="1">
      <alignment horizontal="center" vertical="center"/>
    </xf>
    <xf numFmtId="0" fontId="16" fillId="0" borderId="12" xfId="15" applyFont="1" applyFill="1" applyBorder="1" applyAlignment="1">
      <alignment horizontal="left" vertical="justify"/>
    </xf>
    <xf numFmtId="167" fontId="16" fillId="0" borderId="12" xfId="22" applyNumberFormat="1" applyFont="1" applyFill="1" applyBorder="1" applyAlignment="1">
      <alignment horizontal="center" vertical="center"/>
    </xf>
    <xf numFmtId="4" fontId="16" fillId="0" borderId="17" xfId="22" applyNumberFormat="1" applyFont="1" applyFill="1" applyBorder="1" applyAlignment="1">
      <alignment horizontal="center" vertical="center"/>
    </xf>
    <xf numFmtId="0" fontId="16" fillId="0" borderId="12" xfId="9" applyFont="1" applyFill="1" applyBorder="1" applyAlignment="1">
      <alignment horizontal="left" vertical="center"/>
    </xf>
    <xf numFmtId="0" fontId="16" fillId="0" borderId="20" xfId="9" applyFont="1" applyFill="1" applyBorder="1" applyAlignment="1">
      <alignment horizontal="left" vertical="center"/>
    </xf>
    <xf numFmtId="0" fontId="16" fillId="0" borderId="20" xfId="22" applyFont="1" applyFill="1" applyBorder="1" applyAlignment="1">
      <alignment horizontal="center" vertical="center"/>
    </xf>
    <xf numFmtId="167" fontId="16" fillId="0" borderId="20" xfId="22" applyNumberFormat="1" applyFont="1" applyFill="1" applyBorder="1" applyAlignment="1">
      <alignment horizontal="center" vertical="center"/>
    </xf>
    <xf numFmtId="4" fontId="16" fillId="0" borderId="20" xfId="22" applyNumberFormat="1" applyFont="1" applyFill="1" applyBorder="1" applyAlignment="1">
      <alignment horizontal="center" vertical="center"/>
    </xf>
    <xf numFmtId="4" fontId="17" fillId="0" borderId="5" xfId="1" applyNumberFormat="1" applyFont="1" applyFill="1" applyBorder="1" applyAlignment="1">
      <alignment horizontal="center" vertical="center" wrapText="1"/>
    </xf>
    <xf numFmtId="4" fontId="17" fillId="0" borderId="5" xfId="2" applyNumberFormat="1" applyFont="1" applyFill="1" applyBorder="1" applyAlignment="1">
      <alignment horizontal="center" vertical="center" wrapText="1"/>
    </xf>
    <xf numFmtId="0" fontId="17" fillId="0" borderId="5" xfId="20" applyFont="1" applyFill="1" applyBorder="1" applyAlignment="1">
      <alignment horizontal="center" vertical="center" wrapText="1"/>
    </xf>
    <xf numFmtId="167" fontId="17" fillId="0" borderId="5" xfId="20" applyNumberFormat="1" applyFont="1" applyFill="1" applyBorder="1" applyAlignment="1">
      <alignment horizontal="center" vertical="center" wrapText="1"/>
    </xf>
    <xf numFmtId="167" fontId="17" fillId="0" borderId="6" xfId="20" applyNumberFormat="1" applyFont="1" applyFill="1" applyBorder="1" applyAlignment="1">
      <alignment horizontal="center" vertical="center" wrapText="1"/>
    </xf>
    <xf numFmtId="167" fontId="17" fillId="0" borderId="9" xfId="20" applyNumberFormat="1" applyFont="1" applyFill="1" applyBorder="1" applyAlignment="1">
      <alignment horizontal="center" vertical="center" wrapText="1"/>
    </xf>
    <xf numFmtId="166" fontId="16" fillId="0" borderId="27" xfId="1" applyNumberFormat="1" applyFont="1" applyFill="1" applyBorder="1" applyAlignment="1">
      <alignment vertical="center"/>
    </xf>
    <xf numFmtId="0" fontId="16" fillId="0" borderId="27" xfId="20" applyFont="1" applyFill="1" applyBorder="1" applyAlignment="1">
      <alignment horizontal="center" vertical="center"/>
    </xf>
    <xf numFmtId="167" fontId="16" fillId="0" borderId="11" xfId="20" applyNumberFormat="1" applyFont="1" applyFill="1" applyBorder="1" applyAlignment="1">
      <alignment horizontal="center" vertical="center"/>
    </xf>
    <xf numFmtId="0" fontId="16" fillId="0" borderId="12" xfId="20" applyFont="1" applyFill="1" applyBorder="1" applyAlignment="1">
      <alignment horizontal="center" vertical="center" wrapText="1"/>
    </xf>
    <xf numFmtId="0" fontId="16" fillId="0" borderId="11" xfId="20" applyFont="1" applyFill="1" applyBorder="1" applyAlignment="1">
      <alignment horizontal="center" vertical="center"/>
    </xf>
    <xf numFmtId="167" fontId="16" fillId="0" borderId="12" xfId="24" applyNumberFormat="1" applyFont="1" applyFill="1" applyBorder="1" applyAlignment="1">
      <alignment horizontal="center" vertical="center"/>
    </xf>
    <xf numFmtId="0" fontId="16" fillId="0" borderId="12" xfId="21" applyFont="1" applyFill="1" applyBorder="1" applyAlignment="1">
      <alignment horizontal="left" vertical="center"/>
    </xf>
    <xf numFmtId="0" fontId="16" fillId="0" borderId="12" xfId="24" applyFont="1" applyFill="1" applyBorder="1" applyAlignment="1">
      <alignment horizontal="center" vertical="center"/>
    </xf>
    <xf numFmtId="4" fontId="16" fillId="0" borderId="12" xfId="1" applyNumberFormat="1" applyFont="1" applyFill="1" applyBorder="1" applyAlignment="1">
      <alignment horizontal="center" vertical="center"/>
    </xf>
    <xf numFmtId="167" fontId="16" fillId="0" borderId="12" xfId="21" applyNumberFormat="1" applyFont="1" applyFill="1" applyBorder="1" applyAlignment="1">
      <alignment horizontal="center" vertical="center"/>
    </xf>
    <xf numFmtId="4" fontId="16" fillId="0" borderId="5" xfId="2" applyNumberFormat="1" applyFont="1" applyFill="1" applyBorder="1" applyAlignment="1">
      <alignment horizontal="center" vertical="center" wrapText="1"/>
    </xf>
    <xf numFmtId="0" fontId="16" fillId="0" borderId="5" xfId="20" applyFont="1" applyFill="1" applyBorder="1" applyAlignment="1">
      <alignment horizontal="center" vertical="center" wrapText="1"/>
    </xf>
    <xf numFmtId="167" fontId="16" fillId="0" borderId="5" xfId="20" applyNumberFormat="1" applyFont="1" applyFill="1" applyBorder="1" applyAlignment="1">
      <alignment horizontal="center" vertical="center" wrapText="1"/>
    </xf>
    <xf numFmtId="168" fontId="16" fillId="0" borderId="5" xfId="20" applyNumberFormat="1" applyFont="1" applyFill="1" applyBorder="1" applyAlignment="1">
      <alignment horizontal="center" vertical="center" wrapText="1"/>
    </xf>
    <xf numFmtId="168" fontId="16" fillId="0" borderId="6" xfId="20" applyNumberFormat="1" applyFont="1" applyFill="1" applyBorder="1" applyAlignment="1">
      <alignment horizontal="center" vertical="center" wrapText="1"/>
    </xf>
    <xf numFmtId="167" fontId="17" fillId="0" borderId="8" xfId="20" applyNumberFormat="1" applyFont="1" applyFill="1" applyBorder="1" applyAlignment="1">
      <alignment vertical="center" wrapText="1"/>
    </xf>
    <xf numFmtId="167" fontId="17" fillId="0" borderId="8" xfId="20" applyNumberFormat="1" applyFont="1" applyFill="1" applyBorder="1" applyAlignment="1">
      <alignment horizontal="right" vertical="center" wrapText="1"/>
    </xf>
    <xf numFmtId="167" fontId="17" fillId="0" borderId="9" xfId="20" applyNumberFormat="1" applyFont="1" applyFill="1" applyBorder="1" applyAlignment="1">
      <alignment horizontal="right" vertical="center" wrapText="1"/>
    </xf>
    <xf numFmtId="4" fontId="17" fillId="0" borderId="8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167" fontId="16" fillId="0" borderId="11" xfId="0" applyNumberFormat="1" applyFont="1" applyFill="1" applyBorder="1" applyAlignment="1">
      <alignment horizontal="center" vertical="center" wrapText="1"/>
    </xf>
    <xf numFmtId="4" fontId="16" fillId="0" borderId="13" xfId="19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167" fontId="16" fillId="0" borderId="12" xfId="0" applyNumberFormat="1" applyFont="1" applyFill="1" applyBorder="1" applyAlignment="1">
      <alignment horizontal="center" vertical="center" wrapText="1"/>
    </xf>
    <xf numFmtId="4" fontId="16" fillId="0" borderId="17" xfId="19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center" vertical="center" wrapText="1"/>
    </xf>
    <xf numFmtId="167" fontId="16" fillId="0" borderId="20" xfId="0" applyNumberFormat="1" applyFont="1" applyFill="1" applyBorder="1" applyAlignment="1">
      <alignment horizontal="center" vertical="center" wrapText="1"/>
    </xf>
    <xf numFmtId="4" fontId="16" fillId="0" borderId="21" xfId="19" applyNumberFormat="1" applyFont="1" applyFill="1" applyBorder="1" applyAlignment="1">
      <alignment vertical="center"/>
    </xf>
    <xf numFmtId="0" fontId="16" fillId="0" borderId="11" xfId="1" applyFont="1" applyFill="1" applyBorder="1" applyAlignment="1">
      <alignment horizontal="left" vertical="center"/>
    </xf>
    <xf numFmtId="49" fontId="17" fillId="0" borderId="7" xfId="1" applyNumberFormat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/>
    </xf>
    <xf numFmtId="168" fontId="17" fillId="0" borderId="8" xfId="2" applyNumberFormat="1" applyFont="1" applyFill="1" applyBorder="1" applyAlignment="1">
      <alignment horizontal="center" vertical="center"/>
    </xf>
    <xf numFmtId="0" fontId="17" fillId="0" borderId="8" xfId="20" applyFont="1" applyFill="1" applyBorder="1" applyAlignment="1">
      <alignment horizontal="center" vertical="center" wrapText="1"/>
    </xf>
    <xf numFmtId="167" fontId="16" fillId="0" borderId="2" xfId="2" applyNumberFormat="1" applyFont="1" applyFill="1" applyBorder="1" applyAlignment="1">
      <alignment horizontal="center" vertical="center" wrapText="1"/>
    </xf>
    <xf numFmtId="167" fontId="16" fillId="0" borderId="12" xfId="15" applyNumberFormat="1" applyFont="1" applyFill="1" applyBorder="1" applyAlignment="1">
      <alignment horizontal="center" vertical="center"/>
    </xf>
    <xf numFmtId="167" fontId="16" fillId="0" borderId="16" xfId="20" applyNumberFormat="1" applyFont="1" applyFill="1" applyBorder="1" applyAlignment="1">
      <alignment horizontal="center" vertical="center" wrapText="1"/>
    </xf>
    <xf numFmtId="0" fontId="17" fillId="0" borderId="7" xfId="9" applyFont="1" applyFill="1" applyBorder="1" applyAlignment="1">
      <alignment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vertical="center" wrapText="1"/>
    </xf>
    <xf numFmtId="167" fontId="17" fillId="0" borderId="8" xfId="10" applyNumberFormat="1" applyFont="1" applyFill="1" applyBorder="1" applyAlignment="1">
      <alignment horizontal="center" vertical="center" wrapText="1"/>
    </xf>
    <xf numFmtId="4" fontId="17" fillId="0" borderId="8" xfId="10" applyNumberFormat="1" applyFont="1" applyFill="1" applyBorder="1" applyAlignment="1">
      <alignment horizontal="center" vertical="center" wrapText="1"/>
    </xf>
    <xf numFmtId="167" fontId="17" fillId="0" borderId="8" xfId="22" applyNumberFormat="1" applyFont="1" applyFill="1" applyBorder="1" applyAlignment="1">
      <alignment horizontal="center" vertical="center" wrapText="1"/>
    </xf>
    <xf numFmtId="4" fontId="17" fillId="0" borderId="8" xfId="22" applyNumberFormat="1" applyFont="1" applyFill="1" applyBorder="1" applyAlignment="1">
      <alignment horizontal="center" vertical="center" wrapText="1"/>
    </xf>
    <xf numFmtId="4" fontId="17" fillId="0" borderId="9" xfId="22" applyNumberFormat="1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vertical="center" wrapText="1"/>
    </xf>
    <xf numFmtId="0" fontId="16" fillId="0" borderId="2" xfId="22" applyFont="1" applyFill="1" applyBorder="1" applyAlignment="1">
      <alignment horizontal="center" vertical="center"/>
    </xf>
    <xf numFmtId="167" fontId="16" fillId="0" borderId="2" xfId="22" applyNumberFormat="1" applyFont="1" applyFill="1" applyBorder="1" applyAlignment="1">
      <alignment horizontal="center" vertical="center" wrapText="1"/>
    </xf>
    <xf numFmtId="4" fontId="16" fillId="0" borderId="2" xfId="22" applyNumberFormat="1" applyFont="1" applyFill="1" applyBorder="1" applyAlignment="1">
      <alignment horizontal="center" vertical="center" wrapText="1"/>
    </xf>
    <xf numFmtId="4" fontId="16" fillId="0" borderId="2" xfId="22" applyNumberFormat="1" applyFont="1" applyFill="1" applyBorder="1" applyAlignment="1">
      <alignment horizontal="center" vertical="center"/>
    </xf>
    <xf numFmtId="4" fontId="16" fillId="0" borderId="3" xfId="22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66" fontId="16" fillId="0" borderId="11" xfId="1" applyNumberFormat="1" applyFont="1" applyFill="1" applyBorder="1" applyAlignment="1">
      <alignment vertical="center"/>
    </xf>
    <xf numFmtId="0" fontId="16" fillId="0" borderId="16" xfId="20" applyFont="1" applyFill="1" applyBorder="1" applyAlignment="1">
      <alignment horizontal="center" vertical="center" wrapText="1"/>
    </xf>
    <xf numFmtId="166" fontId="16" fillId="0" borderId="11" xfId="1" applyNumberFormat="1" applyFont="1" applyFill="1" applyBorder="1" applyAlignment="1">
      <alignment horizontal="center" vertical="center"/>
    </xf>
    <xf numFmtId="166" fontId="16" fillId="0" borderId="28" xfId="1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19" applyFont="1" applyFill="1" applyBorder="1" applyAlignment="1">
      <alignment horizontal="center" vertical="center"/>
    </xf>
    <xf numFmtId="167" fontId="16" fillId="0" borderId="12" xfId="2" applyNumberFormat="1" applyFont="1" applyFill="1" applyBorder="1" applyAlignment="1">
      <alignment horizontal="center" vertical="center"/>
    </xf>
    <xf numFmtId="167" fontId="16" fillId="0" borderId="16" xfId="2" applyNumberFormat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 wrapText="1"/>
    </xf>
    <xf numFmtId="0" fontId="16" fillId="0" borderId="12" xfId="15" applyFont="1" applyFill="1" applyBorder="1" applyAlignment="1">
      <alignment horizontal="center" vertical="center"/>
    </xf>
    <xf numFmtId="2" fontId="16" fillId="0" borderId="12" xfId="5" applyNumberFormat="1" applyFont="1" applyFill="1" applyBorder="1" applyAlignment="1">
      <alignment horizontal="center" vertical="center"/>
    </xf>
    <xf numFmtId="167" fontId="16" fillId="0" borderId="12" xfId="13" applyNumberFormat="1" applyFont="1" applyFill="1" applyBorder="1" applyAlignment="1">
      <alignment horizontal="center" vertical="center"/>
    </xf>
    <xf numFmtId="167" fontId="16" fillId="0" borderId="0" xfId="2" applyNumberFormat="1" applyFont="1" applyFill="1" applyBorder="1" applyAlignment="1">
      <alignment horizontal="center" vertical="center"/>
    </xf>
    <xf numFmtId="0" fontId="16" fillId="0" borderId="12" xfId="1" applyNumberFormat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165" fontId="17" fillId="0" borderId="0" xfId="2" applyFont="1" applyFill="1" applyAlignment="1">
      <alignment vertical="center"/>
    </xf>
    <xf numFmtId="167" fontId="17" fillId="0" borderId="0" xfId="1" applyNumberFormat="1" applyFont="1" applyFill="1" applyAlignment="1">
      <alignment horizontal="center" vertical="center"/>
    </xf>
    <xf numFmtId="167" fontId="17" fillId="0" borderId="0" xfId="1" applyNumberFormat="1" applyFont="1" applyFill="1" applyAlignment="1">
      <alignment horizontal="right" vertical="center"/>
    </xf>
    <xf numFmtId="0" fontId="16" fillId="0" borderId="12" xfId="0" applyFont="1" applyFill="1" applyBorder="1" applyAlignment="1">
      <alignment horizontal="left" vertical="center" wrapText="1"/>
    </xf>
    <xf numFmtId="4" fontId="16" fillId="0" borderId="12" xfId="2" applyNumberFormat="1" applyFont="1" applyFill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left" vertical="center" wrapText="1"/>
    </xf>
    <xf numFmtId="4" fontId="16" fillId="0" borderId="16" xfId="1" applyNumberFormat="1" applyFont="1" applyFill="1" applyBorder="1" applyAlignment="1">
      <alignment horizontal="center" vertical="center"/>
    </xf>
    <xf numFmtId="4" fontId="16" fillId="0" borderId="11" xfId="1" applyNumberFormat="1" applyFont="1" applyFill="1" applyBorder="1" applyAlignment="1">
      <alignment horizontal="center" vertical="center"/>
    </xf>
    <xf numFmtId="2" fontId="16" fillId="0" borderId="11" xfId="21" applyNumberFormat="1" applyFont="1" applyFill="1" applyBorder="1" applyAlignment="1">
      <alignment horizontal="center" vertical="center"/>
    </xf>
    <xf numFmtId="0" fontId="16" fillId="0" borderId="12" xfId="9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16" fillId="0" borderId="12" xfId="21" applyFont="1" applyFill="1" applyBorder="1" applyAlignment="1">
      <alignment horizontal="left" vertical="center" wrapText="1"/>
    </xf>
    <xf numFmtId="0" fontId="16" fillId="0" borderId="12" xfId="21" applyFont="1" applyFill="1" applyBorder="1" applyAlignment="1">
      <alignment horizontal="center" vertical="center"/>
    </xf>
    <xf numFmtId="2" fontId="16" fillId="0" borderId="12" xfId="2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67" fontId="16" fillId="0" borderId="2" xfId="2" applyNumberFormat="1" applyFont="1" applyFill="1" applyBorder="1" applyAlignment="1">
      <alignment horizontal="center" vertical="center"/>
    </xf>
    <xf numFmtId="0" fontId="16" fillId="0" borderId="12" xfId="19" applyFont="1" applyFill="1" applyBorder="1" applyAlignment="1">
      <alignment horizontal="left" vertical="center" wrapText="1"/>
    </xf>
    <xf numFmtId="4" fontId="16" fillId="0" borderId="11" xfId="19" applyNumberFormat="1" applyFont="1" applyFill="1" applyBorder="1" applyAlignment="1">
      <alignment horizontal="center" vertical="center"/>
    </xf>
    <xf numFmtId="4" fontId="16" fillId="0" borderId="12" xfId="19" applyNumberFormat="1" applyFont="1" applyFill="1" applyBorder="1" applyAlignment="1">
      <alignment horizontal="center" vertical="center"/>
    </xf>
    <xf numFmtId="4" fontId="16" fillId="0" borderId="20" xfId="19" applyNumberFormat="1" applyFont="1" applyFill="1" applyBorder="1" applyAlignment="1">
      <alignment horizontal="center" vertical="center"/>
    </xf>
    <xf numFmtId="170" fontId="16" fillId="0" borderId="16" xfId="21" applyNumberFormat="1" applyFont="1" applyFill="1" applyBorder="1" applyAlignment="1">
      <alignment horizontal="center" vertical="top" wrapText="1"/>
    </xf>
    <xf numFmtId="0" fontId="16" fillId="0" borderId="12" xfId="22" applyFont="1" applyFill="1" applyBorder="1" applyAlignment="1">
      <alignment horizontal="center" vertical="center" wrapText="1"/>
    </xf>
    <xf numFmtId="0" fontId="17" fillId="0" borderId="8" xfId="22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/>
    </xf>
    <xf numFmtId="167" fontId="16" fillId="0" borderId="0" xfId="1" applyNumberFormat="1" applyFont="1" applyFill="1" applyAlignment="1">
      <alignment horizontal="center" vertical="center"/>
    </xf>
    <xf numFmtId="167" fontId="16" fillId="0" borderId="13" xfId="1" applyNumberFormat="1" applyFont="1" applyFill="1" applyBorder="1" applyAlignment="1">
      <alignment horizontal="center" vertical="center"/>
    </xf>
    <xf numFmtId="166" fontId="16" fillId="0" borderId="0" xfId="20" applyNumberFormat="1" applyFont="1" applyFill="1" applyBorder="1" applyAlignment="1">
      <alignment horizontal="left" vertical="center"/>
    </xf>
    <xf numFmtId="4" fontId="16" fillId="0" borderId="12" xfId="17" applyNumberFormat="1" applyFont="1" applyFill="1" applyBorder="1" applyAlignment="1">
      <alignment horizontal="center" vertical="center"/>
    </xf>
    <xf numFmtId="4" fontId="16" fillId="0" borderId="12" xfId="8" applyNumberFormat="1" applyFont="1" applyFill="1" applyBorder="1" applyAlignment="1">
      <alignment horizontal="center" vertical="center"/>
    </xf>
    <xf numFmtId="167" fontId="16" fillId="0" borderId="17" xfId="0" applyNumberFormat="1" applyFont="1" applyFill="1" applyBorder="1" applyAlignment="1">
      <alignment horizontal="center" vertical="center"/>
    </xf>
    <xf numFmtId="166" fontId="16" fillId="0" borderId="22" xfId="1" applyNumberFormat="1" applyFont="1" applyFill="1" applyBorder="1" applyAlignment="1">
      <alignment horizontal="left" vertical="center"/>
    </xf>
    <xf numFmtId="4" fontId="16" fillId="0" borderId="11" xfId="17" applyNumberFormat="1" applyFont="1" applyFill="1" applyBorder="1" applyAlignment="1">
      <alignment horizontal="center" vertical="center"/>
    </xf>
    <xf numFmtId="2" fontId="16" fillId="0" borderId="17" xfId="5" applyNumberFormat="1" applyFont="1" applyFill="1" applyBorder="1" applyAlignment="1">
      <alignment horizontal="center" vertical="center"/>
    </xf>
    <xf numFmtId="2" fontId="16" fillId="0" borderId="17" xfId="1" applyNumberFormat="1" applyFont="1" applyFill="1" applyBorder="1" applyAlignment="1">
      <alignment horizontal="center" vertical="top" wrapText="1"/>
    </xf>
    <xf numFmtId="4" fontId="16" fillId="0" borderId="17" xfId="22" applyNumberFormat="1" applyFont="1" applyFill="1" applyBorder="1" applyAlignment="1">
      <alignment horizontal="center" vertical="center" wrapText="1"/>
    </xf>
    <xf numFmtId="4" fontId="16" fillId="0" borderId="20" xfId="8" applyNumberFormat="1" applyFont="1" applyFill="1" applyBorder="1" applyAlignment="1">
      <alignment horizontal="center" vertical="center"/>
    </xf>
    <xf numFmtId="167" fontId="16" fillId="0" borderId="27" xfId="1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2" fontId="16" fillId="0" borderId="12" xfId="0" applyNumberFormat="1" applyFont="1" applyFill="1" applyBorder="1" applyAlignment="1">
      <alignment vertical="top" wrapText="1"/>
    </xf>
    <xf numFmtId="0" fontId="16" fillId="0" borderId="12" xfId="0" applyNumberFormat="1" applyFont="1" applyFill="1" applyBorder="1" applyAlignment="1">
      <alignment horizontal="center" vertical="top" wrapText="1"/>
    </xf>
    <xf numFmtId="43" fontId="16" fillId="0" borderId="12" xfId="0" applyNumberFormat="1" applyFont="1" applyFill="1" applyBorder="1" applyAlignment="1">
      <alignment horizontal="right" vertical="top"/>
    </xf>
    <xf numFmtId="0" fontId="16" fillId="0" borderId="12" xfId="0" applyFont="1" applyFill="1" applyBorder="1"/>
    <xf numFmtId="0" fontId="16" fillId="0" borderId="17" xfId="0" applyFont="1" applyFill="1" applyBorder="1"/>
    <xf numFmtId="0" fontId="16" fillId="0" borderId="22" xfId="0" applyFont="1" applyFill="1" applyBorder="1"/>
    <xf numFmtId="0" fontId="16" fillId="0" borderId="0" xfId="0" applyFont="1" applyFill="1" applyBorder="1"/>
    <xf numFmtId="4" fontId="17" fillId="0" borderId="12" xfId="0" applyNumberFormat="1" applyFont="1" applyFill="1" applyBorder="1" applyAlignment="1">
      <alignment horizontal="center" vertical="center" wrapText="1"/>
    </xf>
    <xf numFmtId="2" fontId="17" fillId="0" borderId="14" xfId="0" applyNumberFormat="1" applyFont="1" applyFill="1" applyBorder="1" applyAlignment="1">
      <alignment vertical="center" wrapText="1"/>
    </xf>
    <xf numFmtId="2" fontId="16" fillId="0" borderId="12" xfId="0" applyNumberFormat="1" applyFont="1" applyFill="1" applyBorder="1" applyAlignment="1">
      <alignment horizontal="left" vertical="center" wrapText="1"/>
    </xf>
    <xf numFmtId="2" fontId="16" fillId="0" borderId="12" xfId="0" applyNumberFormat="1" applyFont="1" applyFill="1" applyBorder="1" applyAlignment="1">
      <alignment horizontal="center" vertical="center" wrapText="1"/>
    </xf>
    <xf numFmtId="173" fontId="16" fillId="0" borderId="12" xfId="0" applyNumberFormat="1" applyFont="1" applyFill="1" applyBorder="1" applyAlignment="1">
      <alignment horizontal="center" vertical="center" wrapText="1"/>
    </xf>
    <xf numFmtId="2" fontId="16" fillId="0" borderId="17" xfId="0" applyNumberFormat="1" applyFont="1" applyFill="1" applyBorder="1" applyAlignment="1">
      <alignment horizontal="center" vertical="center" wrapText="1"/>
    </xf>
    <xf numFmtId="2" fontId="16" fillId="0" borderId="22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 wrapText="1"/>
    </xf>
    <xf numFmtId="2" fontId="17" fillId="0" borderId="20" xfId="0" applyNumberFormat="1" applyFont="1" applyFill="1" applyBorder="1" applyAlignment="1">
      <alignment horizontal="left" vertical="top" wrapText="1"/>
    </xf>
    <xf numFmtId="2" fontId="17" fillId="0" borderId="20" xfId="0" applyNumberFormat="1" applyFont="1" applyFill="1" applyBorder="1" applyAlignment="1">
      <alignment horizontal="center" vertical="center" wrapText="1"/>
    </xf>
    <xf numFmtId="4" fontId="17" fillId="0" borderId="20" xfId="0" applyNumberFormat="1" applyFont="1" applyFill="1" applyBorder="1" applyAlignment="1">
      <alignment horizontal="center" vertical="center" wrapText="1"/>
    </xf>
    <xf numFmtId="2" fontId="17" fillId="0" borderId="20" xfId="0" applyNumberFormat="1" applyFont="1" applyFill="1" applyBorder="1" applyAlignment="1">
      <alignment vertical="top" wrapText="1"/>
    </xf>
    <xf numFmtId="173" fontId="17" fillId="0" borderId="20" xfId="0" applyNumberFormat="1" applyFont="1" applyFill="1" applyBorder="1" applyAlignment="1">
      <alignment horizontal="center" vertical="center" wrapText="1"/>
    </xf>
    <xf numFmtId="174" fontId="17" fillId="0" borderId="21" xfId="0" applyNumberFormat="1" applyFont="1" applyFill="1" applyBorder="1" applyAlignment="1">
      <alignment horizontal="center" vertical="center"/>
    </xf>
    <xf numFmtId="174" fontId="17" fillId="0" borderId="3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left" vertical="top" wrapText="1"/>
    </xf>
    <xf numFmtId="2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top" wrapText="1"/>
    </xf>
    <xf numFmtId="173" fontId="17" fillId="0" borderId="0" xfId="0" applyNumberFormat="1" applyFont="1" applyFill="1" applyBorder="1" applyAlignment="1">
      <alignment horizontal="center" vertical="center" wrapText="1"/>
    </xf>
    <xf numFmtId="174" fontId="17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/>
    <xf numFmtId="0" fontId="16" fillId="0" borderId="0" xfId="0" applyFont="1" applyFill="1" applyAlignment="1">
      <alignment vertical="center"/>
    </xf>
    <xf numFmtId="4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26" applyNumberFormat="1" applyFont="1" applyFill="1" applyBorder="1" applyAlignment="1">
      <alignment horizontal="left"/>
    </xf>
    <xf numFmtId="4" fontId="16" fillId="0" borderId="0" xfId="0" applyNumberFormat="1" applyFont="1" applyFill="1" applyAlignment="1">
      <alignment horizontal="left" vertical="center"/>
    </xf>
    <xf numFmtId="4" fontId="16" fillId="0" borderId="0" xfId="0" applyNumberFormat="1" applyFont="1" applyFill="1" applyAlignment="1">
      <alignment vertical="center"/>
    </xf>
    <xf numFmtId="175" fontId="16" fillId="0" borderId="0" xfId="0" applyNumberFormat="1" applyFont="1" applyFill="1" applyAlignment="1">
      <alignment vertical="center" wrapText="1"/>
    </xf>
    <xf numFmtId="172" fontId="16" fillId="0" borderId="0" xfId="0" applyNumberFormat="1" applyFont="1" applyFill="1" applyAlignment="1">
      <alignment horizontal="left"/>
    </xf>
    <xf numFmtId="172" fontId="16" fillId="0" borderId="0" xfId="0" applyNumberFormat="1" applyFont="1" applyFill="1" applyAlignment="1"/>
    <xf numFmtId="175" fontId="16" fillId="0" borderId="0" xfId="0" applyNumberFormat="1" applyFont="1" applyFill="1" applyAlignment="1">
      <alignment horizontal="center" vertical="center" wrapText="1"/>
    </xf>
    <xf numFmtId="0" fontId="16" fillId="4" borderId="0" xfId="26" applyNumberFormat="1" applyFont="1" applyFill="1" applyBorder="1" applyAlignment="1">
      <alignment horizontal="center"/>
    </xf>
    <xf numFmtId="0" fontId="16" fillId="4" borderId="0" xfId="26" applyNumberFormat="1" applyFont="1" applyFill="1" applyBorder="1" applyAlignment="1">
      <alignment horizontal="left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4" fontId="16" fillId="4" borderId="0" xfId="0" applyNumberFormat="1" applyFont="1" applyFill="1" applyAlignment="1">
      <alignment horizontal="center" vertical="center"/>
    </xf>
    <xf numFmtId="175" fontId="16" fillId="4" borderId="0" xfId="0" applyNumberFormat="1" applyFont="1" applyFill="1" applyAlignment="1">
      <alignment horizontal="center" vertical="center" wrapText="1"/>
    </xf>
    <xf numFmtId="4" fontId="16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/>
    </xf>
    <xf numFmtId="0" fontId="16" fillId="4" borderId="0" xfId="0" applyFont="1" applyFill="1"/>
    <xf numFmtId="172" fontId="16" fillId="4" borderId="0" xfId="0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vertical="top" wrapText="1"/>
    </xf>
    <xf numFmtId="0" fontId="16" fillId="4" borderId="0" xfId="1" applyFont="1" applyFill="1" applyAlignment="1">
      <alignment vertical="center"/>
    </xf>
    <xf numFmtId="0" fontId="16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left" vertical="center"/>
    </xf>
    <xf numFmtId="165" fontId="16" fillId="4" borderId="0" xfId="2" applyFont="1" applyFill="1" applyAlignment="1">
      <alignment horizontal="center" vertical="center"/>
    </xf>
    <xf numFmtId="167" fontId="16" fillId="4" borderId="0" xfId="1" applyNumberFormat="1" applyFont="1" applyFill="1" applyAlignment="1">
      <alignment horizontal="center" vertical="center"/>
    </xf>
    <xf numFmtId="0" fontId="16" fillId="4" borderId="0" xfId="1" applyFont="1" applyFill="1" applyAlignment="1">
      <alignment horizontal="center"/>
    </xf>
    <xf numFmtId="0" fontId="16" fillId="4" borderId="0" xfId="1" applyFont="1" applyFill="1"/>
    <xf numFmtId="49" fontId="16" fillId="4" borderId="33" xfId="1" applyNumberFormat="1" applyFont="1" applyFill="1" applyBorder="1" applyAlignment="1">
      <alignment horizontal="center" vertical="center" wrapText="1"/>
    </xf>
    <xf numFmtId="0" fontId="16" fillId="4" borderId="34" xfId="1" applyFont="1" applyFill="1" applyBorder="1" applyAlignment="1">
      <alignment horizontal="left" vertical="center"/>
    </xf>
    <xf numFmtId="0" fontId="16" fillId="4" borderId="34" xfId="1" applyFont="1" applyFill="1" applyBorder="1" applyAlignment="1">
      <alignment horizontal="center" vertical="center" wrapText="1"/>
    </xf>
    <xf numFmtId="167" fontId="16" fillId="4" borderId="34" xfId="2" applyNumberFormat="1" applyFont="1" applyFill="1" applyBorder="1" applyAlignment="1">
      <alignment horizontal="center" vertical="center"/>
    </xf>
    <xf numFmtId="167" fontId="16" fillId="4" borderId="34" xfId="1" applyNumberFormat="1" applyFont="1" applyFill="1" applyBorder="1" applyAlignment="1">
      <alignment horizontal="center" vertical="center" wrapText="1"/>
    </xf>
    <xf numFmtId="167" fontId="16" fillId="4" borderId="34" xfId="2" applyNumberFormat="1" applyFont="1" applyFill="1" applyBorder="1" applyAlignment="1">
      <alignment horizontal="center" vertical="center" wrapText="1"/>
    </xf>
    <xf numFmtId="167" fontId="16" fillId="4" borderId="35" xfId="1" applyNumberFormat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left" vertical="center" wrapText="1"/>
    </xf>
    <xf numFmtId="0" fontId="16" fillId="4" borderId="11" xfId="1" applyFont="1" applyFill="1" applyBorder="1" applyAlignment="1">
      <alignment vertical="center" wrapText="1"/>
    </xf>
    <xf numFmtId="0" fontId="16" fillId="4" borderId="11" xfId="1" applyFont="1" applyFill="1" applyBorder="1" applyAlignment="1">
      <alignment horizontal="center" vertical="center" wrapText="1"/>
    </xf>
    <xf numFmtId="168" fontId="16" fillId="4" borderId="11" xfId="2" applyNumberFormat="1" applyFont="1" applyFill="1" applyBorder="1" applyAlignment="1">
      <alignment horizontal="center" vertical="center" wrapText="1"/>
    </xf>
    <xf numFmtId="168" fontId="16" fillId="4" borderId="11" xfId="1" applyNumberFormat="1" applyFont="1" applyFill="1" applyBorder="1" applyAlignment="1">
      <alignment horizontal="center" vertical="center" wrapText="1"/>
    </xf>
    <xf numFmtId="168" fontId="16" fillId="4" borderId="13" xfId="1" applyNumberFormat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left" vertical="center" wrapText="1"/>
    </xf>
    <xf numFmtId="0" fontId="16" fillId="4" borderId="12" xfId="1" applyFont="1" applyFill="1" applyBorder="1" applyAlignment="1">
      <alignment vertical="center" wrapText="1"/>
    </xf>
    <xf numFmtId="167" fontId="16" fillId="4" borderId="12" xfId="2" applyNumberFormat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167" fontId="16" fillId="4" borderId="12" xfId="1" applyNumberFormat="1" applyFont="1" applyFill="1" applyBorder="1" applyAlignment="1">
      <alignment horizontal="center" vertical="center" wrapText="1"/>
    </xf>
    <xf numFmtId="167" fontId="16" fillId="4" borderId="17" xfId="1" applyNumberFormat="1" applyFont="1" applyFill="1" applyBorder="1" applyAlignment="1">
      <alignment horizontal="center" vertical="center" wrapText="1"/>
    </xf>
    <xf numFmtId="4" fontId="16" fillId="4" borderId="12" xfId="2" applyNumberFormat="1" applyFont="1" applyFill="1" applyBorder="1" applyAlignment="1">
      <alignment horizontal="center" vertical="center" wrapText="1"/>
    </xf>
    <xf numFmtId="0" fontId="16" fillId="4" borderId="12" xfId="20" applyFont="1" applyFill="1" applyBorder="1" applyAlignment="1">
      <alignment horizontal="center" vertical="center" wrapText="1"/>
    </xf>
    <xf numFmtId="167" fontId="16" fillId="4" borderId="12" xfId="20" applyNumberFormat="1" applyFont="1" applyFill="1" applyBorder="1" applyAlignment="1">
      <alignment horizontal="center" vertical="center" wrapText="1"/>
    </xf>
    <xf numFmtId="167" fontId="16" fillId="4" borderId="17" xfId="20" applyNumberFormat="1" applyFont="1" applyFill="1" applyBorder="1" applyAlignment="1">
      <alignment horizontal="center" vertical="center"/>
    </xf>
    <xf numFmtId="166" fontId="16" fillId="4" borderId="0" xfId="1" applyNumberFormat="1" applyFont="1" applyFill="1" applyAlignment="1">
      <alignment vertical="center"/>
    </xf>
    <xf numFmtId="0" fontId="16" fillId="4" borderId="12" xfId="14" applyFont="1" applyFill="1" applyBorder="1" applyAlignment="1">
      <alignment horizontal="center" vertical="center"/>
    </xf>
    <xf numFmtId="167" fontId="16" fillId="4" borderId="12" xfId="14" applyNumberFormat="1" applyFont="1" applyFill="1" applyBorder="1" applyAlignment="1">
      <alignment horizontal="center" vertical="center"/>
    </xf>
    <xf numFmtId="167" fontId="22" fillId="4" borderId="12" xfId="0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22" fillId="4" borderId="14" xfId="27" applyNumberFormat="1" applyFont="1" applyFill="1" applyBorder="1" applyAlignment="1">
      <alignment horizontal="center" vertical="center" wrapText="1"/>
    </xf>
    <xf numFmtId="0" fontId="22" fillId="4" borderId="12" xfId="27" applyFont="1" applyFill="1" applyBorder="1" applyAlignment="1">
      <alignment horizontal="left" vertical="center" wrapText="1"/>
    </xf>
    <xf numFmtId="0" fontId="22" fillId="4" borderId="12" xfId="27" applyFont="1" applyFill="1" applyBorder="1" applyAlignment="1">
      <alignment vertical="center" wrapText="1"/>
    </xf>
    <xf numFmtId="167" fontId="22" fillId="4" borderId="12" xfId="28" applyNumberFormat="1" applyFont="1" applyFill="1" applyBorder="1" applyAlignment="1">
      <alignment horizontal="center" vertical="center" wrapText="1"/>
    </xf>
    <xf numFmtId="0" fontId="22" fillId="4" borderId="12" xfId="27" applyFont="1" applyFill="1" applyBorder="1" applyAlignment="1">
      <alignment horizontal="center" vertical="center" wrapText="1"/>
    </xf>
    <xf numFmtId="167" fontId="22" fillId="4" borderId="12" xfId="27" applyNumberFormat="1" applyFont="1" applyFill="1" applyBorder="1" applyAlignment="1">
      <alignment horizontal="center" vertical="center" wrapText="1"/>
    </xf>
    <xf numFmtId="167" fontId="22" fillId="4" borderId="17" xfId="27" applyNumberFormat="1" applyFont="1" applyFill="1" applyBorder="1" applyAlignment="1">
      <alignment horizontal="center" vertical="center" wrapText="1"/>
    </xf>
    <xf numFmtId="0" fontId="22" fillId="4" borderId="12" xfId="37" applyFont="1" applyFill="1" applyBorder="1" applyAlignment="1">
      <alignment horizontal="center" vertical="center"/>
    </xf>
    <xf numFmtId="167" fontId="22" fillId="4" borderId="12" xfId="37" applyNumberFormat="1" applyFont="1" applyFill="1" applyBorder="1" applyAlignment="1">
      <alignment horizontal="center" vertical="center" wrapText="1"/>
    </xf>
    <xf numFmtId="167" fontId="22" fillId="4" borderId="12" xfId="183" applyNumberFormat="1" applyFont="1" applyFill="1" applyBorder="1" applyAlignment="1">
      <alignment horizontal="center" vertical="center" wrapText="1"/>
    </xf>
    <xf numFmtId="167" fontId="22" fillId="4" borderId="17" xfId="37" applyNumberFormat="1" applyFont="1" applyFill="1" applyBorder="1" applyAlignment="1">
      <alignment horizontal="center" vertical="center" wrapText="1"/>
    </xf>
    <xf numFmtId="167" fontId="22" fillId="4" borderId="12" xfId="31" applyNumberFormat="1" applyFont="1" applyFill="1" applyBorder="1" applyAlignment="1">
      <alignment horizontal="center" vertical="center" wrapText="1"/>
    </xf>
    <xf numFmtId="167" fontId="16" fillId="4" borderId="0" xfId="2" applyNumberFormat="1" applyFont="1" applyFill="1" applyBorder="1" applyAlignment="1">
      <alignment horizontal="center" vertical="center"/>
    </xf>
    <xf numFmtId="166" fontId="22" fillId="4" borderId="0" xfId="31" applyNumberFormat="1" applyFont="1" applyFill="1" applyAlignment="1">
      <alignment vertical="center"/>
    </xf>
    <xf numFmtId="0" fontId="22" fillId="4" borderId="12" xfId="78" applyFont="1" applyFill="1" applyBorder="1" applyAlignment="1">
      <alignment horizontal="left" vertical="center" wrapText="1"/>
    </xf>
    <xf numFmtId="4" fontId="22" fillId="4" borderId="12" xfId="37" applyNumberFormat="1" applyFont="1" applyFill="1" applyBorder="1" applyAlignment="1">
      <alignment horizontal="center" vertical="center"/>
    </xf>
    <xf numFmtId="166" fontId="22" fillId="4" borderId="0" xfId="78" applyNumberFormat="1" applyFont="1" applyFill="1" applyAlignment="1">
      <alignment vertical="center"/>
    </xf>
    <xf numFmtId="0" fontId="22" fillId="4" borderId="12" xfId="190" applyFont="1" applyFill="1" applyBorder="1" applyAlignment="1">
      <alignment horizontal="center" vertical="center"/>
    </xf>
    <xf numFmtId="4" fontId="22" fillId="4" borderId="12" xfId="78" applyNumberFormat="1" applyFont="1" applyFill="1" applyBorder="1" applyAlignment="1">
      <alignment horizontal="center" vertical="center"/>
    </xf>
    <xf numFmtId="4" fontId="22" fillId="4" borderId="17" xfId="4" applyNumberFormat="1" applyFont="1" applyFill="1" applyBorder="1" applyAlignment="1">
      <alignment horizontal="center" vertical="center" wrapText="1"/>
    </xf>
    <xf numFmtId="0" fontId="22" fillId="4" borderId="0" xfId="78" applyFont="1" applyFill="1" applyAlignment="1">
      <alignment vertical="center"/>
    </xf>
    <xf numFmtId="167" fontId="22" fillId="4" borderId="0" xfId="179" applyNumberFormat="1" applyFont="1" applyFill="1" applyBorder="1" applyAlignment="1">
      <alignment horizontal="center" vertical="center"/>
    </xf>
    <xf numFmtId="0" fontId="22" fillId="4" borderId="12" xfId="78" applyFont="1" applyFill="1" applyBorder="1" applyAlignment="1">
      <alignment horizontal="left" vertical="center"/>
    </xf>
    <xf numFmtId="4" fontId="22" fillId="4" borderId="12" xfId="190" applyNumberFormat="1" applyFont="1" applyFill="1" applyBorder="1" applyAlignment="1">
      <alignment horizontal="center" vertical="center"/>
    </xf>
    <xf numFmtId="0" fontId="22" fillId="4" borderId="12" xfId="78" applyFont="1" applyFill="1" applyBorder="1" applyAlignment="1">
      <alignment horizontal="center" vertical="center"/>
    </xf>
    <xf numFmtId="0" fontId="16" fillId="4" borderId="12" xfId="12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2" xfId="12" applyNumberFormat="1" applyFont="1" applyFill="1" applyBorder="1" applyAlignment="1">
      <alignment horizontal="left" vertical="center" wrapText="1"/>
    </xf>
    <xf numFmtId="0" fontId="16" fillId="4" borderId="12" xfId="12" applyFont="1" applyFill="1" applyBorder="1" applyAlignment="1">
      <alignment vertical="center"/>
    </xf>
    <xf numFmtId="167" fontId="16" fillId="4" borderId="12" xfId="13" applyNumberFormat="1" applyFont="1" applyFill="1" applyBorder="1" applyAlignment="1">
      <alignment horizontal="center" vertical="center"/>
    </xf>
    <xf numFmtId="167" fontId="16" fillId="4" borderId="12" xfId="1" applyNumberFormat="1" applyFont="1" applyFill="1" applyBorder="1" applyAlignment="1">
      <alignment horizontal="center" vertical="center"/>
    </xf>
    <xf numFmtId="167" fontId="16" fillId="4" borderId="17" xfId="1" applyNumberFormat="1" applyFont="1" applyFill="1" applyBorder="1" applyAlignment="1">
      <alignment horizontal="center" vertical="center"/>
    </xf>
    <xf numFmtId="0" fontId="16" fillId="4" borderId="12" xfId="1" applyNumberFormat="1" applyFont="1" applyFill="1" applyBorder="1" applyAlignment="1">
      <alignment horizontal="left" vertical="center" wrapText="1"/>
    </xf>
    <xf numFmtId="0" fontId="16" fillId="4" borderId="12" xfId="1" applyFont="1" applyFill="1" applyBorder="1" applyAlignment="1">
      <alignment vertical="center"/>
    </xf>
    <xf numFmtId="167" fontId="16" fillId="4" borderId="12" xfId="2" applyNumberFormat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/>
    </xf>
    <xf numFmtId="4" fontId="16" fillId="4" borderId="12" xfId="17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168" fontId="16" fillId="4" borderId="12" xfId="2" applyNumberFormat="1" applyFont="1" applyFill="1" applyBorder="1" applyAlignment="1">
      <alignment horizontal="center" vertical="center" wrapText="1"/>
    </xf>
    <xf numFmtId="168" fontId="16" fillId="4" borderId="12" xfId="1" applyNumberFormat="1" applyFont="1" applyFill="1" applyBorder="1" applyAlignment="1">
      <alignment horizontal="center" vertical="center" wrapText="1"/>
    </xf>
    <xf numFmtId="168" fontId="16" fillId="4" borderId="17" xfId="1" applyNumberFormat="1" applyFont="1" applyFill="1" applyBorder="1" applyAlignment="1">
      <alignment horizontal="center" vertical="center" wrapText="1"/>
    </xf>
    <xf numFmtId="49" fontId="22" fillId="4" borderId="14" xfId="4" applyNumberFormat="1" applyFont="1" applyFill="1" applyBorder="1" applyAlignment="1">
      <alignment horizontal="center" vertical="center"/>
    </xf>
    <xf numFmtId="0" fontId="22" fillId="4" borderId="12" xfId="191" applyFont="1" applyFill="1" applyBorder="1" applyAlignment="1">
      <alignment horizontal="left" vertical="center" wrapText="1"/>
    </xf>
    <xf numFmtId="0" fontId="22" fillId="4" borderId="12" xfId="191" applyFont="1" applyFill="1" applyBorder="1" applyAlignment="1">
      <alignment horizontal="center" vertical="center" wrapText="1"/>
    </xf>
    <xf numFmtId="4" fontId="22" fillId="4" borderId="12" xfId="187" applyNumberFormat="1" applyFont="1" applyFill="1" applyBorder="1" applyAlignment="1">
      <alignment horizontal="center" vertical="center" wrapText="1"/>
    </xf>
    <xf numFmtId="4" fontId="22" fillId="4" borderId="12" xfId="179" applyNumberFormat="1" applyFont="1" applyFill="1" applyBorder="1" applyAlignment="1">
      <alignment horizontal="center" vertical="center"/>
    </xf>
    <xf numFmtId="4" fontId="22" fillId="4" borderId="12" xfId="4" applyNumberFormat="1" applyFont="1" applyFill="1" applyBorder="1" applyAlignment="1">
      <alignment horizontal="center" vertical="center" wrapText="1"/>
    </xf>
    <xf numFmtId="0" fontId="22" fillId="4" borderId="12" xfId="191" applyFont="1" applyFill="1" applyBorder="1" applyAlignment="1">
      <alignment vertical="center" wrapText="1"/>
    </xf>
    <xf numFmtId="0" fontId="22" fillId="4" borderId="12" xfId="191" applyFont="1" applyFill="1" applyBorder="1" applyAlignment="1">
      <alignment horizontal="center" vertical="center"/>
    </xf>
    <xf numFmtId="4" fontId="22" fillId="4" borderId="12" xfId="191" applyNumberFormat="1" applyFont="1" applyFill="1" applyBorder="1" applyAlignment="1">
      <alignment horizontal="center" vertical="center" wrapText="1"/>
    </xf>
    <xf numFmtId="4" fontId="22" fillId="4" borderId="12" xfId="191" applyNumberFormat="1" applyFont="1" applyFill="1" applyBorder="1" applyAlignment="1">
      <alignment horizontal="center" vertical="center"/>
    </xf>
    <xf numFmtId="0" fontId="22" fillId="4" borderId="14" xfId="78" applyFont="1" applyFill="1" applyBorder="1" applyAlignment="1">
      <alignment horizontal="center" vertical="center" wrapText="1"/>
    </xf>
    <xf numFmtId="0" fontId="22" fillId="4" borderId="12" xfId="78" applyFont="1" applyFill="1" applyBorder="1" applyAlignment="1">
      <alignment horizontal="center" vertical="center" wrapText="1"/>
    </xf>
    <xf numFmtId="167" fontId="22" fillId="4" borderId="12" xfId="179" applyNumberFormat="1" applyFont="1" applyFill="1" applyBorder="1" applyAlignment="1">
      <alignment horizontal="center" vertical="center" wrapText="1"/>
    </xf>
    <xf numFmtId="0" fontId="43" fillId="4" borderId="12" xfId="78" applyFont="1" applyFill="1" applyBorder="1" applyAlignment="1">
      <alignment horizontal="center" vertical="center" wrapText="1"/>
    </xf>
    <xf numFmtId="0" fontId="43" fillId="4" borderId="12" xfId="37" applyFont="1" applyFill="1" applyBorder="1" applyAlignment="1">
      <alignment horizontal="center" vertical="center" wrapText="1"/>
    </xf>
    <xf numFmtId="167" fontId="43" fillId="4" borderId="12" xfId="37" applyNumberFormat="1" applyFont="1" applyFill="1" applyBorder="1" applyAlignment="1">
      <alignment horizontal="center" vertical="center" wrapText="1"/>
    </xf>
    <xf numFmtId="167" fontId="43" fillId="4" borderId="17" xfId="37" applyNumberFormat="1" applyFont="1" applyFill="1" applyBorder="1" applyAlignment="1">
      <alignment horizontal="center" vertical="center" wrapText="1"/>
    </xf>
    <xf numFmtId="166" fontId="16" fillId="4" borderId="12" xfId="1" applyNumberFormat="1" applyFont="1" applyFill="1" applyBorder="1" applyAlignment="1">
      <alignment horizontal="center" vertical="center"/>
    </xf>
    <xf numFmtId="4" fontId="16" fillId="4" borderId="12" xfId="1" applyNumberFormat="1" applyFont="1" applyFill="1" applyBorder="1" applyAlignment="1">
      <alignment horizontal="center" vertical="center"/>
    </xf>
    <xf numFmtId="166" fontId="16" fillId="4" borderId="12" xfId="1" applyNumberFormat="1" applyFont="1" applyFill="1" applyBorder="1" applyAlignment="1">
      <alignment vertical="center"/>
    </xf>
    <xf numFmtId="0" fontId="16" fillId="4" borderId="12" xfId="20" applyFont="1" applyFill="1" applyBorder="1" applyAlignment="1">
      <alignment horizontal="center" vertical="center"/>
    </xf>
    <xf numFmtId="167" fontId="16" fillId="4" borderId="12" xfId="20" applyNumberFormat="1" applyFont="1" applyFill="1" applyBorder="1" applyAlignment="1">
      <alignment horizontal="center" vertical="center"/>
    </xf>
    <xf numFmtId="4" fontId="16" fillId="4" borderId="12" xfId="2" applyNumberFormat="1" applyFont="1" applyFill="1" applyBorder="1" applyAlignment="1">
      <alignment horizontal="center" vertical="center"/>
    </xf>
    <xf numFmtId="2" fontId="16" fillId="4" borderId="12" xfId="1" applyNumberFormat="1" applyFont="1" applyFill="1" applyBorder="1" applyAlignment="1">
      <alignment horizontal="left" vertical="center" wrapText="1"/>
    </xf>
    <xf numFmtId="0" fontId="16" fillId="4" borderId="12" xfId="1" applyFont="1" applyFill="1" applyBorder="1" applyAlignment="1">
      <alignment horizontal="left" vertical="center"/>
    </xf>
    <xf numFmtId="0" fontId="22" fillId="4" borderId="12" xfId="4" applyFont="1" applyFill="1" applyBorder="1" applyAlignment="1">
      <alignment horizontal="left" vertical="center" wrapText="1"/>
    </xf>
    <xf numFmtId="0" fontId="22" fillId="4" borderId="12" xfId="4" applyFont="1" applyFill="1" applyBorder="1" applyAlignment="1">
      <alignment horizontal="center" vertical="center"/>
    </xf>
    <xf numFmtId="0" fontId="22" fillId="4" borderId="12" xfId="4" applyFont="1" applyFill="1" applyBorder="1" applyAlignment="1">
      <alignment horizontal="center" vertical="center" wrapText="1"/>
    </xf>
    <xf numFmtId="3" fontId="22" fillId="4" borderId="12" xfId="4" applyNumberFormat="1" applyFont="1" applyFill="1" applyBorder="1" applyAlignment="1">
      <alignment horizontal="center" vertical="center"/>
    </xf>
    <xf numFmtId="2" fontId="22" fillId="4" borderId="12" xfId="4" applyNumberFormat="1" applyFont="1" applyFill="1" applyBorder="1" applyAlignment="1">
      <alignment horizontal="center" vertical="center"/>
    </xf>
    <xf numFmtId="180" fontId="22" fillId="4" borderId="12" xfId="4" applyNumberFormat="1" applyFont="1" applyFill="1" applyBorder="1" applyAlignment="1">
      <alignment horizontal="center" vertical="center"/>
    </xf>
    <xf numFmtId="4" fontId="22" fillId="4" borderId="12" xfId="194" applyNumberFormat="1" applyFont="1" applyFill="1" applyBorder="1" applyAlignment="1">
      <alignment horizontal="center" vertical="center"/>
    </xf>
    <xf numFmtId="4" fontId="22" fillId="4" borderId="12" xfId="16" applyNumberFormat="1" applyFont="1" applyFill="1" applyBorder="1" applyAlignment="1">
      <alignment horizontal="center" vertical="center"/>
    </xf>
    <xf numFmtId="0" fontId="22" fillId="4" borderId="14" xfId="78" applyFont="1" applyFill="1" applyBorder="1" applyAlignment="1">
      <alignment horizontal="center" vertical="center"/>
    </xf>
    <xf numFmtId="166" fontId="22" fillId="4" borderId="12" xfId="78" applyNumberFormat="1" applyFont="1" applyFill="1" applyBorder="1" applyAlignment="1">
      <alignment vertical="center"/>
    </xf>
    <xf numFmtId="2" fontId="22" fillId="4" borderId="12" xfId="78" applyNumberFormat="1" applyFont="1" applyFill="1" applyBorder="1" applyAlignment="1">
      <alignment horizontal="left" vertical="center" wrapText="1"/>
    </xf>
    <xf numFmtId="4" fontId="22" fillId="4" borderId="12" xfId="185" applyNumberFormat="1" applyFont="1" applyFill="1" applyBorder="1" applyAlignment="1">
      <alignment horizontal="center" vertical="center"/>
    </xf>
    <xf numFmtId="0" fontId="22" fillId="4" borderId="12" xfId="37" applyFont="1" applyFill="1" applyBorder="1" applyAlignment="1">
      <alignment horizontal="center" vertical="center" wrapText="1"/>
    </xf>
    <xf numFmtId="0" fontId="16" fillId="4" borderId="12" xfId="9" applyFont="1" applyFill="1" applyBorder="1" applyAlignment="1">
      <alignment horizontal="left" vertical="center" wrapText="1"/>
    </xf>
    <xf numFmtId="0" fontId="16" fillId="4" borderId="12" xfId="9" applyFont="1" applyFill="1" applyBorder="1" applyAlignment="1">
      <alignment vertical="center"/>
    </xf>
    <xf numFmtId="167" fontId="16" fillId="4" borderId="12" xfId="10" applyNumberFormat="1" applyFont="1" applyFill="1" applyBorder="1" applyAlignment="1">
      <alignment horizontal="center" vertical="center"/>
    </xf>
    <xf numFmtId="4" fontId="16" fillId="4" borderId="12" xfId="10" applyNumberFormat="1" applyFont="1" applyFill="1" applyBorder="1" applyAlignment="1">
      <alignment horizontal="center" vertical="center"/>
    </xf>
    <xf numFmtId="0" fontId="16" fillId="4" borderId="12" xfId="9" applyFont="1" applyFill="1" applyBorder="1" applyAlignment="1">
      <alignment horizontal="left" vertical="center"/>
    </xf>
    <xf numFmtId="0" fontId="16" fillId="4" borderId="12" xfId="22" applyFont="1" applyFill="1" applyBorder="1" applyAlignment="1">
      <alignment horizontal="center" vertical="center"/>
    </xf>
    <xf numFmtId="167" fontId="16" fillId="4" borderId="12" xfId="22" applyNumberFormat="1" applyFont="1" applyFill="1" applyBorder="1" applyAlignment="1">
      <alignment horizontal="center" vertical="center"/>
    </xf>
    <xf numFmtId="4" fontId="16" fillId="4" borderId="12" xfId="22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9" applyFont="1" applyFill="1" applyBorder="1" applyAlignment="1">
      <alignment horizontal="left" vertical="center" wrapText="1"/>
    </xf>
    <xf numFmtId="0" fontId="16" fillId="4" borderId="16" xfId="9" applyFont="1" applyFill="1" applyBorder="1" applyAlignment="1">
      <alignment vertical="center"/>
    </xf>
    <xf numFmtId="167" fontId="16" fillId="4" borderId="16" xfId="10" applyNumberFormat="1" applyFont="1" applyFill="1" applyBorder="1" applyAlignment="1">
      <alignment horizontal="center" vertical="center"/>
    </xf>
    <xf numFmtId="4" fontId="16" fillId="4" borderId="16" xfId="10" applyNumberFormat="1" applyFont="1" applyFill="1" applyBorder="1" applyAlignment="1">
      <alignment horizontal="center" vertical="center"/>
    </xf>
    <xf numFmtId="0" fontId="16" fillId="4" borderId="16" xfId="9" applyFont="1" applyFill="1" applyBorder="1" applyAlignment="1">
      <alignment horizontal="left" vertical="center"/>
    </xf>
    <xf numFmtId="0" fontId="16" fillId="4" borderId="16" xfId="22" applyFont="1" applyFill="1" applyBorder="1" applyAlignment="1">
      <alignment horizontal="center" vertical="center"/>
    </xf>
    <xf numFmtId="167" fontId="16" fillId="4" borderId="16" xfId="22" applyNumberFormat="1" applyFont="1" applyFill="1" applyBorder="1" applyAlignment="1">
      <alignment horizontal="center" vertical="center"/>
    </xf>
    <xf numFmtId="4" fontId="16" fillId="4" borderId="16" xfId="22" applyNumberFormat="1" applyFont="1" applyFill="1" applyBorder="1" applyAlignment="1">
      <alignment horizontal="center" vertical="center"/>
    </xf>
    <xf numFmtId="167" fontId="16" fillId="4" borderId="16" xfId="20" applyNumberFormat="1" applyFont="1" applyFill="1" applyBorder="1" applyAlignment="1">
      <alignment horizontal="center" vertical="center"/>
    </xf>
    <xf numFmtId="167" fontId="16" fillId="4" borderId="18" xfId="20" applyNumberFormat="1" applyFont="1" applyFill="1" applyBorder="1" applyAlignment="1">
      <alignment horizontal="center" vertical="center"/>
    </xf>
    <xf numFmtId="0" fontId="16" fillId="4" borderId="33" xfId="1" applyFont="1" applyFill="1" applyBorder="1" applyAlignment="1">
      <alignment horizontal="center" vertical="center" wrapText="1"/>
    </xf>
    <xf numFmtId="0" fontId="16" fillId="4" borderId="34" xfId="1" applyFont="1" applyFill="1" applyBorder="1" applyAlignment="1">
      <alignment vertical="center" wrapText="1"/>
    </xf>
    <xf numFmtId="4" fontId="16" fillId="4" borderId="34" xfId="2" applyNumberFormat="1" applyFont="1" applyFill="1" applyBorder="1" applyAlignment="1">
      <alignment horizontal="center" vertical="center" wrapText="1"/>
    </xf>
    <xf numFmtId="0" fontId="16" fillId="4" borderId="34" xfId="20" applyFont="1" applyFill="1" applyBorder="1" applyAlignment="1">
      <alignment horizontal="center" vertical="center" wrapText="1"/>
    </xf>
    <xf numFmtId="167" fontId="16" fillId="4" borderId="34" xfId="20" applyNumberFormat="1" applyFont="1" applyFill="1" applyBorder="1" applyAlignment="1">
      <alignment horizontal="center" vertical="center" wrapText="1"/>
    </xf>
    <xf numFmtId="167" fontId="16" fillId="4" borderId="35" xfId="20" applyNumberFormat="1" applyFont="1" applyFill="1" applyBorder="1" applyAlignment="1">
      <alignment horizontal="center" vertical="center"/>
    </xf>
    <xf numFmtId="0" fontId="16" fillId="4" borderId="11" xfId="72" applyFont="1" applyFill="1" applyBorder="1" applyAlignment="1">
      <alignment horizontal="left" vertical="top" wrapText="1"/>
    </xf>
    <xf numFmtId="167" fontId="16" fillId="4" borderId="11" xfId="2" applyNumberFormat="1" applyFont="1" applyFill="1" applyBorder="1" applyAlignment="1">
      <alignment horizontal="center" vertical="center" wrapText="1"/>
    </xf>
    <xf numFmtId="4" fontId="16" fillId="4" borderId="11" xfId="2" applyNumberFormat="1" applyFont="1" applyFill="1" applyBorder="1" applyAlignment="1">
      <alignment horizontal="center" vertical="center" wrapText="1"/>
    </xf>
    <xf numFmtId="0" fontId="16" fillId="4" borderId="11" xfId="20" applyFont="1" applyFill="1" applyBorder="1" applyAlignment="1">
      <alignment horizontal="center" vertical="center" wrapText="1"/>
    </xf>
    <xf numFmtId="167" fontId="16" fillId="4" borderId="11" xfId="20" applyNumberFormat="1" applyFont="1" applyFill="1" applyBorder="1" applyAlignment="1">
      <alignment horizontal="center" vertical="center" wrapText="1"/>
    </xf>
    <xf numFmtId="167" fontId="16" fillId="4" borderId="13" xfId="20" applyNumberFormat="1" applyFont="1" applyFill="1" applyBorder="1" applyAlignment="1">
      <alignment horizontal="center" vertical="center"/>
    </xf>
    <xf numFmtId="2" fontId="16" fillId="4" borderId="12" xfId="72" applyNumberFormat="1" applyFont="1" applyFill="1" applyBorder="1" applyAlignment="1">
      <alignment horizontal="left" vertical="center" wrapText="1"/>
    </xf>
    <xf numFmtId="2" fontId="16" fillId="4" borderId="12" xfId="72" applyNumberFormat="1" applyFont="1" applyFill="1" applyBorder="1" applyAlignment="1">
      <alignment horizontal="center" vertical="center" wrapText="1"/>
    </xf>
    <xf numFmtId="179" fontId="16" fillId="4" borderId="12" xfId="513" applyNumberFormat="1" applyFont="1" applyFill="1" applyBorder="1" applyAlignment="1">
      <alignment horizontal="center" vertical="center" wrapText="1"/>
    </xf>
    <xf numFmtId="181" fontId="16" fillId="4" borderId="12" xfId="72" applyNumberFormat="1" applyFont="1" applyFill="1" applyBorder="1" applyAlignment="1">
      <alignment vertical="center" wrapText="1"/>
    </xf>
    <xf numFmtId="2" fontId="16" fillId="4" borderId="12" xfId="52" applyNumberFormat="1" applyFont="1" applyFill="1" applyBorder="1" applyAlignment="1">
      <alignment horizontal="right" vertical="center" wrapText="1"/>
    </xf>
    <xf numFmtId="4" fontId="16" fillId="4" borderId="17" xfId="72" applyNumberFormat="1" applyFont="1" applyFill="1" applyBorder="1" applyAlignment="1">
      <alignment horizontal="right" vertical="center" wrapText="1"/>
    </xf>
    <xf numFmtId="0" fontId="16" fillId="4" borderId="0" xfId="72" applyFont="1" applyFill="1"/>
    <xf numFmtId="2" fontId="16" fillId="4" borderId="12" xfId="513" applyNumberFormat="1" applyFont="1" applyFill="1" applyBorder="1" applyAlignment="1">
      <alignment horizontal="center" vertical="center" wrapText="1"/>
    </xf>
    <xf numFmtId="2" fontId="16" fillId="4" borderId="16" xfId="72" applyNumberFormat="1" applyFont="1" applyFill="1" applyBorder="1" applyAlignment="1">
      <alignment horizontal="left" vertical="center" wrapText="1"/>
    </xf>
    <xf numFmtId="2" fontId="16" fillId="4" borderId="16" xfId="72" applyNumberFormat="1" applyFont="1" applyFill="1" applyBorder="1" applyAlignment="1">
      <alignment horizontal="center" vertical="center" wrapText="1"/>
    </xf>
    <xf numFmtId="179" fontId="16" fillId="4" borderId="16" xfId="513" applyNumberFormat="1" applyFont="1" applyFill="1" applyBorder="1" applyAlignment="1">
      <alignment horizontal="center" vertical="center" wrapText="1"/>
    </xf>
    <xf numFmtId="181" fontId="16" fillId="4" borderId="16" xfId="72" applyNumberFormat="1" applyFont="1" applyFill="1" applyBorder="1" applyAlignment="1">
      <alignment vertical="center" wrapText="1"/>
    </xf>
    <xf numFmtId="4" fontId="16" fillId="4" borderId="18" xfId="72" applyNumberFormat="1" applyFont="1" applyFill="1" applyBorder="1" applyAlignment="1">
      <alignment horizontal="right" vertical="center" wrapText="1"/>
    </xf>
    <xf numFmtId="0" fontId="16" fillId="4" borderId="11" xfId="4" applyFont="1" applyFill="1" applyBorder="1" applyAlignment="1">
      <alignment horizontal="left" vertical="top" wrapText="1"/>
    </xf>
    <xf numFmtId="0" fontId="16" fillId="4" borderId="11" xfId="4" applyFont="1" applyFill="1" applyBorder="1" applyAlignment="1">
      <alignment horizontal="center" vertical="center" wrapText="1"/>
    </xf>
    <xf numFmtId="2" fontId="16" fillId="4" borderId="11" xfId="4" applyNumberFormat="1" applyFont="1" applyFill="1" applyBorder="1" applyAlignment="1">
      <alignment horizontal="center" vertical="center" wrapText="1"/>
    </xf>
    <xf numFmtId="4" fontId="16" fillId="4" borderId="11" xfId="4" applyNumberFormat="1" applyFont="1" applyFill="1" applyBorder="1" applyAlignment="1">
      <alignment horizontal="center" vertical="center" wrapText="1"/>
    </xf>
    <xf numFmtId="4" fontId="16" fillId="4" borderId="13" xfId="4" applyNumberFormat="1" applyFont="1" applyFill="1" applyBorder="1" applyAlignment="1">
      <alignment horizontal="center" vertical="center" wrapText="1"/>
    </xf>
    <xf numFmtId="0" fontId="16" fillId="4" borderId="0" xfId="4" applyFont="1" applyFill="1"/>
    <xf numFmtId="0" fontId="16" fillId="4" borderId="12" xfId="4" applyFont="1" applyFill="1" applyBorder="1" applyAlignment="1">
      <alignment horizontal="center" vertical="center" wrapText="1"/>
    </xf>
    <xf numFmtId="2" fontId="16" fillId="4" borderId="12" xfId="4" applyNumberFormat="1" applyFont="1" applyFill="1" applyBorder="1" applyAlignment="1">
      <alignment horizontal="center" vertical="center" wrapText="1"/>
    </xf>
    <xf numFmtId="4" fontId="16" fillId="4" borderId="12" xfId="4" applyNumberFormat="1" applyFont="1" applyFill="1" applyBorder="1" applyAlignment="1">
      <alignment horizontal="center" vertical="center" wrapText="1"/>
    </xf>
    <xf numFmtId="4" fontId="16" fillId="4" borderId="17" xfId="4" applyNumberFormat="1" applyFont="1" applyFill="1" applyBorder="1" applyAlignment="1">
      <alignment horizontal="center" vertical="center" wrapText="1"/>
    </xf>
    <xf numFmtId="0" fontId="16" fillId="4" borderId="12" xfId="4" applyFont="1" applyFill="1" applyBorder="1" applyAlignment="1">
      <alignment horizontal="left" vertical="center" wrapText="1"/>
    </xf>
    <xf numFmtId="0" fontId="16" fillId="4" borderId="0" xfId="4" applyFont="1" applyFill="1" applyAlignment="1">
      <alignment vertical="center"/>
    </xf>
    <xf numFmtId="0" fontId="16" fillId="4" borderId="12" xfId="4" applyFont="1" applyFill="1" applyBorder="1" applyAlignment="1">
      <alignment horizontal="left" vertical="center"/>
    </xf>
    <xf numFmtId="0" fontId="16" fillId="4" borderId="15" xfId="1" applyFont="1" applyFill="1" applyBorder="1" applyAlignment="1">
      <alignment horizontal="center" vertical="center" wrapText="1"/>
    </xf>
    <xf numFmtId="0" fontId="16" fillId="4" borderId="16" xfId="4" applyFont="1" applyFill="1" applyBorder="1" applyAlignment="1">
      <alignment vertical="center" wrapText="1"/>
    </xf>
    <xf numFmtId="4" fontId="16" fillId="4" borderId="16" xfId="4" applyNumberFormat="1" applyFont="1" applyFill="1" applyBorder="1" applyAlignment="1">
      <alignment vertical="center" wrapText="1"/>
    </xf>
    <xf numFmtId="0" fontId="16" fillId="4" borderId="16" xfId="4" applyFont="1" applyFill="1" applyBorder="1" applyAlignment="1">
      <alignment horizontal="left" vertical="center" wrapText="1"/>
    </xf>
    <xf numFmtId="0" fontId="16" fillId="4" borderId="16" xfId="4" applyFont="1" applyFill="1" applyBorder="1" applyAlignment="1">
      <alignment horizontal="center" vertical="center" wrapText="1"/>
    </xf>
    <xf numFmtId="2" fontId="16" fillId="4" borderId="16" xfId="4" applyNumberFormat="1" applyFont="1" applyFill="1" applyBorder="1" applyAlignment="1">
      <alignment horizontal="center" vertical="center" wrapText="1"/>
    </xf>
    <xf numFmtId="4" fontId="16" fillId="4" borderId="16" xfId="4" applyNumberFormat="1" applyFont="1" applyFill="1" applyBorder="1" applyAlignment="1">
      <alignment horizontal="center" vertical="center" wrapText="1"/>
    </xf>
    <xf numFmtId="4" fontId="16" fillId="4" borderId="18" xfId="4" applyNumberFormat="1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9" applyFont="1" applyFill="1" applyBorder="1" applyAlignment="1">
      <alignment vertical="center"/>
    </xf>
    <xf numFmtId="167" fontId="16" fillId="4" borderId="34" xfId="10" applyNumberFormat="1" applyFont="1" applyFill="1" applyBorder="1" applyAlignment="1">
      <alignment horizontal="center" vertical="center"/>
    </xf>
    <xf numFmtId="4" fontId="16" fillId="4" borderId="34" xfId="10" applyNumberFormat="1" applyFont="1" applyFill="1" applyBorder="1" applyAlignment="1">
      <alignment horizontal="center" vertical="center"/>
    </xf>
    <xf numFmtId="0" fontId="16" fillId="4" borderId="34" xfId="9" applyFont="1" applyFill="1" applyBorder="1" applyAlignment="1">
      <alignment horizontal="left" vertical="center"/>
    </xf>
    <xf numFmtId="0" fontId="16" fillId="4" borderId="34" xfId="22" applyFont="1" applyFill="1" applyBorder="1" applyAlignment="1">
      <alignment horizontal="center" vertical="center"/>
    </xf>
    <xf numFmtId="167" fontId="16" fillId="4" borderId="34" xfId="22" applyNumberFormat="1" applyFont="1" applyFill="1" applyBorder="1" applyAlignment="1">
      <alignment horizontal="center" vertical="center"/>
    </xf>
    <xf numFmtId="4" fontId="16" fillId="4" borderId="34" xfId="22" applyNumberFormat="1" applyFont="1" applyFill="1" applyBorder="1" applyAlignment="1">
      <alignment horizontal="center" vertical="center"/>
    </xf>
    <xf numFmtId="167" fontId="16" fillId="4" borderId="34" xfId="20" applyNumberFormat="1" applyFont="1" applyFill="1" applyBorder="1" applyAlignment="1">
      <alignment horizontal="center" vertical="center"/>
    </xf>
    <xf numFmtId="0" fontId="16" fillId="4" borderId="10" xfId="4" applyFont="1" applyFill="1" applyBorder="1" applyAlignment="1">
      <alignment horizontal="center" vertical="center" wrapText="1"/>
    </xf>
    <xf numFmtId="0" fontId="16" fillId="4" borderId="11" xfId="4" applyFont="1" applyFill="1" applyBorder="1" applyAlignment="1">
      <alignment vertical="center" wrapText="1"/>
    </xf>
    <xf numFmtId="0" fontId="16" fillId="4" borderId="11" xfId="4" applyFont="1" applyFill="1" applyBorder="1" applyAlignment="1">
      <alignment horizontal="left" vertical="center" wrapText="1"/>
    </xf>
    <xf numFmtId="0" fontId="16" fillId="4" borderId="14" xfId="4" applyFont="1" applyFill="1" applyBorder="1" applyAlignment="1">
      <alignment horizontal="center" vertical="center" wrapText="1"/>
    </xf>
    <xf numFmtId="0" fontId="16" fillId="4" borderId="12" xfId="4" applyFont="1" applyFill="1" applyBorder="1" applyAlignment="1">
      <alignment horizontal="left" vertical="top" wrapText="1"/>
    </xf>
    <xf numFmtId="0" fontId="16" fillId="4" borderId="12" xfId="4" applyFont="1" applyFill="1" applyBorder="1" applyAlignment="1">
      <alignment vertical="center" wrapText="1"/>
    </xf>
    <xf numFmtId="4" fontId="16" fillId="4" borderId="12" xfId="4" applyNumberFormat="1" applyFont="1" applyFill="1" applyBorder="1" applyAlignment="1">
      <alignment horizontal="center" vertical="center"/>
    </xf>
    <xf numFmtId="0" fontId="16" fillId="4" borderId="12" xfId="12" applyNumberFormat="1" applyFont="1" applyFill="1" applyBorder="1" applyAlignment="1">
      <alignment vertical="center" wrapText="1"/>
    </xf>
    <xf numFmtId="0" fontId="16" fillId="4" borderId="15" xfId="4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left" vertical="top" wrapText="1"/>
    </xf>
    <xf numFmtId="2" fontId="16" fillId="4" borderId="0" xfId="0" applyNumberFormat="1" applyFont="1" applyFill="1" applyBorder="1" applyAlignment="1">
      <alignment horizontal="center" vertical="center" wrapText="1"/>
    </xf>
    <xf numFmtId="4" fontId="16" fillId="4" borderId="0" xfId="0" applyNumberFormat="1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top" wrapText="1"/>
    </xf>
    <xf numFmtId="173" fontId="16" fillId="4" borderId="0" xfId="0" applyNumberFormat="1" applyFont="1" applyFill="1" applyBorder="1" applyAlignment="1">
      <alignment horizontal="center" vertical="center" wrapText="1"/>
    </xf>
    <xf numFmtId="174" fontId="16" fillId="4" borderId="0" xfId="0" applyNumberFormat="1" applyFont="1" applyFill="1" applyBorder="1" applyAlignment="1">
      <alignment horizontal="center" vertical="center"/>
    </xf>
    <xf numFmtId="2" fontId="16" fillId="4" borderId="0" xfId="0" applyNumberFormat="1" applyFont="1" applyFill="1" applyBorder="1" applyAlignment="1">
      <alignment horizontal="center"/>
    </xf>
    <xf numFmtId="0" fontId="16" fillId="4" borderId="0" xfId="0" applyFont="1" applyFill="1" applyAlignment="1">
      <alignment vertical="center"/>
    </xf>
    <xf numFmtId="49" fontId="16" fillId="4" borderId="0" xfId="1" applyNumberFormat="1" applyFont="1" applyFill="1" applyAlignment="1">
      <alignment horizontal="center" vertical="center"/>
    </xf>
    <xf numFmtId="167" fontId="16" fillId="4" borderId="0" xfId="2" applyNumberFormat="1" applyFont="1" applyFill="1" applyAlignment="1">
      <alignment horizontal="center" vertical="center"/>
    </xf>
    <xf numFmtId="0" fontId="44" fillId="4" borderId="34" xfId="1" applyFont="1" applyFill="1" applyBorder="1" applyAlignment="1">
      <alignment horizontal="center" vertical="center"/>
    </xf>
    <xf numFmtId="0" fontId="44" fillId="4" borderId="34" xfId="72" applyFont="1" applyFill="1" applyBorder="1" applyAlignment="1">
      <alignment horizontal="center" vertical="top" wrapText="1"/>
    </xf>
    <xf numFmtId="171" fontId="22" fillId="4" borderId="12" xfId="78" applyNumberFormat="1" applyFont="1" applyFill="1" applyBorder="1" applyAlignment="1">
      <alignment horizontal="center" vertical="center"/>
    </xf>
    <xf numFmtId="171" fontId="22" fillId="4" borderId="12" xfId="19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19" applyNumberFormat="1" applyFont="1" applyFill="1" applyBorder="1" applyAlignment="1">
      <alignment horizontal="left" vertical="center" wrapText="1"/>
    </xf>
    <xf numFmtId="0" fontId="16" fillId="0" borderId="12" xfId="19" applyFont="1" applyFill="1" applyBorder="1" applyAlignment="1">
      <alignment horizontal="center" vertical="center"/>
    </xf>
    <xf numFmtId="4" fontId="16" fillId="0" borderId="12" xfId="16" applyNumberFormat="1" applyFont="1" applyFill="1" applyBorder="1" applyAlignment="1">
      <alignment horizontal="center" vertical="center"/>
    </xf>
    <xf numFmtId="167" fontId="16" fillId="0" borderId="12" xfId="2" applyNumberFormat="1" applyFont="1" applyFill="1" applyBorder="1" applyAlignment="1">
      <alignment horizontal="center" vertical="center"/>
    </xf>
    <xf numFmtId="167" fontId="16" fillId="0" borderId="16" xfId="2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6" xfId="1" applyFont="1" applyFill="1" applyBorder="1" applyAlignment="1">
      <alignment horizontal="left" vertical="center" wrapText="1"/>
    </xf>
    <xf numFmtId="0" fontId="16" fillId="0" borderId="16" xfId="1" applyFont="1" applyFill="1" applyBorder="1" applyAlignment="1">
      <alignment horizontal="center" vertical="center"/>
    </xf>
    <xf numFmtId="4" fontId="16" fillId="2" borderId="12" xfId="16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 wrapText="1"/>
    </xf>
    <xf numFmtId="0" fontId="16" fillId="0" borderId="12" xfId="15" applyNumberFormat="1" applyFont="1" applyFill="1" applyBorder="1" applyAlignment="1">
      <alignment horizontal="left" vertical="center" wrapText="1"/>
    </xf>
    <xf numFmtId="0" fontId="16" fillId="0" borderId="12" xfId="15" applyFont="1" applyFill="1" applyBorder="1" applyAlignment="1">
      <alignment horizontal="center" vertical="center"/>
    </xf>
    <xf numFmtId="4" fontId="16" fillId="0" borderId="12" xfId="5" applyNumberFormat="1" applyFont="1" applyFill="1" applyBorder="1" applyAlignment="1">
      <alignment horizontal="left" vertical="center" wrapText="1"/>
    </xf>
    <xf numFmtId="4" fontId="16" fillId="0" borderId="12" xfId="5" applyNumberFormat="1" applyFont="1" applyFill="1" applyBorder="1" applyAlignment="1">
      <alignment horizontal="center" vertical="center" wrapText="1"/>
    </xf>
    <xf numFmtId="2" fontId="16" fillId="0" borderId="12" xfId="5" applyNumberFormat="1" applyFont="1" applyFill="1" applyBorder="1" applyAlignment="1">
      <alignment horizontal="center" vertical="center"/>
    </xf>
    <xf numFmtId="0" fontId="16" fillId="0" borderId="12" xfId="12" applyFont="1" applyFill="1" applyBorder="1" applyAlignment="1">
      <alignment horizontal="center" vertical="center"/>
    </xf>
    <xf numFmtId="167" fontId="16" fillId="0" borderId="12" xfId="13" applyNumberFormat="1" applyFont="1" applyFill="1" applyBorder="1" applyAlignment="1">
      <alignment horizontal="center" vertical="center"/>
    </xf>
    <xf numFmtId="167" fontId="16" fillId="0" borderId="0" xfId="2" applyNumberFormat="1" applyFont="1" applyFill="1" applyBorder="1" applyAlignment="1">
      <alignment horizontal="center" vertical="center"/>
    </xf>
    <xf numFmtId="0" fontId="16" fillId="0" borderId="12" xfId="1" applyNumberFormat="1" applyFont="1" applyFill="1" applyBorder="1" applyAlignment="1">
      <alignment horizontal="left" vertical="center" wrapText="1"/>
    </xf>
    <xf numFmtId="0" fontId="16" fillId="0" borderId="12" xfId="12" applyNumberFormat="1" applyFont="1" applyFill="1" applyBorder="1" applyAlignment="1">
      <alignment horizontal="left" vertical="center" wrapText="1"/>
    </xf>
    <xf numFmtId="0" fontId="16" fillId="0" borderId="11" xfId="12" applyNumberFormat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center" vertical="center"/>
    </xf>
    <xf numFmtId="167" fontId="16" fillId="0" borderId="11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4" fontId="16" fillId="0" borderId="12" xfId="2" applyNumberFormat="1" applyFont="1" applyFill="1" applyBorder="1" applyAlignment="1">
      <alignment horizontal="center" vertical="center"/>
    </xf>
    <xf numFmtId="4" fontId="16" fillId="0" borderId="16" xfId="2" applyNumberFormat="1" applyFont="1" applyFill="1" applyBorder="1" applyAlignment="1">
      <alignment horizontal="center" vertical="center"/>
    </xf>
    <xf numFmtId="0" fontId="16" fillId="0" borderId="11" xfId="1" applyNumberFormat="1" applyFont="1" applyFill="1" applyBorder="1" applyAlignment="1">
      <alignment horizontal="left" vertical="center" wrapText="1"/>
    </xf>
    <xf numFmtId="0" fontId="16" fillId="0" borderId="16" xfId="1" applyNumberFormat="1" applyFont="1" applyFill="1" applyBorder="1" applyAlignment="1">
      <alignment horizontal="left" vertical="center" wrapText="1"/>
    </xf>
    <xf numFmtId="4" fontId="16" fillId="0" borderId="11" xfId="2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165" fontId="17" fillId="0" borderId="0" xfId="2" applyFont="1" applyFill="1" applyAlignment="1">
      <alignment vertical="center"/>
    </xf>
    <xf numFmtId="167" fontId="17" fillId="0" borderId="0" xfId="1" applyNumberFormat="1" applyFont="1" applyFill="1" applyAlignment="1">
      <alignment horizontal="center" vertical="center"/>
    </xf>
    <xf numFmtId="167" fontId="17" fillId="0" borderId="0" xfId="1" applyNumberFormat="1" applyFont="1" applyFill="1" applyAlignment="1">
      <alignment horizontal="right" vertical="center"/>
    </xf>
    <xf numFmtId="0" fontId="16" fillId="0" borderId="0" xfId="1" applyNumberFormat="1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4" fontId="16" fillId="0" borderId="16" xfId="1" applyNumberFormat="1" applyFont="1" applyFill="1" applyBorder="1" applyAlignment="1">
      <alignment horizontal="center" vertical="center"/>
    </xf>
    <xf numFmtId="4" fontId="16" fillId="0" borderId="11" xfId="1" applyNumberFormat="1" applyFont="1" applyFill="1" applyBorder="1" applyAlignment="1">
      <alignment horizontal="center" vertical="center"/>
    </xf>
    <xf numFmtId="4" fontId="16" fillId="0" borderId="11" xfId="21" applyNumberFormat="1" applyFont="1" applyFill="1" applyBorder="1" applyAlignment="1">
      <alignment horizontal="left" vertical="center" wrapText="1"/>
    </xf>
    <xf numFmtId="4" fontId="16" fillId="0" borderId="16" xfId="21" applyNumberFormat="1" applyFont="1" applyFill="1" applyBorder="1" applyAlignment="1">
      <alignment horizontal="left" vertical="center" wrapText="1"/>
    </xf>
    <xf numFmtId="4" fontId="16" fillId="0" borderId="11" xfId="21" applyNumberFormat="1" applyFont="1" applyFill="1" applyBorder="1" applyAlignment="1">
      <alignment horizontal="center" vertical="center" wrapText="1"/>
    </xf>
    <xf numFmtId="4" fontId="16" fillId="0" borderId="16" xfId="21" applyNumberFormat="1" applyFont="1" applyFill="1" applyBorder="1" applyAlignment="1">
      <alignment horizontal="center" vertical="center" wrapText="1"/>
    </xf>
    <xf numFmtId="2" fontId="16" fillId="0" borderId="11" xfId="21" applyNumberFormat="1" applyFont="1" applyFill="1" applyBorder="1" applyAlignment="1">
      <alignment horizontal="center" vertical="center"/>
    </xf>
    <xf numFmtId="2" fontId="16" fillId="0" borderId="16" xfId="21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0" fontId="16" fillId="0" borderId="12" xfId="9" applyFont="1" applyFill="1" applyBorder="1" applyAlignment="1">
      <alignment horizontal="left" vertical="center" wrapText="1"/>
    </xf>
    <xf numFmtId="0" fontId="16" fillId="0" borderId="12" xfId="9" applyFont="1" applyFill="1" applyBorder="1" applyAlignment="1">
      <alignment horizontal="center" vertical="center" wrapText="1"/>
    </xf>
    <xf numFmtId="167" fontId="16" fillId="0" borderId="12" xfId="10" applyNumberFormat="1" applyFont="1" applyFill="1" applyBorder="1" applyAlignment="1">
      <alignment horizontal="center" vertical="center" wrapText="1"/>
    </xf>
    <xf numFmtId="4" fontId="16" fillId="0" borderId="12" xfId="10" applyNumberFormat="1" applyFont="1" applyFill="1" applyBorder="1" applyAlignment="1">
      <alignment horizontal="center" vertical="center" wrapText="1"/>
    </xf>
    <xf numFmtId="0" fontId="16" fillId="0" borderId="12" xfId="9" applyFont="1" applyFill="1" applyBorder="1" applyAlignment="1">
      <alignment horizontal="center" vertical="center"/>
    </xf>
    <xf numFmtId="167" fontId="16" fillId="0" borderId="12" xfId="10" applyNumberFormat="1" applyFont="1" applyFill="1" applyBorder="1" applyAlignment="1">
      <alignment horizontal="center" vertical="center"/>
    </xf>
    <xf numFmtId="4" fontId="16" fillId="0" borderId="12" xfId="10" applyNumberFormat="1" applyFont="1" applyFill="1" applyBorder="1" applyAlignment="1">
      <alignment horizontal="center" vertical="center"/>
    </xf>
    <xf numFmtId="0" fontId="16" fillId="0" borderId="20" xfId="9" applyFont="1" applyFill="1" applyBorder="1" applyAlignment="1">
      <alignment horizontal="left" vertical="center" wrapText="1"/>
    </xf>
    <xf numFmtId="0" fontId="16" fillId="0" borderId="20" xfId="9" applyFont="1" applyFill="1" applyBorder="1" applyAlignment="1">
      <alignment horizontal="center" vertical="center"/>
    </xf>
    <xf numFmtId="167" fontId="16" fillId="0" borderId="20" xfId="10" applyNumberFormat="1" applyFont="1" applyFill="1" applyBorder="1" applyAlignment="1">
      <alignment horizontal="center" vertical="center"/>
    </xf>
    <xf numFmtId="4" fontId="16" fillId="0" borderId="20" xfId="10" applyNumberFormat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left" vertical="center" wrapText="1"/>
    </xf>
    <xf numFmtId="0" fontId="16" fillId="0" borderId="12" xfId="21" applyNumberFormat="1" applyFont="1" applyFill="1" applyBorder="1" applyAlignment="1">
      <alignment horizontal="center" vertical="center"/>
    </xf>
    <xf numFmtId="49" fontId="16" fillId="0" borderId="12" xfId="21" applyNumberFormat="1" applyFont="1" applyFill="1" applyBorder="1" applyAlignment="1">
      <alignment horizontal="center" vertical="center"/>
    </xf>
    <xf numFmtId="0" fontId="16" fillId="0" borderId="12" xfId="21" applyFont="1" applyFill="1" applyBorder="1" applyAlignment="1">
      <alignment horizontal="left" vertical="center" wrapText="1"/>
    </xf>
    <xf numFmtId="0" fontId="16" fillId="0" borderId="12" xfId="21" applyFont="1" applyFill="1" applyBorder="1" applyAlignment="1">
      <alignment horizontal="center" vertical="center"/>
    </xf>
    <xf numFmtId="167" fontId="16" fillId="0" borderId="12" xfId="23" applyNumberFormat="1" applyFont="1" applyFill="1" applyBorder="1" applyAlignment="1">
      <alignment horizontal="center" vertical="center"/>
    </xf>
    <xf numFmtId="4" fontId="16" fillId="0" borderId="12" xfId="21" applyNumberFormat="1" applyFont="1" applyFill="1" applyBorder="1" applyAlignment="1">
      <alignment horizontal="left" vertical="center" wrapText="1"/>
    </xf>
    <xf numFmtId="4" fontId="16" fillId="0" borderId="12" xfId="21" applyNumberFormat="1" applyFont="1" applyFill="1" applyBorder="1" applyAlignment="1">
      <alignment horizontal="center" vertical="center" wrapText="1"/>
    </xf>
    <xf numFmtId="2" fontId="16" fillId="0" borderId="12" xfId="21" applyNumberFormat="1" applyFont="1" applyFill="1" applyBorder="1" applyAlignment="1">
      <alignment horizontal="center" vertical="center"/>
    </xf>
    <xf numFmtId="4" fontId="16" fillId="0" borderId="28" xfId="2" applyNumberFormat="1" applyFont="1" applyFill="1" applyBorder="1" applyAlignment="1">
      <alignment horizontal="center" vertical="center"/>
    </xf>
    <xf numFmtId="4" fontId="16" fillId="0" borderId="27" xfId="2" applyNumberFormat="1" applyFont="1" applyFill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left" vertical="center" wrapText="1"/>
    </xf>
    <xf numFmtId="0" fontId="16" fillId="0" borderId="27" xfId="1" applyFont="1" applyFill="1" applyBorder="1" applyAlignment="1">
      <alignment horizontal="center" vertical="center"/>
    </xf>
    <xf numFmtId="167" fontId="16" fillId="0" borderId="27" xfId="2" applyNumberFormat="1" applyFont="1" applyFill="1" applyBorder="1" applyAlignment="1">
      <alignment horizontal="center" vertical="center"/>
    </xf>
    <xf numFmtId="4" fontId="16" fillId="0" borderId="30" xfId="21" applyNumberFormat="1" applyFont="1" applyFill="1" applyBorder="1" applyAlignment="1">
      <alignment horizontal="left" vertical="center" wrapText="1"/>
    </xf>
    <xf numFmtId="4" fontId="16" fillId="0" borderId="30" xfId="21" applyNumberFormat="1" applyFont="1" applyFill="1" applyBorder="1" applyAlignment="1">
      <alignment horizontal="center" vertical="center" wrapText="1"/>
    </xf>
    <xf numFmtId="2" fontId="16" fillId="0" borderId="30" xfId="21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left" vertical="center" wrapText="1"/>
    </xf>
    <xf numFmtId="0" fontId="16" fillId="0" borderId="27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/>
    </xf>
    <xf numFmtId="167" fontId="16" fillId="0" borderId="2" xfId="2" applyNumberFormat="1" applyFont="1" applyFill="1" applyBorder="1" applyAlignment="1">
      <alignment horizontal="center" vertical="center"/>
    </xf>
    <xf numFmtId="4" fontId="16" fillId="0" borderId="2" xfId="2" applyNumberFormat="1" applyFont="1" applyFill="1" applyBorder="1" applyAlignment="1">
      <alignment horizontal="center" vertical="center"/>
    </xf>
    <xf numFmtId="0" fontId="16" fillId="0" borderId="10" xfId="19" applyFont="1" applyFill="1" applyBorder="1" applyAlignment="1">
      <alignment horizontal="center" vertical="center"/>
    </xf>
    <xf numFmtId="0" fontId="16" fillId="0" borderId="14" xfId="19" applyFont="1" applyFill="1" applyBorder="1" applyAlignment="1">
      <alignment horizontal="center" vertical="center"/>
    </xf>
    <xf numFmtId="0" fontId="16" fillId="0" borderId="19" xfId="19" applyFont="1" applyFill="1" applyBorder="1" applyAlignment="1">
      <alignment horizontal="center" vertical="center"/>
    </xf>
    <xf numFmtId="0" fontId="16" fillId="0" borderId="11" xfId="19" applyFont="1" applyFill="1" applyBorder="1" applyAlignment="1">
      <alignment horizontal="left" vertical="center" wrapText="1"/>
    </xf>
    <xf numFmtId="0" fontId="16" fillId="0" borderId="12" xfId="19" applyFont="1" applyFill="1" applyBorder="1" applyAlignment="1">
      <alignment horizontal="left" vertical="center" wrapText="1"/>
    </xf>
    <xf numFmtId="0" fontId="16" fillId="0" borderId="20" xfId="19" applyFont="1" applyFill="1" applyBorder="1" applyAlignment="1">
      <alignment horizontal="left" vertical="center" wrapText="1"/>
    </xf>
    <xf numFmtId="0" fontId="16" fillId="0" borderId="11" xfId="19" applyFont="1" applyFill="1" applyBorder="1" applyAlignment="1">
      <alignment horizontal="center" vertical="center"/>
    </xf>
    <xf numFmtId="0" fontId="16" fillId="0" borderId="20" xfId="19" applyFont="1" applyFill="1" applyBorder="1" applyAlignment="1">
      <alignment horizontal="center" vertical="center"/>
    </xf>
    <xf numFmtId="4" fontId="16" fillId="0" borderId="11" xfId="19" applyNumberFormat="1" applyFont="1" applyFill="1" applyBorder="1" applyAlignment="1">
      <alignment horizontal="center" vertical="center"/>
    </xf>
    <xf numFmtId="4" fontId="16" fillId="0" borderId="12" xfId="19" applyNumberFormat="1" applyFont="1" applyFill="1" applyBorder="1" applyAlignment="1">
      <alignment horizontal="center" vertical="center"/>
    </xf>
    <xf numFmtId="4" fontId="16" fillId="0" borderId="20" xfId="19" applyNumberFormat="1" applyFont="1" applyFill="1" applyBorder="1" applyAlignment="1">
      <alignment horizontal="center" vertical="center"/>
    </xf>
    <xf numFmtId="0" fontId="16" fillId="0" borderId="16" xfId="19" applyNumberFormat="1" applyFont="1" applyFill="1" applyBorder="1" applyAlignment="1">
      <alignment horizontal="left" vertical="center" wrapText="1"/>
    </xf>
    <xf numFmtId="167" fontId="16" fillId="0" borderId="12" xfId="25" applyNumberFormat="1" applyFont="1" applyFill="1" applyBorder="1" applyAlignment="1">
      <alignment horizontal="center" vertical="center"/>
    </xf>
    <xf numFmtId="4" fontId="16" fillId="0" borderId="12" xfId="25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horizontal="left" vertical="center" wrapText="1"/>
    </xf>
    <xf numFmtId="0" fontId="16" fillId="0" borderId="30" xfId="1" applyFont="1" applyFill="1" applyBorder="1" applyAlignment="1">
      <alignment horizontal="center" vertical="center"/>
    </xf>
    <xf numFmtId="167" fontId="16" fillId="0" borderId="30" xfId="2" applyNumberFormat="1" applyFont="1" applyFill="1" applyBorder="1" applyAlignment="1">
      <alignment horizontal="center" vertical="center"/>
    </xf>
    <xf numFmtId="4" fontId="16" fillId="0" borderId="30" xfId="2" applyNumberFormat="1" applyFont="1" applyFill="1" applyBorder="1" applyAlignment="1">
      <alignment horizontal="center" vertical="center"/>
    </xf>
    <xf numFmtId="49" fontId="16" fillId="0" borderId="14" xfId="1" applyNumberFormat="1" applyFont="1" applyFill="1" applyBorder="1" applyAlignment="1">
      <alignment horizontal="center" vertical="center"/>
    </xf>
    <xf numFmtId="167" fontId="16" fillId="0" borderId="11" xfId="2" applyNumberFormat="1" applyFont="1" applyFill="1" applyBorder="1" applyAlignment="1">
      <alignment horizontal="center" vertical="center" wrapText="1"/>
    </xf>
    <xf numFmtId="167" fontId="16" fillId="0" borderId="12" xfId="2" applyNumberFormat="1" applyFont="1" applyFill="1" applyBorder="1" applyAlignment="1">
      <alignment horizontal="center" vertical="center" wrapText="1"/>
    </xf>
    <xf numFmtId="4" fontId="16" fillId="0" borderId="11" xfId="2" applyNumberFormat="1" applyFont="1" applyFill="1" applyBorder="1" applyAlignment="1">
      <alignment horizontal="center" vertical="center" wrapText="1"/>
    </xf>
    <xf numFmtId="4" fontId="16" fillId="0" borderId="12" xfId="2" applyNumberFormat="1" applyFont="1" applyFill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left" vertical="center" wrapText="1"/>
    </xf>
    <xf numFmtId="0" fontId="16" fillId="0" borderId="2" xfId="9" applyFont="1" applyFill="1" applyBorder="1" applyAlignment="1">
      <alignment horizontal="center" vertical="center" wrapText="1"/>
    </xf>
    <xf numFmtId="167" fontId="16" fillId="0" borderId="2" xfId="10" applyNumberFormat="1" applyFont="1" applyFill="1" applyBorder="1" applyAlignment="1">
      <alignment horizontal="center" vertical="center" wrapText="1"/>
    </xf>
    <xf numFmtId="4" fontId="16" fillId="0" borderId="2" xfId="10" applyNumberFormat="1" applyFont="1" applyFill="1" applyBorder="1" applyAlignment="1">
      <alignment horizontal="center" vertical="center" wrapText="1"/>
    </xf>
    <xf numFmtId="49" fontId="20" fillId="2" borderId="32" xfId="1" applyNumberFormat="1" applyFont="1" applyFill="1" applyBorder="1" applyAlignment="1">
      <alignment horizontal="left" vertical="center" wrapText="1"/>
    </xf>
    <xf numFmtId="0" fontId="16" fillId="4" borderId="14" xfId="4" applyFont="1" applyFill="1" applyBorder="1" applyAlignment="1">
      <alignment horizontal="center" vertical="center" wrapText="1"/>
    </xf>
    <xf numFmtId="0" fontId="16" fillId="4" borderId="12" xfId="4" applyFont="1" applyFill="1" applyBorder="1" applyAlignment="1">
      <alignment horizontal="left" vertical="center"/>
    </xf>
    <xf numFmtId="0" fontId="16" fillId="4" borderId="12" xfId="4" applyFont="1" applyFill="1" applyBorder="1" applyAlignment="1">
      <alignment horizontal="center" vertical="center" wrapText="1"/>
    </xf>
    <xf numFmtId="4" fontId="16" fillId="4" borderId="12" xfId="4" applyNumberFormat="1" applyFont="1" applyFill="1" applyBorder="1" applyAlignment="1">
      <alignment horizontal="center" vertical="center" wrapText="1"/>
    </xf>
    <xf numFmtId="0" fontId="16" fillId="4" borderId="12" xfId="4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2" xfId="12" applyNumberFormat="1" applyFont="1" applyFill="1" applyBorder="1" applyAlignment="1">
      <alignment horizontal="left" vertical="center" wrapText="1"/>
    </xf>
    <xf numFmtId="2" fontId="16" fillId="4" borderId="12" xfId="4" applyNumberFormat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12" xfId="4" applyFont="1" applyFill="1" applyBorder="1" applyAlignment="1">
      <alignment horizontal="center" vertical="center"/>
    </xf>
    <xf numFmtId="4" fontId="16" fillId="4" borderId="12" xfId="4" applyNumberFormat="1" applyFont="1" applyFill="1" applyBorder="1" applyAlignment="1">
      <alignment horizontal="center" vertical="center"/>
    </xf>
    <xf numFmtId="0" fontId="16" fillId="4" borderId="12" xfId="72" applyFont="1" applyFill="1" applyBorder="1" applyAlignment="1">
      <alignment horizontal="left" vertical="top" wrapText="1"/>
    </xf>
    <xf numFmtId="0" fontId="16" fillId="4" borderId="12" xfId="1" applyFont="1" applyFill="1" applyBorder="1" applyAlignment="1">
      <alignment horizontal="center" vertical="center" wrapText="1"/>
    </xf>
    <xf numFmtId="167" fontId="16" fillId="4" borderId="12" xfId="2" applyNumberFormat="1" applyFont="1" applyFill="1" applyBorder="1" applyAlignment="1">
      <alignment horizontal="center" vertical="center" wrapText="1"/>
    </xf>
    <xf numFmtId="4" fontId="16" fillId="4" borderId="12" xfId="2" applyNumberFormat="1" applyFont="1" applyFill="1" applyBorder="1" applyAlignment="1">
      <alignment horizontal="center" vertical="center" wrapText="1"/>
    </xf>
    <xf numFmtId="0" fontId="16" fillId="4" borderId="12" xfId="72" applyFont="1" applyFill="1" applyBorder="1" applyAlignment="1">
      <alignment horizontal="left" vertical="center" wrapText="1"/>
    </xf>
    <xf numFmtId="0" fontId="16" fillId="4" borderId="10" xfId="4" applyFont="1" applyFill="1" applyBorder="1" applyAlignment="1">
      <alignment horizontal="center" vertical="center" wrapText="1"/>
    </xf>
    <xf numFmtId="0" fontId="16" fillId="4" borderId="11" xfId="4" applyFont="1" applyFill="1" applyBorder="1" applyAlignment="1">
      <alignment horizontal="left" vertical="center" wrapText="1"/>
    </xf>
    <xf numFmtId="0" fontId="16" fillId="4" borderId="11" xfId="4" applyFont="1" applyFill="1" applyBorder="1" applyAlignment="1">
      <alignment horizontal="center" vertical="center" wrapText="1"/>
    </xf>
    <xf numFmtId="4" fontId="16" fillId="4" borderId="11" xfId="4" applyNumberFormat="1" applyFont="1" applyFill="1" applyBorder="1" applyAlignment="1">
      <alignment horizontal="center" vertical="center" wrapText="1"/>
    </xf>
    <xf numFmtId="1" fontId="16" fillId="4" borderId="14" xfId="72" applyNumberFormat="1" applyFont="1" applyFill="1" applyBorder="1" applyAlignment="1">
      <alignment horizontal="center" vertical="center" wrapText="1"/>
    </xf>
    <xf numFmtId="1" fontId="16" fillId="4" borderId="15" xfId="72" applyNumberFormat="1" applyFont="1" applyFill="1" applyBorder="1" applyAlignment="1">
      <alignment horizontal="center" vertical="center" wrapText="1"/>
    </xf>
    <xf numFmtId="0" fontId="16" fillId="4" borderId="12" xfId="72" applyFont="1" applyFill="1" applyBorder="1" applyAlignment="1">
      <alignment horizontal="center" vertical="top" wrapText="1"/>
    </xf>
    <xf numFmtId="0" fontId="16" fillId="4" borderId="16" xfId="72" applyFont="1" applyFill="1" applyBorder="1" applyAlignment="1">
      <alignment horizontal="center" vertical="top" wrapText="1"/>
    </xf>
    <xf numFmtId="2" fontId="16" fillId="4" borderId="12" xfId="72" applyNumberFormat="1" applyFont="1" applyFill="1" applyBorder="1" applyAlignment="1">
      <alignment horizontal="center" vertical="top" wrapText="1"/>
    </xf>
    <xf numFmtId="2" fontId="16" fillId="4" borderId="16" xfId="72" applyNumberFormat="1" applyFont="1" applyFill="1" applyBorder="1" applyAlignment="1">
      <alignment horizontal="center" vertical="top" wrapText="1"/>
    </xf>
    <xf numFmtId="166" fontId="16" fillId="4" borderId="12" xfId="72" applyNumberFormat="1" applyFont="1" applyFill="1" applyBorder="1" applyAlignment="1">
      <alignment horizontal="center" vertical="top" wrapText="1"/>
    </xf>
    <xf numFmtId="166" fontId="16" fillId="4" borderId="16" xfId="72" applyNumberFormat="1" applyFont="1" applyFill="1" applyBorder="1" applyAlignment="1">
      <alignment horizontal="center" vertical="top" wrapText="1"/>
    </xf>
    <xf numFmtId="0" fontId="16" fillId="4" borderId="12" xfId="72" applyFont="1" applyFill="1" applyBorder="1" applyAlignment="1">
      <alignment horizontal="center" vertical="center" wrapText="1"/>
    </xf>
    <xf numFmtId="2" fontId="16" fillId="4" borderId="12" xfId="72" applyNumberFormat="1" applyFont="1" applyFill="1" applyBorder="1" applyAlignment="1">
      <alignment horizontal="center" vertical="center" wrapText="1"/>
    </xf>
    <xf numFmtId="166" fontId="16" fillId="4" borderId="12" xfId="72" applyNumberFormat="1" applyFont="1" applyFill="1" applyBorder="1" applyAlignment="1">
      <alignment horizontal="center" vertical="center" wrapText="1"/>
    </xf>
    <xf numFmtId="0" fontId="16" fillId="4" borderId="12" xfId="12" applyFont="1" applyFill="1" applyBorder="1" applyAlignment="1">
      <alignment horizontal="center" vertical="center"/>
    </xf>
    <xf numFmtId="167" fontId="16" fillId="4" borderId="12" xfId="13" applyNumberFormat="1" applyFont="1" applyFill="1" applyBorder="1" applyAlignment="1">
      <alignment horizontal="center" vertical="center"/>
    </xf>
    <xf numFmtId="49" fontId="22" fillId="4" borderId="14" xfId="4" applyNumberFormat="1" applyFont="1" applyFill="1" applyBorder="1" applyAlignment="1">
      <alignment horizontal="center" vertical="center"/>
    </xf>
    <xf numFmtId="0" fontId="22" fillId="4" borderId="12" xfId="190" applyFont="1" applyFill="1" applyBorder="1" applyAlignment="1">
      <alignment horizontal="left" vertical="center" wrapText="1"/>
    </xf>
    <xf numFmtId="0" fontId="22" fillId="4" borderId="12" xfId="190" applyFont="1" applyFill="1" applyBorder="1" applyAlignment="1">
      <alignment horizontal="center" vertical="center"/>
    </xf>
    <xf numFmtId="4" fontId="22" fillId="4" borderId="12" xfId="16" applyNumberFormat="1" applyFont="1" applyFill="1" applyBorder="1" applyAlignment="1">
      <alignment horizontal="center" vertical="center"/>
    </xf>
    <xf numFmtId="4" fontId="22" fillId="4" borderId="12" xfId="4" applyNumberFormat="1" applyFont="1" applyFill="1" applyBorder="1" applyAlignment="1">
      <alignment horizontal="center" vertical="center" wrapText="1"/>
    </xf>
    <xf numFmtId="0" fontId="22" fillId="4" borderId="12" xfId="78" applyFont="1" applyFill="1" applyBorder="1" applyAlignment="1">
      <alignment horizontal="left" vertical="center" wrapText="1"/>
    </xf>
    <xf numFmtId="0" fontId="22" fillId="4" borderId="12" xfId="78" applyFont="1" applyFill="1" applyBorder="1" applyAlignment="1">
      <alignment horizontal="center" vertical="center"/>
    </xf>
    <xf numFmtId="4" fontId="22" fillId="4" borderId="12" xfId="179" applyNumberFormat="1" applyFont="1" applyFill="1" applyBorder="1" applyAlignment="1">
      <alignment horizontal="center" vertical="center"/>
    </xf>
    <xf numFmtId="0" fontId="22" fillId="4" borderId="14" xfId="31" applyNumberFormat="1" applyFont="1" applyFill="1" applyBorder="1" applyAlignment="1">
      <alignment horizontal="center" vertical="center"/>
    </xf>
    <xf numFmtId="0" fontId="22" fillId="4" borderId="12" xfId="31" applyNumberFormat="1" applyFont="1" applyFill="1" applyBorder="1" applyAlignment="1">
      <alignment horizontal="left" vertical="center" wrapText="1"/>
    </xf>
    <xf numFmtId="0" fontId="22" fillId="4" borderId="12" xfId="31" applyFont="1" applyFill="1" applyBorder="1" applyAlignment="1">
      <alignment horizontal="center" vertical="center"/>
    </xf>
    <xf numFmtId="167" fontId="22" fillId="4" borderId="12" xfId="32" applyNumberFormat="1" applyFont="1" applyFill="1" applyBorder="1" applyAlignment="1">
      <alignment horizontal="center" vertical="center" wrapText="1"/>
    </xf>
    <xf numFmtId="167" fontId="22" fillId="4" borderId="12" xfId="32" applyNumberFormat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left" vertical="center" wrapText="1"/>
    </xf>
    <xf numFmtId="0" fontId="16" fillId="4" borderId="12" xfId="1" applyFont="1" applyFill="1" applyBorder="1" applyAlignment="1">
      <alignment horizontal="center" vertical="center"/>
    </xf>
    <xf numFmtId="167" fontId="16" fillId="4" borderId="12" xfId="2" applyNumberFormat="1" applyFont="1" applyFill="1" applyBorder="1" applyAlignment="1">
      <alignment horizontal="center" vertical="center"/>
    </xf>
    <xf numFmtId="1" fontId="22" fillId="4" borderId="14" xfId="78" applyNumberFormat="1" applyFont="1" applyFill="1" applyBorder="1" applyAlignment="1">
      <alignment horizontal="center" vertical="center"/>
    </xf>
    <xf numFmtId="0" fontId="22" fillId="4" borderId="14" xfId="78" applyFont="1" applyFill="1" applyBorder="1" applyAlignment="1">
      <alignment horizontal="center" vertical="center"/>
    </xf>
    <xf numFmtId="167" fontId="22" fillId="4" borderId="12" xfId="179" applyNumberFormat="1" applyFont="1" applyFill="1" applyBorder="1" applyAlignment="1">
      <alignment horizontal="center" vertical="center" wrapText="1"/>
    </xf>
    <xf numFmtId="166" fontId="16" fillId="4" borderId="12" xfId="1" applyNumberFormat="1" applyFont="1" applyFill="1" applyBorder="1" applyAlignment="1">
      <alignment horizontal="left" vertical="center"/>
    </xf>
    <xf numFmtId="0" fontId="22" fillId="4" borderId="12" xfId="183" applyFont="1" applyFill="1" applyBorder="1" applyAlignment="1">
      <alignment horizontal="left" vertical="center" wrapText="1"/>
    </xf>
    <xf numFmtId="0" fontId="22" fillId="4" borderId="12" xfId="183" applyFont="1" applyFill="1" applyBorder="1" applyAlignment="1">
      <alignment horizontal="center" vertical="center"/>
    </xf>
    <xf numFmtId="0" fontId="22" fillId="4" borderId="12" xfId="4" applyFont="1" applyFill="1" applyBorder="1" applyAlignment="1">
      <alignment horizontal="left" vertical="center" wrapText="1"/>
    </xf>
    <xf numFmtId="0" fontId="22" fillId="4" borderId="12" xfId="4" applyFont="1" applyFill="1" applyBorder="1" applyAlignment="1">
      <alignment horizontal="center" vertical="center"/>
    </xf>
    <xf numFmtId="2" fontId="22" fillId="4" borderId="12" xfId="4" applyNumberFormat="1" applyFont="1" applyFill="1" applyBorder="1" applyAlignment="1">
      <alignment horizontal="center" vertical="center"/>
    </xf>
    <xf numFmtId="167" fontId="16" fillId="4" borderId="0" xfId="2" applyNumberFormat="1" applyFont="1" applyFill="1" applyBorder="1" applyAlignment="1">
      <alignment horizontal="center" vertical="center"/>
    </xf>
    <xf numFmtId="0" fontId="16" fillId="4" borderId="12" xfId="1" applyNumberFormat="1" applyFont="1" applyFill="1" applyBorder="1" applyAlignment="1">
      <alignment horizontal="left" vertical="center" wrapText="1"/>
    </xf>
    <xf numFmtId="4" fontId="17" fillId="4" borderId="0" xfId="0" applyNumberFormat="1" applyFont="1" applyFill="1" applyAlignment="1">
      <alignment horizontal="righ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165" fontId="17" fillId="4" borderId="0" xfId="2" applyFont="1" applyFill="1" applyAlignment="1">
      <alignment vertical="center"/>
    </xf>
    <xf numFmtId="167" fontId="17" fillId="4" borderId="0" xfId="1" applyNumberFormat="1" applyFont="1" applyFill="1" applyAlignment="1">
      <alignment horizontal="center" vertical="center"/>
    </xf>
    <xf numFmtId="167" fontId="17" fillId="4" borderId="0" xfId="1" applyNumberFormat="1" applyFont="1" applyFill="1" applyAlignment="1">
      <alignment horizontal="right" vertical="center"/>
    </xf>
    <xf numFmtId="0" fontId="16" fillId="4" borderId="0" xfId="1" applyNumberFormat="1" applyFont="1" applyFill="1" applyBorder="1" applyAlignment="1">
      <alignment horizontal="left" vertical="top" wrapText="1"/>
    </xf>
    <xf numFmtId="0" fontId="17" fillId="4" borderId="0" xfId="26" applyNumberFormat="1" applyFont="1" applyFill="1" applyBorder="1" applyAlignment="1">
      <alignment horizontal="left"/>
    </xf>
  </cellXfs>
  <cellStyles count="514">
    <cellStyle name=" 1" xfId="209" xr:uid="{1F64280D-6012-4D64-A11A-897AA376230A}"/>
    <cellStyle name="_x000d__x000a_JournalTemplate=C:\COMFO\CTALK\JOURSTD.TPL_x000d__x000a_LbStateAddress=3 3 0 251 1 89 2 311_x000d__x000a_LbStateJou" xfId="210" xr:uid="{4DD3742D-F223-4B4B-942B-231A4A7DF9F4}"/>
    <cellStyle name="_x000d__x000a_JournalTemplate=C:\COMFO\CTALK\JOURSTD.TPL_x000d__x000a_LbStateAddress=3 3 0 251 1 89 2 311_x000d__x000a_LbStateJou 2" xfId="211" xr:uid="{C4B08ED7-B2EC-4A7E-B7C7-EBCC455A79D6}"/>
    <cellStyle name="_x000d__x000a_JournalTemplate=C:\COMFO\CTALK\JOURSTD.TPL_x000d__x000a_LbStateAddress=3 3 0 251 1 89 2 311_x000d__x000a_LbStateJou_Днепровская набережная,14_видео" xfId="212" xr:uid="{D8916D54-125D-4946-ACA7-3D9E76AD71D9}"/>
    <cellStyle name="??_?????20051106" xfId="213" xr:uid="{CC498683-070A-447B-BA0D-642017F1D1CD}"/>
    <cellStyle name="_Смета_Бальзака" xfId="214" xr:uid="{56DDC25F-ED14-4081-85BD-D5980A86DE78}"/>
    <cellStyle name="20% - Акцент1 2" xfId="215" xr:uid="{3D019673-5549-4619-B0CB-5452DDB72238}"/>
    <cellStyle name="20% - Акцент1 2 2" xfId="216" xr:uid="{29CDBF3C-7ADB-4E64-85E8-C5C7CFE1BF70}"/>
    <cellStyle name="20% - Акцент1 2 2 2" xfId="217" xr:uid="{38A5C038-F9FF-4CD2-B80B-8BE0BBFD757C}"/>
    <cellStyle name="20% - Акцент1 2 2 2 2" xfId="218" xr:uid="{F9D9D80C-4211-4591-817D-5B515AB22210}"/>
    <cellStyle name="20% - Акцент1 2 2 2 2 2" xfId="362" xr:uid="{1C153A91-CD52-4A56-A036-E28E9E3E8D1E}"/>
    <cellStyle name="20% - Акцент1 2 2 2 2 3" xfId="361" xr:uid="{08691AD9-24D8-4786-9D2A-BC77E892CA83}"/>
    <cellStyle name="20% - Акцент1 2 2 2 3" xfId="363" xr:uid="{03DC5766-E458-436E-A219-736687ED7261}"/>
    <cellStyle name="20% - Акцент1 2 2 2 4" xfId="360" xr:uid="{37B76920-7D0A-4555-8F0D-04E26CE3DDE3}"/>
    <cellStyle name="20% - Акцент1 2 2 2_Base (Jenya)10" xfId="219" xr:uid="{55AA3AD5-E91D-4123-BFB8-626B8B00FADE}"/>
    <cellStyle name="20% - Акцент1 2 2 3" xfId="220" xr:uid="{2AF3D671-9D2D-4EF4-ABA5-81A7D0FF31C1}"/>
    <cellStyle name="20% - Акцент1 2 2 3 2" xfId="365" xr:uid="{75E6EEE0-9984-45E0-82FC-3E0184718FE9}"/>
    <cellStyle name="20% - Акцент1 2 2 3 3" xfId="364" xr:uid="{FD707FDC-CDB7-4224-93D5-8C2A3C51B8E2}"/>
    <cellStyle name="20% - Акцент1 2 2 4" xfId="366" xr:uid="{CF29DAA6-5A5B-418B-9E4F-40E3088C32B5}"/>
    <cellStyle name="20% - Акцент1 2 2 5" xfId="359" xr:uid="{0CC1C442-ACD6-480F-9BF2-069919D94867}"/>
    <cellStyle name="20% - Акцент1 2 2_1" xfId="221" xr:uid="{151B2D49-4FEC-4C22-BA28-72E02269BD9B}"/>
    <cellStyle name="20% - Акцент1 2 3" xfId="222" xr:uid="{51EB4C54-439F-4A91-9C9F-E6113577B5F9}"/>
    <cellStyle name="20% - Акцент1 2 3 2" xfId="223" xr:uid="{438A43B3-5EC9-44AE-90C3-8830884C11B6}"/>
    <cellStyle name="20% - Акцент1 2 3 2 2" xfId="369" xr:uid="{4F7FC5A3-A41D-4840-ADD3-C262FDB23C25}"/>
    <cellStyle name="20% - Акцент1 2 3 2 3" xfId="368" xr:uid="{0D309A80-B300-48C1-975D-25B4061B4AAD}"/>
    <cellStyle name="20% - Акцент1 2 3 3" xfId="370" xr:uid="{1181C241-B2BA-413C-9B63-169EF06EE266}"/>
    <cellStyle name="20% - Акцент1 2 3 4" xfId="367" xr:uid="{7087823E-950A-4A2E-86DA-3555ADA8F0A9}"/>
    <cellStyle name="20% - Акцент1 2 3_Base (Jenya)10" xfId="224" xr:uid="{D3FF20B4-732E-4E60-B84E-7E0678CD42A7}"/>
    <cellStyle name="20% - Акцент1 2 4" xfId="225" xr:uid="{22347D1A-C5F2-4F6B-B3B8-1B22A3C01694}"/>
    <cellStyle name="20% - Акцент1 2 4 2" xfId="372" xr:uid="{9EE7F8B3-C6B4-4C89-8A89-DA9B4D84B1BA}"/>
    <cellStyle name="20% - Акцент1 2 4 3" xfId="371" xr:uid="{D44396CA-2247-4FBD-AD20-5E8E0BBB240B}"/>
    <cellStyle name="20% - Акцент1 2 5" xfId="373" xr:uid="{5E4FFA1A-EDB4-4FFB-ACC0-4C9EB6A021C8}"/>
    <cellStyle name="20% - Акцент1 2 6" xfId="358" xr:uid="{2068B043-81FB-404F-B539-85A6CDA5BFA8}"/>
    <cellStyle name="20% - Акцент1 2_1" xfId="226" xr:uid="{9CB23D2B-BA20-42C0-818F-D0DD19F31F73}"/>
    <cellStyle name="Excel Built-in Normal" xfId="227" xr:uid="{E37E58D0-2976-4EE6-8F5A-6D146019C22E}"/>
    <cellStyle name="Normal_2000 UK Distribution" xfId="228" xr:uid="{64D03794-DF3E-4A62-AABE-68F3A801810E}"/>
    <cellStyle name="Normale_Foglio1" xfId="229" xr:uid="{E3E534E9-9844-4E52-9524-4211A4951772}"/>
    <cellStyle name="Standard_Korr_C2000-3a" xfId="230" xr:uid="{2535B3CA-D128-441F-9E9E-B1E1863139B3}"/>
    <cellStyle name="Белый" xfId="231" xr:uid="{EC0D53C5-72D8-40C9-8313-673AB843BFF9}"/>
    <cellStyle name="Ввод  2" xfId="232" xr:uid="{06409DCB-4273-4789-B81D-F7A049FF441B}"/>
    <cellStyle name="Ввод  2 2" xfId="233" xr:uid="{1EE8E93A-B994-40EA-86D2-8B87AE22BFCA}"/>
    <cellStyle name="Ввод  2 3" xfId="234" xr:uid="{3B6E799B-8200-457C-8C70-9A9AB625612A}"/>
    <cellStyle name="Ввод  2_туманяна благоустройство" xfId="235" xr:uid="{31F43F85-CFFF-4F59-A432-541A610979A3}"/>
    <cellStyle name="Вывод 2" xfId="236" xr:uid="{E56A3669-4C9D-4655-83B8-E209180A1F42}"/>
    <cellStyle name="Вывод 2 2" xfId="237" xr:uid="{DF92437D-EE9C-4813-8B5F-0B3190EC4804}"/>
    <cellStyle name="Вывод 2 3" xfId="238" xr:uid="{E068A931-39CB-4DF5-8CD1-FABEB6349C98}"/>
    <cellStyle name="Вывод 2_туманяна благоустройство" xfId="239" xr:uid="{AA80E3CC-D552-4686-945C-191CBF97C98B}"/>
    <cellStyle name="Вычисление 2" xfId="240" xr:uid="{1479FC1C-0207-4602-A492-88A943E137CC}"/>
    <cellStyle name="Вычисление 2 2" xfId="241" xr:uid="{3F85260E-B6C7-478C-BDA1-B31F8CD5138E}"/>
    <cellStyle name="Вычисление 2 3" xfId="242" xr:uid="{663D21FC-F799-4621-B546-0FF27351D011}"/>
    <cellStyle name="Вычисление 2_туманяна благоустройство" xfId="243" xr:uid="{4C216A16-FAE3-4A12-A28E-54F3619732D4}"/>
    <cellStyle name="Гиперссылка 2" xfId="244" xr:uid="{343F7181-5D4A-441B-A87B-F7E9B2A6ED32}"/>
    <cellStyle name="Гиперссылка 3" xfId="245" xr:uid="{FA0F8C69-C71A-4254-90C6-5A8A7008A577}"/>
    <cellStyle name="Денежный 2" xfId="2" xr:uid="{00000000-0005-0000-0000-000000000000}"/>
    <cellStyle name="Денежный 2 2" xfId="13" xr:uid="{00000000-0005-0000-0000-000001000000}"/>
    <cellStyle name="Денежный 2 2 2" xfId="23" xr:uid="{00000000-0005-0000-0000-000002000000}"/>
    <cellStyle name="Денежный 2 2 3" xfId="179" xr:uid="{62D1B424-CA65-45E0-9F63-A5C213CFC3DE}"/>
    <cellStyle name="Денежный 2 3" xfId="157" xr:uid="{74758A90-4D46-44B2-BA34-3000484BD603}"/>
    <cellStyle name="Денежный 2 3 2" xfId="11" xr:uid="{00000000-0005-0000-0000-000003000000}"/>
    <cellStyle name="Денежный 2 3 2 2" xfId="188" xr:uid="{1C597C97-0000-4574-8CB9-BCCC21E305AD}"/>
    <cellStyle name="Денежный 2 3 2 3" xfId="25" xr:uid="{00000000-0005-0000-0000-000004000000}"/>
    <cellStyle name="Денежный 2 3 2 3 2" xfId="165" xr:uid="{CEE18459-1471-4E83-9405-B0A145EF7E5C}"/>
    <cellStyle name="Денежный 2 3 2 4" xfId="145" xr:uid="{B142DF38-8CFB-41F9-9C35-81F768D4CA7E}"/>
    <cellStyle name="Денежный 2 3 2 5" xfId="129" xr:uid="{543C10E3-9449-45F4-8062-414B7D0BFFD0}"/>
    <cellStyle name="Денежный 2 3 2 6" xfId="117" xr:uid="{76291704-9283-404E-B614-79CB0CBC07DA}"/>
    <cellStyle name="Денежный 2 3 2 7" xfId="84" xr:uid="{5C6035CA-4DFD-4D10-B704-549301F61571}"/>
    <cellStyle name="Денежный 2 3 2 8" xfId="36" xr:uid="{27313D5D-6AE8-47B9-B6E8-3C32ED6835DE}"/>
    <cellStyle name="Денежный 2 4" xfId="137" xr:uid="{80943A5C-9936-4692-8CF7-E556ABFEF006}"/>
    <cellStyle name="Денежный 2 4 2" xfId="7" xr:uid="{00000000-0005-0000-0000-000005000000}"/>
    <cellStyle name="Денежный 2 4 2 2" xfId="184" xr:uid="{A3B0B5D9-2535-45FC-AB8E-902A4CB9AEA7}"/>
    <cellStyle name="Денежный 2 4 2 3" xfId="161" xr:uid="{98ED88CC-7DA0-46A9-BD9F-4CCABD99343E}"/>
    <cellStyle name="Денежный 2 4 2 3 2" xfId="10" xr:uid="{00000000-0005-0000-0000-000006000000}"/>
    <cellStyle name="Денежный 2 4 2 3 2 2" xfId="187" xr:uid="{4D5A4DC7-ECF2-4FD9-9F4D-007F742E3121}"/>
    <cellStyle name="Денежный 2 4 2 3 2 3" xfId="164" xr:uid="{BD3361F2-6319-456D-810E-0D555D0E1378}"/>
    <cellStyle name="Денежный 2 4 2 3 2 4" xfId="144" xr:uid="{96578D1F-01DC-4FCC-921C-6F2E50559161}"/>
    <cellStyle name="Денежный 2 4 2 3 2 5" xfId="128" xr:uid="{F74F3334-35AC-4CFE-9BCF-FD9B0011409A}"/>
    <cellStyle name="Денежный 2 4 2 3 2 6" xfId="116" xr:uid="{4EF8D668-5F40-44D6-B94A-E888FD6CC995}"/>
    <cellStyle name="Денежный 2 4 2 3 2 7" xfId="83" xr:uid="{CB966FB9-6224-48F8-8F99-58C41D3F523C}"/>
    <cellStyle name="Денежный 2 4 2 3 2 8" xfId="35" xr:uid="{6262F998-6701-4097-A8E0-78C9D0A475BB}"/>
    <cellStyle name="Денежный 2 4 2 3 3" xfId="16" xr:uid="{00000000-0005-0000-0000-000007000000}"/>
    <cellStyle name="Денежный 2 4 2 4" xfId="141" xr:uid="{C9A03F15-B227-4A40-A7C7-4F5D784E8463}"/>
    <cellStyle name="Денежный 2 4 2 5" xfId="127" xr:uid="{48457DC2-2F66-4F7C-8223-B9313BC87118}"/>
    <cellStyle name="Денежный 2 4 2 6" xfId="113" xr:uid="{0EC433A3-4F68-462A-9290-216CF68D91B7}"/>
    <cellStyle name="Денежный 2 4 2 7" xfId="80" xr:uid="{D1C24F2B-F363-49F4-8F0D-9627DC16A048}"/>
    <cellStyle name="Денежный 2 4 2 8" xfId="32" xr:uid="{DF3E9CB9-04C0-4998-BC73-15D20D0F76D8}"/>
    <cellStyle name="Денежный 2 5" xfId="126" xr:uid="{77CD7E0A-8543-4290-9397-496A752A43EC}"/>
    <cellStyle name="Денежный 2 6" xfId="109" xr:uid="{DF703B9A-C033-4B64-8775-5919F304BABF}"/>
    <cellStyle name="Денежный 2 7" xfId="75" xr:uid="{CA41E0A0-5498-4D98-A8B2-24AF303A022D}"/>
    <cellStyle name="Денежный 2 8" xfId="28" xr:uid="{6A162D4F-C46F-44D0-BDE1-F238FBA742BF}"/>
    <cellStyle name="Итог 2" xfId="246" xr:uid="{8F1B0978-690D-47DA-A428-47FFAD6A4E32}"/>
    <cellStyle name="Итог 2 2" xfId="247" xr:uid="{29AE0E5A-0E5F-4A83-A3D7-0519E3E5B3FB}"/>
    <cellStyle name="Итог 2 3" xfId="248" xr:uid="{D165281D-8AFB-4588-BAEF-D10F63253C9E}"/>
    <cellStyle name="Итог 2_туманяна благоустройство" xfId="249" xr:uid="{6C998C49-08C1-4C0D-BE89-7AC4CA3C463F}"/>
    <cellStyle name="Обычный" xfId="0" builtinId="0"/>
    <cellStyle name="Обычный 10" xfId="61" xr:uid="{13C9F3B2-DFDE-4A7F-8E07-6A867C1CEEE8}"/>
    <cellStyle name="Обычный 10 2" xfId="251" xr:uid="{ABFF5ED6-00D8-4B12-998D-C57468635A35}"/>
    <cellStyle name="Обычный 10 2 2" xfId="376" xr:uid="{7B5FB74E-1697-46B7-8662-6B0AD179A6DA}"/>
    <cellStyle name="Обычный 10 2 3" xfId="375" xr:uid="{BB6A604E-DBD4-4FDC-8E36-4C4AF4FA5E95}"/>
    <cellStyle name="Обычный 10 3" xfId="377" xr:uid="{79A88163-7490-47A5-AEEF-EAC0F6AEBE2E}"/>
    <cellStyle name="Обычный 10 4" xfId="374" xr:uid="{1B19E25C-F17D-47BA-A19D-7F893630E200}"/>
    <cellStyle name="Обычный 10 5" xfId="250" xr:uid="{DA8E0C5C-F752-4B63-882A-C5DA32D8D360}"/>
    <cellStyle name="Обычный 11" xfId="60" xr:uid="{856C0BD7-2A13-4916-9792-8FFE8060C8E7}"/>
    <cellStyle name="Обычный 11 2" xfId="253" xr:uid="{850AD577-3BC9-4599-97F6-CE4C4F4CBF70}"/>
    <cellStyle name="Обычный 11 2 2" xfId="380" xr:uid="{AD3BDBD5-B0E0-44A6-AD8C-25279D4D18B6}"/>
    <cellStyle name="Обычный 11 2 3" xfId="379" xr:uid="{9DD142E0-2FAF-4D23-A8A3-537455800EBF}"/>
    <cellStyle name="Обычный 11 3" xfId="381" xr:uid="{A4EA931A-BAC8-4A95-B9B2-5911282E8224}"/>
    <cellStyle name="Обычный 11 4" xfId="378" xr:uid="{A0932434-E0C5-432C-BDC8-DB63944C0614}"/>
    <cellStyle name="Обычный 11 5" xfId="252" xr:uid="{33661ECF-F892-4E5C-A5E3-91B35F5D38D8}"/>
    <cellStyle name="Обычный 11_композит кргв" xfId="254" xr:uid="{DD453392-435B-4604-8E6B-4CBBD4D0A697}"/>
    <cellStyle name="Обычный 12" xfId="58" xr:uid="{4CC2695F-74EC-478D-8A1B-6481A844B9C6}"/>
    <cellStyle name="Обычный 12 2" xfId="256" xr:uid="{D2B09877-7D83-4730-945B-D3AD0C69A629}"/>
    <cellStyle name="Обычный 12 2 2" xfId="384" xr:uid="{CA21C452-DE2E-4F5F-AE2C-FA6BC972D07F}"/>
    <cellStyle name="Обычный 12 2 3" xfId="383" xr:uid="{14221CFF-7CBF-451D-B3FE-3994C4F25781}"/>
    <cellStyle name="Обычный 12 3" xfId="385" xr:uid="{FCEE6181-17CF-43A5-B819-DE0BF2DA119E}"/>
    <cellStyle name="Обычный 12 4" xfId="382" xr:uid="{85919A24-64F8-4DAF-A5A8-79848269335F}"/>
    <cellStyle name="Обычный 12 5" xfId="255" xr:uid="{C3C52683-C947-48B1-A718-6DC258D1B1F9}"/>
    <cellStyle name="Обычный 12_композит кргв" xfId="257" xr:uid="{F220E36C-D1D0-43BD-96F0-334D73E19018}"/>
    <cellStyle name="Обычный 13" xfId="258" xr:uid="{4540BEF0-6E30-4766-8D4E-86E04E74D1AA}"/>
    <cellStyle name="Обычный 14" xfId="259" xr:uid="{48EC014A-FBE8-43DF-AF31-4799B1060BE0}"/>
    <cellStyle name="Обычный 15" xfId="260" xr:uid="{BCCFC6B1-4AB3-40F6-86CC-BCA4C399F684}"/>
    <cellStyle name="Обычный 16" xfId="261" xr:uid="{A073BBF2-48C3-488D-8A64-543A74402181}"/>
    <cellStyle name="Обычный 16 2" xfId="262" xr:uid="{39E2F86A-662B-4885-AE07-6C3426ECE5FF}"/>
    <cellStyle name="Обычный 16 2 2" xfId="388" xr:uid="{D86738DE-6D55-4580-AC9E-6EEC62243BD2}"/>
    <cellStyle name="Обычный 16 2 3" xfId="387" xr:uid="{E3DD2D4C-0A2F-4E53-AC02-115F0A65E3A5}"/>
    <cellStyle name="Обычный 16 3" xfId="263" xr:uid="{D10F6822-36E1-4B05-9FD0-E01844C2886D}"/>
    <cellStyle name="Обычный 16 3 2" xfId="390" xr:uid="{BD68A841-DC83-4DA5-ACC5-63EC3A52EABB}"/>
    <cellStyle name="Обычный 16 3 3" xfId="389" xr:uid="{F319FDFB-1386-4DAF-853C-D3A791FA2020}"/>
    <cellStyle name="Обычный 16 4" xfId="391" xr:uid="{3FBC3964-CF73-45E3-A508-A8DD8DD4BFD1}"/>
    <cellStyle name="Обычный 16 5" xfId="386" xr:uid="{04DB4984-2201-490D-A8CE-1E0D218FEBBC}"/>
    <cellStyle name="Обычный 17" xfId="264" xr:uid="{24BCD133-00EE-4259-A63E-B0B9B5F339C3}"/>
    <cellStyle name="Обычный 17 2" xfId="393" xr:uid="{0A28FDC6-EB29-4C0D-9EED-C1B1C882FA8B}"/>
    <cellStyle name="Обычный 17 3" xfId="392" xr:uid="{13C8AB22-21BA-4F91-85B2-43B00220667C}"/>
    <cellStyle name="Обычный 18" xfId="265" xr:uid="{5097B12E-86A4-4A9A-B4AE-E5937D70B507}"/>
    <cellStyle name="Обычный 19" xfId="266" xr:uid="{C1AA6330-D43E-4BE5-82BA-58575A87BA97}"/>
    <cellStyle name="Обычный 19 2" xfId="395" xr:uid="{1E4381FB-23D4-4D90-8B73-2D539BF6F910}"/>
    <cellStyle name="Обычный 19 3" xfId="394" xr:uid="{870BE923-B46B-42BF-B81B-40C9E8A7795B}"/>
    <cellStyle name="Обычный 2" xfId="1" xr:uid="{00000000-0005-0000-0000-000009000000}"/>
    <cellStyle name="Обычный 2 2" xfId="5" xr:uid="{00000000-0005-0000-0000-00000A000000}"/>
    <cellStyle name="Обычный 2 2 2" xfId="21" xr:uid="{00000000-0005-0000-0000-00000B000000}"/>
    <cellStyle name="Обычный 2 2 2 2" xfId="95" xr:uid="{5B818B91-EE40-45BE-B104-B104C9AE7DD0}"/>
    <cellStyle name="Обычный 2 2 2 2 2" xfId="268" xr:uid="{6A4CA6F6-D817-4F0A-935F-6B58E849B675}"/>
    <cellStyle name="Обычный 2 2 2 3" xfId="52" xr:uid="{9ED7EECA-85B5-4A56-90F2-3F1153C5E0D0}"/>
    <cellStyle name="Обычный 2 2 3" xfId="70" xr:uid="{7243E55E-1397-4ECB-B75E-D7F8FE931BFF}"/>
    <cellStyle name="Обычный 2 2 3 2" xfId="207" xr:uid="{DB5726E0-BBE2-481F-AF3F-200A3AB58A54}"/>
    <cellStyle name="Обычный 2 2 4" xfId="78" xr:uid="{4F15337C-3841-4F40-8EF6-D233AD2AD9A0}"/>
    <cellStyle name="Обычный 2 2 4 2" xfId="182" xr:uid="{FFCBBE5C-8907-4CBB-A6B2-34C19A41A50E}"/>
    <cellStyle name="Обычный 2 2 4 3" xfId="159" xr:uid="{98786836-03E7-4691-981A-14096BA32728}"/>
    <cellStyle name="Обычный 2 2 4 4" xfId="139" xr:uid="{4CA2CD73-FC6D-491D-A6D8-2315551E1AF0}"/>
    <cellStyle name="Обычный 2 2 4 5" xfId="111" xr:uid="{3E6D264B-2CC7-490C-9CFB-95DF1F3FD526}"/>
    <cellStyle name="Обычный 2 2 5" xfId="48" xr:uid="{69C078B7-7006-4BB8-9B19-28B0208DE834}"/>
    <cellStyle name="Обычный 2 2 6" xfId="30" xr:uid="{74241389-ADD7-4939-842B-46FEE4D55CBC}"/>
    <cellStyle name="Обычный 2 3" xfId="20" xr:uid="{00000000-0005-0000-0000-00000C000000}"/>
    <cellStyle name="Обычный 2 3 10" xfId="37" xr:uid="{60F557BB-F700-4732-AC5D-094BA529A938}"/>
    <cellStyle name="Обычный 2 3 2" xfId="14" xr:uid="{00000000-0005-0000-0000-00000D000000}"/>
    <cellStyle name="Обычный 2 3 2 2" xfId="24" xr:uid="{00000000-0005-0000-0000-00000E000000}"/>
    <cellStyle name="Обычный 2 3 2 2 2" xfId="194" xr:uid="{1DA81741-2A41-47B3-B112-5EB6D7F9F0EE}"/>
    <cellStyle name="Обычный 2 3 2 3" xfId="171" xr:uid="{869BB6C4-5214-45BB-9834-4A2D65A14D27}"/>
    <cellStyle name="Обычный 2 3 2 4" xfId="151" xr:uid="{23422A2F-64C8-4B63-9BE2-660D398763EF}"/>
    <cellStyle name="Обычный 2 3 2 5" xfId="123" xr:uid="{0BD8EF55-7100-4639-B56D-C37BD411A3F1}"/>
    <cellStyle name="Обычный 2 3 2 6" xfId="90" xr:uid="{B931405A-4F89-4936-A817-A65C9F825196}"/>
    <cellStyle name="Обычный 2 3 2 7" xfId="43" xr:uid="{A1FE5016-6454-4899-8D34-D7AB06783DF3}"/>
    <cellStyle name="Обычный 2 3 3" xfId="189" xr:uid="{CCD210BE-299E-4ACC-813F-CB0C7063F0D5}"/>
    <cellStyle name="Обычный 2 3 4" xfId="396" xr:uid="{C69C6A5F-16D8-4ECD-9516-C7473E4B35BC}"/>
    <cellStyle name="Обычный 2 3 5" xfId="166" xr:uid="{18E374FF-588A-428E-91BD-E9A83F1B2744}"/>
    <cellStyle name="Обычный 2 3 6" xfId="146" xr:uid="{5ACAADE3-6E9D-4368-A177-1CB3D9263D44}"/>
    <cellStyle name="Обычный 2 3 7" xfId="118" xr:uid="{7C378E21-C508-4937-9000-B653795AE2D5}"/>
    <cellStyle name="Обычный 2 3 8" xfId="85" xr:uid="{1C80B141-2EB0-4509-962D-E1FA8BFDABC2}"/>
    <cellStyle name="Обычный 2 3 9" xfId="50" xr:uid="{DCAB4C65-529C-411A-8C7A-2364F3DD1A17}"/>
    <cellStyle name="Обычный 2 4" xfId="12" xr:uid="{00000000-0005-0000-0000-00000F000000}"/>
    <cellStyle name="Обычный 2 4 2" xfId="6" xr:uid="{00000000-0005-0000-0000-000010000000}"/>
    <cellStyle name="Обычный 2 4 2 2" xfId="183" xr:uid="{C5C0DEDF-3286-4D09-B0C5-0277F77CD47D}"/>
    <cellStyle name="Обычный 2 4 2 3" xfId="17" xr:uid="{00000000-0005-0000-0000-000011000000}"/>
    <cellStyle name="Обычный 2 4 2 3 2" xfId="8" xr:uid="{00000000-0005-0000-0000-000012000000}"/>
    <cellStyle name="Обычный 2 4 2 3 2 2" xfId="15" xr:uid="{00000000-0005-0000-0000-000013000000}"/>
    <cellStyle name="Обычный 2 4 2 3 2 2 2" xfId="19" xr:uid="{00000000-0005-0000-0000-000014000000}"/>
    <cellStyle name="Обычный 2 4 2 3 2 2 2 2" xfId="190" xr:uid="{E3424B65-4E54-4E57-8E40-89886ECE6F67}"/>
    <cellStyle name="Обычный 2 4 2 3 2 2 3" xfId="167" xr:uid="{889A2417-8144-43C3-B4C5-ECEDE28F55C4}"/>
    <cellStyle name="Обычный 2 4 2 3 2 2 4" xfId="147" xr:uid="{62FB51DA-6095-442F-BCB4-082D733923E5}"/>
    <cellStyle name="Обычный 2 4 2 3 2 2 5" xfId="119" xr:uid="{40E3CE86-7FE9-4A94-8359-DD4EB7CDEB00}"/>
    <cellStyle name="Обычный 2 4 2 3 2 2 6" xfId="86" xr:uid="{302FCA86-67A2-4EA6-9514-8BAEEB4D0631}"/>
    <cellStyle name="Обычный 2 4 2 3 2 2 7" xfId="38" xr:uid="{02729D69-DC75-4D28-AE35-A08E3885EF03}"/>
    <cellStyle name="Обычный 2 4 2 3 2 3" xfId="185" xr:uid="{8CA2629F-1FD5-4659-9D84-428B40C97208}"/>
    <cellStyle name="Обычный 2 4 2 3 2 4" xfId="162" xr:uid="{60A2AC9F-2879-4558-A16B-7BBC82B417B3}"/>
    <cellStyle name="Обычный 2 4 2 3 2 5" xfId="142" xr:uid="{C67B032C-C1ED-433E-A759-92001BA43B6D}"/>
    <cellStyle name="Обычный 2 4 2 3 2 6" xfId="114" xr:uid="{B9F3FF00-911A-4825-9D9D-DBFD7A62B5A2}"/>
    <cellStyle name="Обычный 2 4 2 3 2 7" xfId="81" xr:uid="{23E97B59-0A6C-4521-9222-2B8E21C64572}"/>
    <cellStyle name="Обычный 2 4 2 3 2 8" xfId="33" xr:uid="{C443BECF-8E79-4167-A1DA-11BDCC356839}"/>
    <cellStyle name="Обычный 2 4 2 3 3" xfId="193" xr:uid="{2C844EAB-402F-4EFB-B379-4BC055D6DB0B}"/>
    <cellStyle name="Обычный 2 4 2 3 4" xfId="170" xr:uid="{33B16F91-16B9-4264-9CE1-3B25D11AFD08}"/>
    <cellStyle name="Обычный 2 4 2 3 5" xfId="150" xr:uid="{51BD311D-FE58-4191-8D86-C65BAC97281D}"/>
    <cellStyle name="Обычный 2 4 2 3 6" xfId="122" xr:uid="{EF371749-B52D-4A7E-8773-D76FDCEC96BD}"/>
    <cellStyle name="Обычный 2 4 2 3 7" xfId="89" xr:uid="{E7ABACC2-2F95-4E1E-9DC8-F0840571AFF4}"/>
    <cellStyle name="Обычный 2 4 2 3 8" xfId="42" xr:uid="{3DB200A6-0F3D-4A0A-96BD-A85BB71A2955}"/>
    <cellStyle name="Обычный 2 4 2 4" xfId="267" xr:uid="{BD427792-2F96-403A-B6C7-C312A59A78EF}"/>
    <cellStyle name="Обычный 2 4 2 4 2" xfId="9" xr:uid="{00000000-0005-0000-0000-000015000000}"/>
    <cellStyle name="Обычный 2 4 2 4 2 2" xfId="22" xr:uid="{00000000-0005-0000-0000-000016000000}"/>
    <cellStyle name="Обычный 2 4 2 4 2 2 2" xfId="191" xr:uid="{CA31BF1A-A795-4EDF-8544-DF57B85CE37B}"/>
    <cellStyle name="Обычный 2 4 2 4 2 2 3" xfId="168" xr:uid="{CA1C7E38-363C-46C3-BE58-3B2DD57981DF}"/>
    <cellStyle name="Обычный 2 4 2 4 2 2 4" xfId="148" xr:uid="{03956E4B-B836-4C88-B68F-B63B77410EC7}"/>
    <cellStyle name="Обычный 2 4 2 4 2 2 5" xfId="120" xr:uid="{DA45A2AB-D863-4C43-9B6B-80FCA5052385}"/>
    <cellStyle name="Обычный 2 4 2 4 2 2 6" xfId="87" xr:uid="{E1DF4A59-4E94-4443-8C55-7BF101391D67}"/>
    <cellStyle name="Обычный 2 4 2 4 2 2 7" xfId="39" xr:uid="{FA17A096-7A6E-4C13-BD2E-583FAF3C3997}"/>
    <cellStyle name="Обычный 2 4 2 4 2 3" xfId="186" xr:uid="{66B756B3-8EBD-4ECA-BF4D-F2CA11530B84}"/>
    <cellStyle name="Обычный 2 4 2 4 2 4" xfId="163" xr:uid="{C321FBD9-D088-4C5F-BB7B-BB3C334F55D4}"/>
    <cellStyle name="Обычный 2 4 2 4 2 5" xfId="143" xr:uid="{0D6AB270-290F-46FF-9D8D-A752C25D9ED4}"/>
    <cellStyle name="Обычный 2 4 2 4 2 6" xfId="115" xr:uid="{3DBB6A38-57B3-4E4B-8393-2F492439D2A1}"/>
    <cellStyle name="Обычный 2 4 2 4 2 7" xfId="82" xr:uid="{09D76B58-D0C8-4DC7-B5C4-C4C7A886FBF8}"/>
    <cellStyle name="Обычный 2 4 2 4 2 8" xfId="34" xr:uid="{61C7D286-C2D7-455C-B130-927C229473C6}"/>
    <cellStyle name="Обычный 2 4 2 5" xfId="160" xr:uid="{A6107FC3-2DF2-4A7A-9879-9DD85C88FEE3}"/>
    <cellStyle name="Обычный 2 4 2 6" xfId="140" xr:uid="{81EE0178-8AA3-41AD-9C54-8DDAB8823D5C}"/>
    <cellStyle name="Обычный 2 4 2 7" xfId="112" xr:uid="{4579190F-1361-46B5-A02A-62CCB87FA4B7}"/>
    <cellStyle name="Обычный 2 4 2 8" xfId="79" xr:uid="{6D89B738-B76C-45BB-9491-8DC81179D8AF}"/>
    <cellStyle name="Обычный 2 4 2 9" xfId="31" xr:uid="{681C21EF-7DAE-4AD5-ABB1-4984ADD32D75}"/>
    <cellStyle name="Обычный 2 4 3" xfId="178" xr:uid="{10199925-F701-4C71-8969-4FD3364F967A}"/>
    <cellStyle name="Обычный 2 4 4" xfId="202" xr:uid="{FEEE4BAD-A481-4118-BDF0-52531BB70FF6}"/>
    <cellStyle name="Обычный 2 4 5" xfId="156" xr:uid="{13D5E737-09D9-4C09-BE25-2FB7C9B75A0A}"/>
    <cellStyle name="Обычный 2 4 6" xfId="136" xr:uid="{CD5569C9-4574-4AD0-9C72-4DE45D572B75}"/>
    <cellStyle name="Обычный 2 4 7" xfId="108" xr:uid="{8CF478F6-0CAA-4FB7-B3BE-B5A343302447}"/>
    <cellStyle name="Обычный 2 4 8" xfId="74" xr:uid="{871C6685-F651-41BB-9BA3-140B47D95FE9}"/>
    <cellStyle name="Обычный 2 4 9" xfId="53" xr:uid="{F6B647FF-A5A9-4A96-8806-F046D3FD2FE9}"/>
    <cellStyle name="Обычный 2 5" xfId="100" xr:uid="{0037CED4-3B17-4B1A-9BC9-2E4B20384806}"/>
    <cellStyle name="Обычный 2 5 2" xfId="174" xr:uid="{A5B006A7-D563-42B7-AF62-0BBD674DC47C}"/>
    <cellStyle name="Обычный 2 6" xfId="68" xr:uid="{6A86F4D3-21E4-46FF-BB62-0A8AD359D968}"/>
    <cellStyle name="Обычный 2 6 2" xfId="198" xr:uid="{641F6C2D-071C-4918-9E03-8CDE047B42FE}"/>
    <cellStyle name="Обычный 2 7" xfId="47" xr:uid="{9BABCB35-F552-4AB1-AB03-30673EFD8135}"/>
    <cellStyle name="Обычный 2 8" xfId="27" xr:uid="{F41FA24E-5CC4-45E3-A468-C76980FEE8EA}"/>
    <cellStyle name="Обычный 20" xfId="269" xr:uid="{1C2C7A34-AE25-41F4-8C2F-0862AD7267EA}"/>
    <cellStyle name="Обычный 20 2" xfId="398" xr:uid="{9BD4717D-69FD-47D4-8BEA-8F2CF026E39E}"/>
    <cellStyle name="Обычный 20 3" xfId="397" xr:uid="{BBBC0390-F2CB-4B6F-A6A5-F05E674FA26D}"/>
    <cellStyle name="Обычный 21" xfId="270" xr:uid="{9809CB4C-A8A3-4C29-A4D5-1A665044DDDC}"/>
    <cellStyle name="Обычный 21 2" xfId="400" xr:uid="{67B942A0-8AEE-4A0A-9BA4-CA41CA680338}"/>
    <cellStyle name="Обычный 21 3" xfId="399" xr:uid="{F57DF3C1-C2B1-4109-8ED0-913A7382F00E}"/>
    <cellStyle name="Обычный 22" xfId="271" xr:uid="{B841F099-A0E8-47E9-86ED-2C10A6E94707}"/>
    <cellStyle name="Обычный 23" xfId="272" xr:uid="{DC71FB97-1436-4C8C-9815-3596BE50020E}"/>
    <cellStyle name="Обычный 23 2" xfId="402" xr:uid="{2A41873E-6D04-48F6-9C15-E166D01B8153}"/>
    <cellStyle name="Обычный 23 3" xfId="401" xr:uid="{46E9700B-9258-41D2-BE37-D50A532428B4}"/>
    <cellStyle name="Обычный 24" xfId="273" xr:uid="{F37E84C8-6E0A-48DF-8FA3-3B24B264A94E}"/>
    <cellStyle name="Обычный 24 2" xfId="404" xr:uid="{3955FF36-85DD-45F9-955F-EA27E7865CD5}"/>
    <cellStyle name="Обычный 24 3" xfId="403" xr:uid="{39559752-A4C3-4CBC-AA7D-D08F363DE0A1}"/>
    <cellStyle name="Обычный 25" xfId="274" xr:uid="{9CBB188C-D6FC-4182-9CBE-915B5056C2CD}"/>
    <cellStyle name="Обычный 25 2" xfId="406" xr:uid="{5AB0C1B4-502B-473C-8D6A-E18CF2CFF2CD}"/>
    <cellStyle name="Обычный 25 3" xfId="405" xr:uid="{A5F24C1E-1663-42E3-B8FA-A4564A0608BB}"/>
    <cellStyle name="Обычный 26" xfId="275" xr:uid="{0D4DFF55-4FB2-4D5C-9F9A-DD9503ADDA7A}"/>
    <cellStyle name="Обычный 26 2" xfId="408" xr:uid="{AD330223-7EC5-49B5-9B04-ADBEF4C0C27F}"/>
    <cellStyle name="Обычный 26 3" xfId="407" xr:uid="{52FB1BAF-CFEA-4619-8D66-2F91CC1948E3}"/>
    <cellStyle name="Обычный 27" xfId="276" xr:uid="{13DCE6F2-3477-40AA-98D4-3A71E64B4EA2}"/>
    <cellStyle name="Обычный 27 2" xfId="410" xr:uid="{7E54FEA6-037B-4CF3-BBF5-BEE11B8327E7}"/>
    <cellStyle name="Обычный 27 3" xfId="409" xr:uid="{5EA7C5CC-E403-4779-B61D-9B21017F9AD5}"/>
    <cellStyle name="Обычный 28" xfId="277" xr:uid="{76018B63-AB1D-4A88-B5C3-4B3BCFDA0E27}"/>
    <cellStyle name="Обычный 28 2" xfId="412" xr:uid="{EA959E62-866A-48BA-9504-C25D5CDD2B8B}"/>
    <cellStyle name="Обычный 28 3" xfId="411" xr:uid="{21F78C60-6AD8-4B00-9212-93C8399EDF08}"/>
    <cellStyle name="Обычный 29" xfId="278" xr:uid="{CD1F06F5-83E4-43AE-95A3-CEEF6EA32190}"/>
    <cellStyle name="Обычный 29 2" xfId="414" xr:uid="{7BB0EF3C-57C7-49F3-8FE6-581E145AA7E6}"/>
    <cellStyle name="Обычный 29 3" xfId="413" xr:uid="{3B83BD5E-8737-4205-9B48-56833F562338}"/>
    <cellStyle name="Обычный 3" xfId="18" xr:uid="{00000000-0005-0000-0000-000017000000}"/>
    <cellStyle name="Обычный 3 10" xfId="59" xr:uid="{92BF287C-FE1C-4A3E-BD80-5ABBE272CCA0}"/>
    <cellStyle name="Обычный 3 10 2" xfId="131" xr:uid="{6E595D21-7A06-487C-9DB9-6742A6DA169B}"/>
    <cellStyle name="Обычный 3 11" xfId="102" xr:uid="{B7669FBB-6DB2-4AD1-9AD6-940A5A498066}"/>
    <cellStyle name="Обычный 3 12" xfId="57" xr:uid="{61E6CB0A-74FD-4894-9DE2-C4D6F7208FBD}"/>
    <cellStyle name="Обычный 3 13" xfId="49" xr:uid="{8A5E0678-5EF5-42EE-A216-B0F3BBBD0031}"/>
    <cellStyle name="Обычный 3 2" xfId="40" xr:uid="{565F535D-82C2-409E-8299-2CFB1971A553}"/>
    <cellStyle name="Обычный 3 2 10" xfId="88" xr:uid="{36ED504A-64C4-4C9C-9D44-B9DB290F5285}"/>
    <cellStyle name="Обычный 3 2 11" xfId="51" xr:uid="{29C8E378-2B06-46B5-AB54-D07C49E91FEB}"/>
    <cellStyle name="Обычный 3 2 2" xfId="56" xr:uid="{89CDABE8-4224-4A1F-A469-5E8B16F7065C}"/>
    <cellStyle name="Обычный 3 2 2 2" xfId="195" xr:uid="{CF67C9C2-F74E-4950-8D08-13E36662733C}"/>
    <cellStyle name="Обычный 3 2 2 3" xfId="416" xr:uid="{DC29B6D5-57D9-4101-B52F-73E22C909D90}"/>
    <cellStyle name="Обычный 3 2 2 4" xfId="172" xr:uid="{CC8FAEBD-0581-460C-BACC-A281F1F48AC3}"/>
    <cellStyle name="Обычный 3 2 2 5" xfId="152" xr:uid="{D04A11D5-8970-42AE-8FF2-5498D60FA124}"/>
    <cellStyle name="Обычный 3 2 2 6" xfId="124" xr:uid="{C9EFC428-6A76-422C-ACCC-23163A3EE8E6}"/>
    <cellStyle name="Обычный 3 2 2 7" xfId="92" xr:uid="{B27BD6FD-0EA0-44E7-BDEB-A3EC454C74C5}"/>
    <cellStyle name="Обычный 3 2 3" xfId="192" xr:uid="{18DEA349-D764-4099-9EF9-3591D2ECDED3}"/>
    <cellStyle name="Обычный 3 2 3 2" xfId="356" xr:uid="{E51C347A-60DA-44DA-8220-19E66F20FB66}"/>
    <cellStyle name="Обычный 3 2 4" xfId="208" xr:uid="{EF77F8F7-4573-4E57-9660-5C6AEF76C9DD}"/>
    <cellStyle name="Обычный 3 2 5" xfId="417" xr:uid="{3D7D287B-84D2-40BF-BC99-541D6EA61DB5}"/>
    <cellStyle name="Обычный 3 2 6" xfId="415" xr:uid="{F1C8C828-F239-4870-BB06-20CDF9329766}"/>
    <cellStyle name="Обычный 3 2 7" xfId="169" xr:uid="{EBD9ECCB-E74C-4C1F-B5EF-E39ECAB9E5FA}"/>
    <cellStyle name="Обычный 3 2 8" xfId="149" xr:uid="{56D94CEE-9F2D-4651-95DB-C8DFF3EF6143}"/>
    <cellStyle name="Обычный 3 2 9" xfId="121" xr:uid="{2C71C2A8-E3A2-4460-BC0D-01B1836A292E}"/>
    <cellStyle name="Обычный 3 3" xfId="26" xr:uid="{00000000-0005-0000-0000-000018000000}"/>
    <cellStyle name="Обычный 3 3 2" xfId="279" xr:uid="{99AE91A2-1588-41D1-8D1A-2A07F59BEC10}"/>
    <cellStyle name="Обычный 3 3 3" xfId="201" xr:uid="{5C250A9C-5D12-4448-8A94-92868E8AF1CB}"/>
    <cellStyle name="Обычный 3 3 4" xfId="55" xr:uid="{31385064-D1BF-45E1-85C5-B1785FFEF620}"/>
    <cellStyle name="Обычный 3 4" xfId="41" xr:uid="{8F826BFD-D07D-4671-B0D8-EC6EF557E3E0}"/>
    <cellStyle name="Обычный 3 4 2" xfId="419" xr:uid="{331CE95B-788E-4841-9390-CCEA0B09807C}"/>
    <cellStyle name="Обычный 3 4 3" xfId="418" xr:uid="{6F8F93C6-A289-469F-A47C-7A91723A17E8}"/>
    <cellStyle name="Обычный 3 4 4" xfId="205" xr:uid="{BFA3F86A-0271-4F21-B23F-6B010C9087ED}"/>
    <cellStyle name="Обычный 3 5" xfId="99" xr:uid="{C804295D-22E2-4C89-8150-F206FCF4946B}"/>
    <cellStyle name="Обычный 3 5 2" xfId="421" xr:uid="{AB42D77A-2708-471D-AD69-DD37AEA895A1}"/>
    <cellStyle name="Обычный 3 5 3" xfId="420" xr:uid="{09D967CD-137A-4E5A-A15A-DF6EBE3E5508}"/>
    <cellStyle name="Обычный 3 5 4" xfId="204" xr:uid="{C5B44D75-0E13-45D0-BB5F-3A421780F259}"/>
    <cellStyle name="Обычный 3 6" xfId="73" xr:uid="{2A485B87-7732-41EC-8BD7-662E10CF9B65}"/>
    <cellStyle name="Обычный 3 6 2" xfId="199" xr:uid="{1AABC6B5-D040-47C3-9A80-31B053EB8F9A}"/>
    <cellStyle name="Обычный 3 6 3" xfId="155" xr:uid="{92C569C0-A3F3-4063-8E85-B32E140F4581}"/>
    <cellStyle name="Обычный 3 6 4" xfId="135" xr:uid="{9C3F2223-8EA7-4F03-B939-7E80CAE91B88}"/>
    <cellStyle name="Обычный 3 6 5" xfId="107" xr:uid="{940555DD-E407-4064-9DF8-37A1E0981021}"/>
    <cellStyle name="Обычный 3 7" xfId="66" xr:uid="{4DE9E430-ABFA-4FB5-9B7A-E6E8F7827AD1}"/>
    <cellStyle name="Обычный 3 7 2" xfId="177" xr:uid="{54C106E1-1DD5-4597-902D-5E6E375E89EF}"/>
    <cellStyle name="Обычный 3 7 3" xfId="133" xr:uid="{96516537-A7A2-4870-B757-1861C6385EA0}"/>
    <cellStyle name="Обычный 3 7 4" xfId="105" xr:uid="{D0D4D73A-AFEA-4E10-B3DC-AE9720371BE7}"/>
    <cellStyle name="Обычный 3 8" xfId="63" xr:uid="{10C17C85-309B-4F70-838B-15CD1655A8D2}"/>
    <cellStyle name="Обычный 3 8 2" xfId="132" xr:uid="{3FC69F68-3005-4DF9-9139-78E3AE5309D2}"/>
    <cellStyle name="Обычный 3 8 3" xfId="104" xr:uid="{A64CA66F-9AF3-4593-BA35-480A947E5B22}"/>
    <cellStyle name="Обычный 3 9" xfId="62" xr:uid="{91F552B8-06AC-4F18-94F5-4FB716C72A18}"/>
    <cellStyle name="Обычный 3 9 2" xfId="153" xr:uid="{5002E9E6-0D08-4768-BDFC-53B37B260F6D}"/>
    <cellStyle name="Обычный 3 9 3" xfId="103" xr:uid="{415C6DFE-4C9D-46FD-8A12-A9BCAD5822CE}"/>
    <cellStyle name="Обычный 30" xfId="280" xr:uid="{4D3F40BF-5E25-4102-B88A-8E38E3FB653E}"/>
    <cellStyle name="Обычный 30 2" xfId="423" xr:uid="{E99EF5E7-6B98-4CA0-BE7D-48B5F0CCB3E1}"/>
    <cellStyle name="Обычный 30 3" xfId="422" xr:uid="{06C75AA1-3360-437A-8B22-6AED5AC82263}"/>
    <cellStyle name="Обычный 31" xfId="281" xr:uid="{221B56F4-BA4E-45A6-A5AC-D0A208E3B15E}"/>
    <cellStyle name="Обычный 31 2" xfId="425" xr:uid="{8A4C7E2C-4EB0-4DFA-897F-ABB0862639FC}"/>
    <cellStyle name="Обычный 31 3" xfId="424" xr:uid="{6AC39EE4-7265-473A-907E-E1A89EE4791D}"/>
    <cellStyle name="Обычный 32" xfId="282" xr:uid="{36497A79-7EC5-4CDA-B8AB-48DA13D27739}"/>
    <cellStyle name="Обычный 32 2" xfId="427" xr:uid="{241B451D-2782-4059-B532-3318BC86C64C}"/>
    <cellStyle name="Обычный 32 3" xfId="426" xr:uid="{AA152668-3EDA-43A6-856E-1D921F3FA8E0}"/>
    <cellStyle name="Обычный 33" xfId="283" xr:uid="{D89E0A93-C59E-4907-96D9-1EDBEC8F341F}"/>
    <cellStyle name="Обычный 33 2" xfId="429" xr:uid="{62854245-E4BA-484D-AA6A-0BF78A1F655B}"/>
    <cellStyle name="Обычный 33 3" xfId="428" xr:uid="{83BEF269-3872-451E-BCD7-EC2EE94842EB}"/>
    <cellStyle name="Обычный 34" xfId="284" xr:uid="{4EF0E76E-EA71-4181-A531-87A7DC3B3984}"/>
    <cellStyle name="Обычный 34 2" xfId="431" xr:uid="{5AA1582B-B8F7-4F3A-BCF3-790580DDC8B4}"/>
    <cellStyle name="Обычный 34 3" xfId="430" xr:uid="{81F06A09-89CC-41A1-AE57-A9F396FD500E}"/>
    <cellStyle name="Обычный 35" xfId="285" xr:uid="{6A517426-3F64-4617-839B-ED068DD725AC}"/>
    <cellStyle name="Обычный 35 2" xfId="433" xr:uid="{E695DF82-CF29-4057-9CD2-5D9E28F86579}"/>
    <cellStyle name="Обычный 35 3" xfId="432" xr:uid="{110E7478-023C-4148-9797-F5C5059A2789}"/>
    <cellStyle name="Обычный 36" xfId="286" xr:uid="{11254DC7-E4C9-4847-B15A-858864374A58}"/>
    <cellStyle name="Обычный 36 2" xfId="435" xr:uid="{30B3B4B8-44D7-45B6-9040-BC7F179D52BB}"/>
    <cellStyle name="Обычный 36 3" xfId="434" xr:uid="{E36B67C6-E5B3-4880-8748-247BC7DEB1F2}"/>
    <cellStyle name="Обычный 37" xfId="287" xr:uid="{97BCB05F-C19F-43F7-A031-430F442CAC17}"/>
    <cellStyle name="Обычный 37 2" xfId="437" xr:uid="{291F601A-5A4E-47F3-8A6B-D043E10B2428}"/>
    <cellStyle name="Обычный 37 3" xfId="436" xr:uid="{FC69C7E9-7A5B-4B88-AC57-A131EBE071A8}"/>
    <cellStyle name="Обычный 38" xfId="288" xr:uid="{5526595D-BD06-443A-901A-9E3E7AB80598}"/>
    <cellStyle name="Обычный 38 2" xfId="439" xr:uid="{53E808E7-EC3F-4ED1-A355-FAAC752A66B9}"/>
    <cellStyle name="Обычный 38 3" xfId="438" xr:uid="{EBEF564F-ABF7-46A0-88D4-D02C3CFEF89D}"/>
    <cellStyle name="Обычный 39" xfId="289" xr:uid="{0DA8EDC6-0278-4341-8844-1713EE9C21F3}"/>
    <cellStyle name="Обычный 39 2" xfId="441" xr:uid="{C4297A3E-74FB-48E7-894E-8E66302DEE2C}"/>
    <cellStyle name="Обычный 39 3" xfId="440" xr:uid="{C9BEE78E-1FC5-4889-BE49-D3D545BF3474}"/>
    <cellStyle name="Обычный 4" xfId="4" xr:uid="{00000000-0005-0000-0000-000019000000}"/>
    <cellStyle name="Обычный 4 10" xfId="69" xr:uid="{B7F46AB3-920E-4FAB-A753-27FEB4CB241C}"/>
    <cellStyle name="Обычный 4 2" xfId="77" xr:uid="{D363163D-FC65-41D9-95A8-376E9BB470CA}"/>
    <cellStyle name="Обычный 4 2 2" xfId="292" xr:uid="{34228463-7140-490A-A3E0-68C13B02A4C7}"/>
    <cellStyle name="Обычный 4 2 2 2" xfId="444" xr:uid="{C57B98B2-475F-436B-AC0E-222CC9ADB8F9}"/>
    <cellStyle name="Обычный 4 2 2 3" xfId="443" xr:uid="{437F6D10-FAAB-41BB-80D9-82D1FD5F8873}"/>
    <cellStyle name="Обычный 4 2 3" xfId="445" xr:uid="{B16662C8-638E-4C2F-B74E-49656352C134}"/>
    <cellStyle name="Обычный 4 2 4" xfId="442" xr:uid="{531BFA44-07FC-40B3-85E2-3FD37E0489DB}"/>
    <cellStyle name="Обычный 4 2 5" xfId="291" xr:uid="{D7EB8C23-A94B-4767-B0F6-0E3A253BB6C2}"/>
    <cellStyle name="Обычный 4 2_Base (Jenya)10" xfId="293" xr:uid="{E2B7BBF9-A910-4944-9E37-AF6A95A4F232}"/>
    <cellStyle name="Обычный 4 3" xfId="176" xr:uid="{890F33F0-F32C-4832-BE3C-20382A8591CD}"/>
    <cellStyle name="Обычный 4 3 2" xfId="447" xr:uid="{4FECB571-9E0B-48DD-AE45-5E07997FB27F}"/>
    <cellStyle name="Обычный 4 3 3" xfId="446" xr:uid="{DEAD44E8-56CB-4E35-BE85-F8DF5694E02C}"/>
    <cellStyle name="Обычный 4 4" xfId="294" xr:uid="{20F05129-1AA9-49CE-982E-FE37942E467E}"/>
    <cellStyle name="Обычный 4 5" xfId="290" xr:uid="{AE04A9B8-31EA-43BF-8D87-0F7A98F26510}"/>
    <cellStyle name="Обычный 4 5 2" xfId="449" xr:uid="{59D2D010-2AA3-4721-B5F1-58B02BA8EF88}"/>
    <cellStyle name="Обычный 4 5 3" xfId="448" xr:uid="{9B69C928-638C-4425-8B6B-2CF3B45DD30A}"/>
    <cellStyle name="Обычный 4 6" xfId="206" xr:uid="{0AD6FD28-8DE7-4E6B-80F1-62AA843D9536}"/>
    <cellStyle name="Обычный 4 7" xfId="154" xr:uid="{E0B98E88-10D8-49DF-98B6-C32FF787F845}"/>
    <cellStyle name="Обычный 4 8" xfId="134" xr:uid="{12E5197D-D01E-4815-8F27-06290EC5FB2B}"/>
    <cellStyle name="Обычный 4 9" xfId="106" xr:uid="{62279992-23FD-4B7C-97F9-5E47D0161CC3}"/>
    <cellStyle name="Обычный 4_1" xfId="295" xr:uid="{8AB27DF7-D16A-47FE-91A8-444626A734B6}"/>
    <cellStyle name="Обычный 40" xfId="296" xr:uid="{0045D632-2B11-43FB-A793-E8D8D8698525}"/>
    <cellStyle name="Обычный 40 2" xfId="451" xr:uid="{C3BE28FE-7EC0-4390-A529-A7120EA09E12}"/>
    <cellStyle name="Обычный 40 3" xfId="450" xr:uid="{38E98C61-EC09-417B-A939-CDFC2EB55EAF}"/>
    <cellStyle name="Обычный 41" xfId="297" xr:uid="{1EACB623-ADF4-4DBF-BAFE-E692F465848E}"/>
    <cellStyle name="Обычный 41 2" xfId="453" xr:uid="{7B8E2A14-491F-463D-A9B8-7BC51F2F1313}"/>
    <cellStyle name="Обычный 41 3" xfId="452" xr:uid="{25BE76BA-D4E4-4F59-A1B6-C3E41B642E36}"/>
    <cellStyle name="Обычный 42" xfId="298" xr:uid="{FF0ACDC0-4D93-4E97-8C97-E383C0736514}"/>
    <cellStyle name="Обычный 42 2" xfId="455" xr:uid="{6712016C-7417-4665-B0D2-470934F5015F}"/>
    <cellStyle name="Обычный 42 3" xfId="454" xr:uid="{D9D4AB10-AE42-4400-AA3C-EA21EB1F6E10}"/>
    <cellStyle name="Обычный 43" xfId="299" xr:uid="{3598E5AC-CAD8-417A-A3BF-6FFD8B53A882}"/>
    <cellStyle name="Обычный 43 2" xfId="457" xr:uid="{E7E19BDE-05DF-4B0C-970E-FCA39C1E7FF4}"/>
    <cellStyle name="Обычный 43 3" xfId="456" xr:uid="{FDA72312-E41E-4D8E-9F68-D619AB6CE247}"/>
    <cellStyle name="Обычный 44" xfId="300" xr:uid="{86D136D4-9C1D-4D13-8942-1F175A4E8401}"/>
    <cellStyle name="Обычный 44 2" xfId="459" xr:uid="{0431F452-A694-4DFC-9871-0889BD23EC87}"/>
    <cellStyle name="Обычный 44 3" xfId="458" xr:uid="{99706F6F-7E51-4B3A-B421-A3FA18EA2257}"/>
    <cellStyle name="Обычный 45" xfId="301" xr:uid="{5B0C485F-973E-41F1-A29F-3F15721EAFCA}"/>
    <cellStyle name="Обычный 45 2" xfId="461" xr:uid="{3471BA79-DEA6-42E5-8E04-28EBDC22B559}"/>
    <cellStyle name="Обычный 45 3" xfId="460" xr:uid="{85C3B7B0-8281-496D-A9E4-9791FCF09D09}"/>
    <cellStyle name="Обычный 46" xfId="302" xr:uid="{C61B898E-ED4B-4161-B78D-6E7B66EE5125}"/>
    <cellStyle name="Обычный 46 2" xfId="463" xr:uid="{E7318583-0BD0-4FF1-BB8D-F3E548606D0D}"/>
    <cellStyle name="Обычный 46 3" xfId="462" xr:uid="{574DE060-D839-4D8D-90B8-46F407F34275}"/>
    <cellStyle name="Обычный 47" xfId="303" xr:uid="{33672A03-A75C-4A8F-A4EE-12920EF609F2}"/>
    <cellStyle name="Обычный 47 2" xfId="465" xr:uid="{6BF99AD5-826B-4789-8805-59B3BDF39344}"/>
    <cellStyle name="Обычный 47 3" xfId="464" xr:uid="{A6A8EB06-8210-4675-8A96-AC7C42728950}"/>
    <cellStyle name="Обычный 48" xfId="304" xr:uid="{50A95332-8AA9-4E07-A3E8-522A8AC90170}"/>
    <cellStyle name="Обычный 48 2" xfId="467" xr:uid="{A4B3884C-75E3-44F8-BB9F-F886E736675F}"/>
    <cellStyle name="Обычный 48 3" xfId="466" xr:uid="{D954180C-DADF-4489-A105-12D356C3DC2E}"/>
    <cellStyle name="Обычный 49" xfId="305" xr:uid="{09CBBDD8-6791-4CE1-8287-A22EF0C58E0C}"/>
    <cellStyle name="Обычный 49 2" xfId="469" xr:uid="{16CB87BB-4D4E-490F-BF14-0A485F3AA647}"/>
    <cellStyle name="Обычный 49 3" xfId="468" xr:uid="{E6C7A47B-6CA5-448B-B9B3-A32A06A71B73}"/>
    <cellStyle name="Обычный 5" xfId="45" xr:uid="{5C197438-E143-49B0-BDE8-A5176AB1900E}"/>
    <cellStyle name="Обычный 5 2" xfId="98" xr:uid="{22E7B6FC-711C-448B-89BF-14EF6B810D63}"/>
    <cellStyle name="Обычный 5 2 2" xfId="471" xr:uid="{DB9FC5B5-013E-4F6C-91FB-FD4EE55049D9}"/>
    <cellStyle name="Обычный 5 2 3" xfId="470" xr:uid="{057517F2-557F-48F5-BD1E-C05862039205}"/>
    <cellStyle name="Обычный 5 2 4" xfId="307" xr:uid="{0CCAB663-A1D4-40ED-AB57-44ABA308D0E2}"/>
    <cellStyle name="Обычный 5 3" xfId="93" xr:uid="{AE2E9E84-9C43-46E2-A806-E6AAEF9B15C4}"/>
    <cellStyle name="Обычный 5 3 2" xfId="308" xr:uid="{A75183D5-D4E0-431B-A3BE-9A9C97C4A77B}"/>
    <cellStyle name="Обычный 5 4" xfId="97" xr:uid="{FE4EFA00-9832-4475-BC3A-3F9E8AF9A91B}"/>
    <cellStyle name="Обычный 5 4 2" xfId="473" xr:uid="{CB72A545-77F7-4309-A1B6-BC3EBAD60C4A}"/>
    <cellStyle name="Обычный 5 4 3" xfId="472" xr:uid="{097339A8-C067-4A6B-A8EB-56DD88633D03}"/>
    <cellStyle name="Обычный 5 4 4" xfId="306" xr:uid="{861BC8ED-9FF4-4F63-91C7-91992FF9B0DE}"/>
    <cellStyle name="Обычный 5 5" xfId="72" xr:uid="{8E926FFE-09A0-4039-8732-DB7FF657B604}"/>
    <cellStyle name="Обычный 5_Base (Jenya)10" xfId="309" xr:uid="{979B9151-9011-4798-BAA4-279BD3362191}"/>
    <cellStyle name="Обычный 50" xfId="310" xr:uid="{3D44A064-F01E-4E86-87C7-C155D7645914}"/>
    <cellStyle name="Обычный 50 2" xfId="475" xr:uid="{2FC9A5B3-8762-4396-885E-825C9E32AF49}"/>
    <cellStyle name="Обычный 50 3" xfId="474" xr:uid="{1A0C0CAD-C3DA-4C5A-93B8-28C8239263D8}"/>
    <cellStyle name="Обычный 51" xfId="311" xr:uid="{C1BB984B-850E-43C6-96B0-50EBC3A1D65F}"/>
    <cellStyle name="Обычный 52" xfId="312" xr:uid="{77F20145-BC3F-487A-9023-062CB92F43FB}"/>
    <cellStyle name="Обычный 53" xfId="313" xr:uid="{E1F856B9-58F2-430A-B07C-97CA0FDE8A57}"/>
    <cellStyle name="Обычный 54" xfId="314" xr:uid="{237C5F1E-D95A-49F2-A7ED-DAB2AB48E6E5}"/>
    <cellStyle name="Обычный 55" xfId="315" xr:uid="{1E903ED8-E448-4D37-A4ED-CA5C53EA26A1}"/>
    <cellStyle name="Обычный 56" xfId="316" xr:uid="{F52D715C-EB45-4D08-A80A-4D72874ECC1D}"/>
    <cellStyle name="Обычный 57" xfId="317" xr:uid="{38767D38-3851-45B5-AD79-69E4BC52988A}"/>
    <cellStyle name="Обычный 58" xfId="318" xr:uid="{4EB20653-0BDB-48A7-A792-E206A58A201E}"/>
    <cellStyle name="Обычный 59" xfId="319" xr:uid="{B8E3E553-C63A-40B2-BEA9-D921475DE88A}"/>
    <cellStyle name="Обычный 6" xfId="54" xr:uid="{F95C2808-C236-4002-B725-71784C43968D}"/>
    <cellStyle name="Обычный 6 2" xfId="203" xr:uid="{B72C3509-79AC-4425-A9E6-3EDEF947B82C}"/>
    <cellStyle name="Обычный 6 2 2" xfId="321" xr:uid="{D49B92AE-2F2E-47B7-89E8-96A9C5622EEB}"/>
    <cellStyle name="Обычный 6 2 2 2" xfId="477" xr:uid="{E33D90B5-E2AE-43D6-A075-575FB4A7F23B}"/>
    <cellStyle name="Обычный 6 2 2 3" xfId="476" xr:uid="{CDA73781-6095-44E8-9E04-E58F689D5D65}"/>
    <cellStyle name="Обычный 6 3" xfId="322" xr:uid="{77EF13A4-8043-4B24-9429-7F517381041B}"/>
    <cellStyle name="Обычный 6 4" xfId="320" xr:uid="{1668B1D7-EEC2-4103-8EF2-3B62328A26E5}"/>
    <cellStyle name="Обычный 6 4 2" xfId="479" xr:uid="{F549D2CC-E4FF-40C9-81E9-F5A448057781}"/>
    <cellStyle name="Обычный 6 4 3" xfId="478" xr:uid="{C4EE442D-46E6-4334-8183-B783DB12215B}"/>
    <cellStyle name="Обычный 6 5" xfId="94" xr:uid="{7F1541E6-C3E0-4BDE-8615-1C0912FEB328}"/>
    <cellStyle name="Обычный 6_Base (Jenya)10" xfId="323" xr:uid="{A0EDFDD9-126A-4DE7-BA17-F09E05139350}"/>
    <cellStyle name="Обычный 60" xfId="324" xr:uid="{1416F6C2-464F-47A6-A668-ECF71E380837}"/>
    <cellStyle name="Обычный 61" xfId="325" xr:uid="{F4AD99AB-E9C4-4359-9B09-B80B8C13AC04}"/>
    <cellStyle name="Обычный 62" xfId="326" xr:uid="{FB41A78D-79AA-4B11-AEA8-F07C25F5D9C4}"/>
    <cellStyle name="Обычный 63" xfId="327" xr:uid="{E53EB7F7-0B02-40CD-8E55-0CBF63E96325}"/>
    <cellStyle name="Обычный 64" xfId="328" xr:uid="{31350CCD-BA9A-48EB-A21B-048AE702FC82}"/>
    <cellStyle name="Обычный 65" xfId="329" xr:uid="{BD5D6E31-BB14-4544-90EC-18430FC49908}"/>
    <cellStyle name="Обычный 66" xfId="330" xr:uid="{9D4300F2-92F3-4298-A32E-0771BDFAEA0A}"/>
    <cellStyle name="Обычный 67" xfId="331" xr:uid="{34F9B4BB-B3DC-4B0B-9789-FDA7DADBF254}"/>
    <cellStyle name="Обычный 68" xfId="332" xr:uid="{ED39FD47-F8DF-4356-992B-73DF6BCD0047}"/>
    <cellStyle name="Обычный 69" xfId="333" xr:uid="{C794BED4-FEC2-4869-9F91-D452BECD331E}"/>
    <cellStyle name="Обычный 7" xfId="96" xr:uid="{3428D400-F178-450C-9348-B653B0F8B1C4}"/>
    <cellStyle name="Обычный 7 2" xfId="335" xr:uid="{BEBE9B25-5ADB-45C3-862B-23CD88C0C45A}"/>
    <cellStyle name="Обычный 7 2 2" xfId="482" xr:uid="{0B629FF5-349E-4E38-A1D2-0A39EC82D7F5}"/>
    <cellStyle name="Обычный 7 2 3" xfId="481" xr:uid="{E7EB4181-DAD8-46B7-A26B-36CBD19BC9F4}"/>
    <cellStyle name="Обычный 7 3" xfId="336" xr:uid="{47EDDE0C-8D23-42E4-9B34-FD97960D5AF0}"/>
    <cellStyle name="Обычный 7 4" xfId="483" xr:uid="{12422D63-5F00-4987-828B-FDC27E6086E8}"/>
    <cellStyle name="Обычный 7 5" xfId="480" xr:uid="{1C67B644-BDBF-4307-B39F-292404E050E7}"/>
    <cellStyle name="Обычный 7 6" xfId="334" xr:uid="{15329258-2161-4D65-971E-89338E0107F5}"/>
    <cellStyle name="Обычный 7_Base (Jenya)10" xfId="337" xr:uid="{C21D8715-EB08-4DA3-87B9-810DC2364E52}"/>
    <cellStyle name="Обычный 70" xfId="338" xr:uid="{12F7708B-5A9A-4CCF-92F7-CBF76D2A777B}"/>
    <cellStyle name="Обычный 71" xfId="339" xr:uid="{C44CDE00-23C8-44D5-9BD2-6E1DBD829F60}"/>
    <cellStyle name="Обычный 72" xfId="340" xr:uid="{AA83E7B0-E25D-408E-9AD9-A5CD66F1D8B1}"/>
    <cellStyle name="Обычный 72 2" xfId="485" xr:uid="{CDADBBF5-C28F-407E-8CB4-7348E77DFC74}"/>
    <cellStyle name="Обычный 72 3" xfId="484" xr:uid="{6CAEEE30-13DB-49F2-8974-B3570AE66385}"/>
    <cellStyle name="Обычный 73" xfId="341" xr:uid="{BF4629D7-FA00-43D5-A29F-4F1F474A1AE8}"/>
    <cellStyle name="Обычный 73 2" xfId="487" xr:uid="{B6D36D36-96FA-4C0F-BD78-BA30DE75F367}"/>
    <cellStyle name="Обычный 73 3" xfId="486" xr:uid="{84DAC317-232C-466E-956D-95E86AB8E7E2}"/>
    <cellStyle name="Обычный 74" xfId="175" xr:uid="{15E4DD2E-F4D5-4D20-90AE-D5CBFE457838}"/>
    <cellStyle name="Обычный 74 2" xfId="489" xr:uid="{5EA37379-08B0-4F2A-868B-3749121D7E81}"/>
    <cellStyle name="Обычный 74 3" xfId="488" xr:uid="{20100D20-2D82-4066-A4CB-CB099D0DFB8C}"/>
    <cellStyle name="Обычный 75" xfId="196" xr:uid="{29EE85DB-D104-4253-92AF-6BB5FAE9351E}"/>
    <cellStyle name="Обычный 76" xfId="197" xr:uid="{73CB6120-6DC3-47E8-BF08-9269769F0342}"/>
    <cellStyle name="Обычный 76 2" xfId="490" xr:uid="{8D4370E9-7ED7-49CE-ABA7-ED00C799DA01}"/>
    <cellStyle name="Обычный 77" xfId="491" xr:uid="{F4CEAA60-0899-48AC-9431-E77EBDD83D11}"/>
    <cellStyle name="Обычный 78" xfId="492" xr:uid="{8E98CEA4-B7FE-48FE-8734-D5181A0F1C35}"/>
    <cellStyle name="Обычный 79" xfId="493" xr:uid="{047630D8-B9AC-4CE0-ABF1-2C1E8DF1971B}"/>
    <cellStyle name="Обычный 8" xfId="67" xr:uid="{DBE9AD36-8343-45DF-99AE-94B95E38724F}"/>
    <cellStyle name="Обычный 8 2" xfId="343" xr:uid="{0E12D5D5-72E1-458C-A4CE-BE451CD143FB}"/>
    <cellStyle name="Обычный 8 2 2" xfId="496" xr:uid="{56DF5480-0AE1-4C4D-89EF-E5AF1DB73F72}"/>
    <cellStyle name="Обычный 8 2 3" xfId="495" xr:uid="{21A13376-0C62-4EA3-BFDA-618A44A00BD2}"/>
    <cellStyle name="Обычный 8 3" xfId="344" xr:uid="{4369DD71-3414-4213-9CFD-A5D41B46B6F9}"/>
    <cellStyle name="Обычный 8 3 2" xfId="498" xr:uid="{6D498262-73DF-4077-8E43-F646DC1F730A}"/>
    <cellStyle name="Обычный 8 3 3" xfId="497" xr:uid="{A77560BC-C03D-4F75-A4F4-36273D9A1415}"/>
    <cellStyle name="Обычный 8 4" xfId="499" xr:uid="{3ECCD349-557A-4157-BFDF-54707A4C6A54}"/>
    <cellStyle name="Обычный 8 5" xfId="494" xr:uid="{91A17A27-BDEA-4DFC-9AC2-CFBD0AD3DFBA}"/>
    <cellStyle name="Обычный 8 6" xfId="342" xr:uid="{14ABD7D5-60E8-43E3-B24D-F7B9B015AD31}"/>
    <cellStyle name="Обычный 8_Base (Jenya)10" xfId="345" xr:uid="{A242F63E-A79D-4A4F-8DED-6E1FED14F953}"/>
    <cellStyle name="Обычный 80" xfId="500" xr:uid="{4136A034-78F7-4285-94BB-23142473976D}"/>
    <cellStyle name="Обычный 81" xfId="505" xr:uid="{2987932F-EE43-4801-8CFA-DBBF8E8EEFB6}"/>
    <cellStyle name="Обычный 82" xfId="509" xr:uid="{344FE4C3-E2C3-4C14-B913-0556AB522E1A}"/>
    <cellStyle name="Обычный 83" xfId="506" xr:uid="{524C617B-0231-414A-8E4B-9AAD009E45D8}"/>
    <cellStyle name="Обычный 84" xfId="357" xr:uid="{F2A617E2-3AD6-4CA0-9685-2E022BE386E8}"/>
    <cellStyle name="Обычный 85" xfId="173" xr:uid="{D2DA5CC4-C7F5-4258-B8A1-E8DE31D111D5}"/>
    <cellStyle name="Обычный 86" xfId="510" xr:uid="{DB73BBE0-5010-4E57-8542-0F7259674F0E}"/>
    <cellStyle name="Обычный 87" xfId="125" xr:uid="{2F791C0C-8024-4FDE-94E6-BF4A958969BE}"/>
    <cellStyle name="Обычный 88" xfId="130" xr:uid="{C7EE15AA-82C9-4DA5-A198-724D4842D39B}"/>
    <cellStyle name="Обычный 89" xfId="101" xr:uid="{E252D9FE-6C5A-4A60-A39F-E2C04BC64BBE}"/>
    <cellStyle name="Обычный 9" xfId="65" xr:uid="{E370392E-95C7-4082-A506-5CAC9721E688}"/>
    <cellStyle name="Обычный 9 2" xfId="347" xr:uid="{D166A27F-E431-47B4-A221-C05BC48EF620}"/>
    <cellStyle name="Обычный 9 2 2" xfId="503" xr:uid="{B505DC17-F619-43E9-8417-AA47B97A3BA8}"/>
    <cellStyle name="Обычный 9 2 3" xfId="502" xr:uid="{363DB9CB-CD6B-4E8D-A2C2-439E670571FF}"/>
    <cellStyle name="Обычный 9 3" xfId="504" xr:uid="{4BB9D2FB-34C4-45F9-BC2A-52BC2737639C}"/>
    <cellStyle name="Обычный 9 4" xfId="501" xr:uid="{10B04385-FDB9-4B57-922F-083CF12867BB}"/>
    <cellStyle name="Обычный 9 5" xfId="346" xr:uid="{B292C9CF-56A5-4F38-B4EE-96F67359EC28}"/>
    <cellStyle name="Обычный 90" xfId="511" xr:uid="{6F23ED60-284E-4DE3-9785-8DE3519D19E6}"/>
    <cellStyle name="Обычный 91" xfId="512" xr:uid="{8FAD1544-6A86-4C79-AF6C-28F40160E04D}"/>
    <cellStyle name="Обычный_Бланк смета" xfId="513" xr:uid="{D7725AA8-E9C5-46E8-97E9-BA7834109024}"/>
    <cellStyle name="Примечание 2" xfId="348" xr:uid="{B610EB0D-FC7A-4250-A852-5A558EF8A1D4}"/>
    <cellStyle name="Примечание 2 2" xfId="349" xr:uid="{44E32760-F95D-4C46-84DA-0D779A2738A7}"/>
    <cellStyle name="Примечание 2 3" xfId="350" xr:uid="{FD5557CA-2359-4E70-BDCC-8F9A38C32586}"/>
    <cellStyle name="Примечание 2_туманяна благоустройство" xfId="351" xr:uid="{802936D6-1BEE-4E80-BD82-4DBC30DB7B4A}"/>
    <cellStyle name="Процентный 2" xfId="71" xr:uid="{5BDE4285-E5B1-4AD2-BA70-7457438F31C0}"/>
    <cellStyle name="Процентный 2 2" xfId="200" xr:uid="{53D13DCA-7E38-4F98-A3EA-28CF0A13F438}"/>
    <cellStyle name="Процентный 3" xfId="181" xr:uid="{E6FEBB61-7435-4A39-8D56-82A58A5B538F}"/>
    <cellStyle name="Процентный 4" xfId="46" xr:uid="{98D80B3E-5236-4A48-9F75-0424B3DE5D7B}"/>
    <cellStyle name="Стиль 1" xfId="352" xr:uid="{D0FCC259-5A20-4DA6-95A0-F336DCA01A4C}"/>
    <cellStyle name="Финансовый 2" xfId="3" xr:uid="{00000000-0005-0000-0000-00001A000000}"/>
    <cellStyle name="Финансовый 2 2" xfId="180" xr:uid="{6FEC67A4-FC72-4062-B4B1-88F364E70075}"/>
    <cellStyle name="Финансовый 2 2 2" xfId="508" xr:uid="{18D6B40C-519A-4C3F-83B9-74ABE07A9D63}"/>
    <cellStyle name="Финансовый 2 3" xfId="354" xr:uid="{31854379-03F4-4E17-ADDD-09649C94EF75}"/>
    <cellStyle name="Финансовый 2 4" xfId="158" xr:uid="{C4ADB0F2-2B5F-499E-8821-FB5A643A9B91}"/>
    <cellStyle name="Финансовый 2 5" xfId="138" xr:uid="{46977AFF-2897-45E3-A0CE-36172E8B0AA2}"/>
    <cellStyle name="Финансовый 2 6" xfId="110" xr:uid="{3F0684D2-C07B-42D1-BA65-E2A506DDD94F}"/>
    <cellStyle name="Финансовый 2 7" xfId="76" xr:uid="{BA1F3289-9A48-40A2-85A5-F5FB29B27DB9}"/>
    <cellStyle name="Финансовый 2 8" xfId="29" xr:uid="{FD4BBA66-4103-4D1F-95F3-A1F4EAE67AF4}"/>
    <cellStyle name="Финансовый 3" xfId="91" xr:uid="{042270A5-5248-4B68-856E-0CCD58FCCFDC}"/>
    <cellStyle name="Финансовый 3 2" xfId="355" xr:uid="{06642A72-48D4-49B3-8EC4-91D13E294368}"/>
    <cellStyle name="Финансовый 4" xfId="64" xr:uid="{29613865-B777-4095-96E8-B1832D4DC475}"/>
    <cellStyle name="Финансовый 4 2" xfId="353" xr:uid="{5632D640-D617-481C-B7F8-AB6AAB92A51F}"/>
    <cellStyle name="Финансовый 5" xfId="507" xr:uid="{B344FD27-76AC-4D0F-897D-75D35AB84D0B}"/>
    <cellStyle name="Финансовый 6" xfId="44" xr:uid="{005E6F5C-D9BF-4450-BCEF-157153346D4E}"/>
  </cellStyles>
  <dxfs count="0"/>
  <tableStyles count="0" defaultTableStyle="TableStyleMedium2" defaultPivotStyle="PivotStyleLight16"/>
  <colors>
    <mruColors>
      <color rgb="FFF53D4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7"/>
  <sheetViews>
    <sheetView topLeftCell="A450" zoomScale="85" zoomScaleNormal="85" zoomScaleSheetLayoutView="85" workbookViewId="0">
      <selection activeCell="N147" sqref="N147"/>
    </sheetView>
  </sheetViews>
  <sheetFormatPr defaultColWidth="9.140625" defaultRowHeight="12.75"/>
  <cols>
    <col min="1" max="1" width="5.42578125" style="81" customWidth="1"/>
    <col min="2" max="2" width="49.42578125" style="6" customWidth="1"/>
    <col min="3" max="3" width="5.7109375" style="6" customWidth="1"/>
    <col min="4" max="4" width="9.7109375" style="82" customWidth="1"/>
    <col min="5" max="5" width="12.28515625" style="82" customWidth="1"/>
    <col min="6" max="6" width="13.42578125" style="82" customWidth="1"/>
    <col min="7" max="7" width="61.28515625" style="6" customWidth="1"/>
    <col min="8" max="8" width="6.7109375" style="109" customWidth="1"/>
    <col min="9" max="9" width="8.28515625" style="6" customWidth="1"/>
    <col min="10" max="10" width="9.7109375" style="83" customWidth="1"/>
    <col min="11" max="11" width="13.140625" style="269" customWidth="1"/>
    <col min="12" max="12" width="13.42578125" style="83" customWidth="1"/>
    <col min="13" max="13" width="29.7109375" style="4" customWidth="1"/>
    <col min="14" max="14" width="24.85546875" style="5" customWidth="1"/>
    <col min="15" max="15" width="11.5703125" style="6" customWidth="1"/>
    <col min="16" max="16" width="13.42578125" style="6" customWidth="1"/>
    <col min="17" max="17" width="28" style="6" customWidth="1"/>
    <col min="18" max="18" width="25.28515625" style="6" customWidth="1"/>
    <col min="19" max="19" width="15.7109375" style="6" customWidth="1"/>
    <col min="20" max="16384" width="9.140625" style="6"/>
  </cols>
  <sheetData>
    <row r="1" spans="1:17" s="98" customFormat="1" ht="15" customHeight="1">
      <c r="A1" s="319" t="s">
        <v>199</v>
      </c>
      <c r="B1" s="319"/>
      <c r="C1" s="319"/>
      <c r="D1" s="95"/>
      <c r="E1" s="96"/>
      <c r="F1" s="96"/>
      <c r="G1" s="96"/>
      <c r="H1" s="320"/>
      <c r="I1" s="321"/>
      <c r="J1" s="322"/>
      <c r="K1" s="97"/>
    </row>
    <row r="2" spans="1:17" s="98" customFormat="1" ht="15" customHeight="1">
      <c r="A2" s="319" t="s">
        <v>200</v>
      </c>
      <c r="B2" s="319"/>
      <c r="C2" s="319"/>
      <c r="D2" s="95"/>
      <c r="E2" s="96"/>
      <c r="F2" s="96"/>
      <c r="G2" s="96"/>
      <c r="H2" s="320"/>
      <c r="I2" s="321"/>
      <c r="J2" s="322"/>
      <c r="K2" s="97"/>
    </row>
    <row r="3" spans="1:17" s="98" customFormat="1" ht="15" customHeight="1">
      <c r="A3" s="313" t="s">
        <v>201</v>
      </c>
      <c r="B3" s="318"/>
      <c r="C3" s="313"/>
      <c r="D3" s="95"/>
      <c r="E3" s="96"/>
      <c r="F3" s="96"/>
      <c r="G3" s="96"/>
      <c r="H3" s="320"/>
      <c r="I3" s="321"/>
      <c r="J3" s="322"/>
      <c r="K3" s="97"/>
    </row>
    <row r="4" spans="1:17" s="98" customFormat="1" ht="15" customHeight="1">
      <c r="A4" s="96" t="s">
        <v>202</v>
      </c>
      <c r="B4" s="96"/>
      <c r="C4" s="96"/>
      <c r="D4" s="95"/>
      <c r="E4" s="96"/>
      <c r="F4" s="96"/>
      <c r="G4" s="96"/>
      <c r="H4" s="323"/>
      <c r="I4" s="324"/>
      <c r="J4" s="322"/>
      <c r="K4" s="97"/>
    </row>
    <row r="5" spans="1:17" s="98" customFormat="1">
      <c r="A5" s="99" t="s">
        <v>203</v>
      </c>
      <c r="B5" s="96"/>
      <c r="C5" s="96"/>
      <c r="D5" s="95"/>
      <c r="E5" s="96"/>
      <c r="F5" s="96"/>
      <c r="G5" s="96"/>
      <c r="H5" s="323"/>
      <c r="I5" s="324"/>
      <c r="J5" s="325"/>
      <c r="K5" s="97"/>
      <c r="L5" s="97"/>
    </row>
    <row r="6" spans="1:17" s="101" customFormat="1" ht="39.950000000000003" customHeight="1">
      <c r="A6" s="581" t="s">
        <v>74</v>
      </c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100"/>
      <c r="M6" s="100"/>
      <c r="N6" s="100"/>
    </row>
    <row r="7" spans="1:17" s="98" customFormat="1">
      <c r="A7" s="110" t="s">
        <v>78</v>
      </c>
      <c r="B7" s="96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P7" s="102"/>
      <c r="Q7" s="102"/>
    </row>
    <row r="8" spans="1:17" s="98" customFormat="1" ht="14.25" customHeight="1">
      <c r="A8" s="589" t="s">
        <v>187</v>
      </c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103"/>
      <c r="P8" s="102"/>
      <c r="Q8" s="102"/>
    </row>
    <row r="9" spans="1:17">
      <c r="A9" s="590" t="s">
        <v>166</v>
      </c>
      <c r="B9" s="590"/>
      <c r="C9" s="590"/>
      <c r="D9" s="591"/>
      <c r="E9" s="591"/>
      <c r="F9" s="592"/>
      <c r="G9" s="590"/>
      <c r="H9" s="590"/>
      <c r="I9" s="590"/>
      <c r="J9" s="593"/>
      <c r="K9" s="593"/>
      <c r="L9" s="593"/>
    </row>
    <row r="10" spans="1:17">
      <c r="A10" s="7" t="s">
        <v>73</v>
      </c>
      <c r="B10" s="244"/>
      <c r="C10" s="244"/>
      <c r="D10" s="245"/>
      <c r="E10" s="8"/>
      <c r="F10" s="246"/>
      <c r="G10" s="244"/>
      <c r="H10" s="244"/>
      <c r="I10" s="247"/>
      <c r="J10" s="247"/>
      <c r="K10" s="246"/>
      <c r="L10" s="247"/>
    </row>
    <row r="11" spans="1:17" s="3" customFormat="1" ht="13.5" thickBot="1">
      <c r="A11" s="594" t="s">
        <v>79</v>
      </c>
      <c r="B11" s="594"/>
      <c r="C11" s="594"/>
      <c r="D11" s="594"/>
      <c r="E11" s="594"/>
      <c r="F11" s="594"/>
      <c r="G11" s="594"/>
      <c r="H11" s="594"/>
      <c r="I11" s="594"/>
      <c r="K11" s="268"/>
      <c r="M11" s="1"/>
      <c r="N11" s="2"/>
    </row>
    <row r="12" spans="1:17" ht="26.25" thickBot="1">
      <c r="A12" s="9" t="s">
        <v>0</v>
      </c>
      <c r="B12" s="259" t="s">
        <v>1</v>
      </c>
      <c r="C12" s="10" t="s">
        <v>2</v>
      </c>
      <c r="D12" s="260" t="s">
        <v>3</v>
      </c>
      <c r="E12" s="11" t="s">
        <v>4</v>
      </c>
      <c r="F12" s="208" t="s">
        <v>5</v>
      </c>
      <c r="G12" s="10" t="s">
        <v>6</v>
      </c>
      <c r="H12" s="10" t="s">
        <v>2</v>
      </c>
      <c r="I12" s="10" t="s">
        <v>7</v>
      </c>
      <c r="J12" s="11" t="s">
        <v>3</v>
      </c>
      <c r="K12" s="11" t="s">
        <v>4</v>
      </c>
      <c r="L12" s="12" t="s">
        <v>8</v>
      </c>
      <c r="M12" s="104" t="s">
        <v>49</v>
      </c>
    </row>
    <row r="13" spans="1:17" ht="15" customHeight="1" thickBot="1">
      <c r="A13" s="13"/>
      <c r="B13" s="14" t="s">
        <v>9</v>
      </c>
      <c r="C13" s="15"/>
      <c r="D13" s="15"/>
      <c r="E13" s="14"/>
      <c r="F13" s="16"/>
      <c r="G13" s="17"/>
      <c r="H13" s="17"/>
      <c r="I13" s="17"/>
      <c r="J13" s="18"/>
      <c r="K13" s="18"/>
      <c r="L13" s="19"/>
      <c r="M13" s="105"/>
    </row>
    <row r="14" spans="1:17" ht="15" customHeight="1" thickBot="1">
      <c r="A14" s="20"/>
      <c r="B14" s="21" t="s">
        <v>10</v>
      </c>
      <c r="C14" s="22"/>
      <c r="D14" s="23"/>
      <c r="E14" s="23"/>
      <c r="F14" s="23"/>
      <c r="G14" s="22"/>
      <c r="H14" s="21"/>
      <c r="I14" s="22"/>
      <c r="J14" s="24"/>
      <c r="K14" s="44"/>
      <c r="L14" s="25"/>
      <c r="M14" s="106"/>
    </row>
    <row r="15" spans="1:17" ht="15" customHeight="1">
      <c r="A15" s="554">
        <f>IF(ISBLANK(D15),"",COUNTA(D$14:D15))</f>
        <v>1</v>
      </c>
      <c r="B15" s="595" t="s">
        <v>59</v>
      </c>
      <c r="C15" s="579" t="s">
        <v>11</v>
      </c>
      <c r="D15" s="580">
        <f>179.58+19.12+5</f>
        <v>203.70000000000002</v>
      </c>
      <c r="E15" s="580">
        <f>240/1.2</f>
        <v>200</v>
      </c>
      <c r="F15" s="580">
        <f>E15*D15</f>
        <v>40740</v>
      </c>
      <c r="G15" s="255" t="s">
        <v>12</v>
      </c>
      <c r="H15" s="243" t="s">
        <v>13</v>
      </c>
      <c r="I15" s="26">
        <v>0.2</v>
      </c>
      <c r="J15" s="26">
        <f>D15*I15</f>
        <v>40.740000000000009</v>
      </c>
      <c r="K15" s="124">
        <f>458.33/10</f>
        <v>45.832999999999998</v>
      </c>
      <c r="L15" s="270">
        <f>J15*K15</f>
        <v>1867.2364200000004</v>
      </c>
      <c r="M15" s="271" t="s">
        <v>171</v>
      </c>
      <c r="O15" s="6" t="s">
        <v>51</v>
      </c>
      <c r="P15" s="6" t="s">
        <v>54</v>
      </c>
    </row>
    <row r="16" spans="1:17" ht="15" customHeight="1">
      <c r="A16" s="561"/>
      <c r="B16" s="596"/>
      <c r="C16" s="563"/>
      <c r="D16" s="559"/>
      <c r="E16" s="559"/>
      <c r="F16" s="559"/>
      <c r="G16" s="27" t="s">
        <v>14</v>
      </c>
      <c r="H16" s="235" t="s">
        <v>15</v>
      </c>
      <c r="I16" s="28">
        <v>3.2</v>
      </c>
      <c r="J16" s="28">
        <f>D15*I16</f>
        <v>651.84000000000015</v>
      </c>
      <c r="K16" s="28">
        <v>3</v>
      </c>
      <c r="L16" s="29">
        <f t="shared" ref="L16:L20" si="0">K16*J16</f>
        <v>1955.5200000000004</v>
      </c>
      <c r="M16" s="105" t="s">
        <v>172</v>
      </c>
    </row>
    <row r="17" spans="1:19" s="30" customFormat="1" ht="15" customHeight="1">
      <c r="A17" s="561"/>
      <c r="B17" s="596"/>
      <c r="C17" s="563"/>
      <c r="D17" s="559"/>
      <c r="E17" s="559"/>
      <c r="F17" s="559"/>
      <c r="G17" s="27" t="s">
        <v>16</v>
      </c>
      <c r="H17" s="235" t="s">
        <v>15</v>
      </c>
      <c r="I17" s="28">
        <v>1.8</v>
      </c>
      <c r="J17" s="28">
        <f>D15*I17</f>
        <v>366.66</v>
      </c>
      <c r="K17" s="28">
        <f>152.5/25</f>
        <v>6.1</v>
      </c>
      <c r="L17" s="29">
        <f t="shared" si="0"/>
        <v>2236.6260000000002</v>
      </c>
      <c r="M17" s="105" t="s">
        <v>173</v>
      </c>
      <c r="N17" s="5"/>
    </row>
    <row r="18" spans="1:19" s="30" customFormat="1" ht="15" customHeight="1">
      <c r="A18" s="554">
        <f>IF(ISBLANK(D18),"",COUNTA(D$14:D18))</f>
        <v>2</v>
      </c>
      <c r="B18" s="576" t="s">
        <v>35</v>
      </c>
      <c r="C18" s="563" t="s">
        <v>11</v>
      </c>
      <c r="D18" s="559">
        <f>D15</f>
        <v>203.70000000000002</v>
      </c>
      <c r="E18" s="559">
        <f>87.12/1.2</f>
        <v>72.600000000000009</v>
      </c>
      <c r="F18" s="559">
        <f>E18*D18</f>
        <v>14788.620000000003</v>
      </c>
      <c r="G18" s="234" t="s">
        <v>17</v>
      </c>
      <c r="H18" s="235" t="s">
        <v>13</v>
      </c>
      <c r="I18" s="28">
        <v>0.2</v>
      </c>
      <c r="J18" s="28">
        <f>I18*D18</f>
        <v>40.740000000000009</v>
      </c>
      <c r="K18" s="272">
        <f>70/10</f>
        <v>7</v>
      </c>
      <c r="L18" s="29">
        <f t="shared" si="0"/>
        <v>285.18000000000006</v>
      </c>
      <c r="M18" s="105" t="s">
        <v>174</v>
      </c>
      <c r="N18" s="31"/>
      <c r="O18" s="32" t="s">
        <v>52</v>
      </c>
    </row>
    <row r="19" spans="1:19" s="30" customFormat="1" ht="15" customHeight="1">
      <c r="A19" s="555"/>
      <c r="B19" s="576"/>
      <c r="C19" s="563"/>
      <c r="D19" s="559"/>
      <c r="E19" s="559"/>
      <c r="F19" s="559"/>
      <c r="G19" s="33" t="s">
        <v>48</v>
      </c>
      <c r="H19" s="235" t="s">
        <v>13</v>
      </c>
      <c r="I19" s="34">
        <v>0.25</v>
      </c>
      <c r="J19" s="28">
        <f>D18*I19</f>
        <v>50.925000000000004</v>
      </c>
      <c r="K19" s="273">
        <f>28.26/1.2*14/10</f>
        <v>32.97</v>
      </c>
      <c r="L19" s="29">
        <f t="shared" si="0"/>
        <v>1678.9972500000001</v>
      </c>
      <c r="M19" s="105" t="s">
        <v>175</v>
      </c>
      <c r="N19" s="31"/>
      <c r="O19" s="32" t="s">
        <v>50</v>
      </c>
    </row>
    <row r="20" spans="1:19" s="30" customFormat="1" ht="15" customHeight="1">
      <c r="A20" s="225">
        <f>IF(ISBLANK(D20),"",COUNTA(D$14:D20))</f>
        <v>3</v>
      </c>
      <c r="B20" s="35" t="s">
        <v>63</v>
      </c>
      <c r="C20" s="36" t="s">
        <v>40</v>
      </c>
      <c r="D20" s="240">
        <v>363.35</v>
      </c>
      <c r="E20" s="240">
        <f>87.12/1.2</f>
        <v>72.600000000000009</v>
      </c>
      <c r="F20" s="240">
        <f>E20*D20</f>
        <v>26379.210000000006</v>
      </c>
      <c r="G20" s="37" t="s">
        <v>62</v>
      </c>
      <c r="H20" s="36" t="s">
        <v>15</v>
      </c>
      <c r="I20" s="36">
        <v>0.183</v>
      </c>
      <c r="J20" s="38">
        <f>D20*I20</f>
        <v>66.493049999999997</v>
      </c>
      <c r="K20" s="38">
        <f>133.35/30</f>
        <v>4.4449999999999994</v>
      </c>
      <c r="L20" s="274">
        <f t="shared" si="0"/>
        <v>295.56160724999995</v>
      </c>
      <c r="M20" s="275" t="s">
        <v>180</v>
      </c>
      <c r="N20" s="31"/>
      <c r="O20" s="32"/>
    </row>
    <row r="21" spans="1:19" s="30" customFormat="1" ht="15" customHeight="1" thickBot="1">
      <c r="A21" s="225">
        <f>IF(ISBLANK(D21),"",COUNTA(D$14:D21))</f>
        <v>4</v>
      </c>
      <c r="B21" s="39" t="s">
        <v>47</v>
      </c>
      <c r="C21" s="236" t="s">
        <v>22</v>
      </c>
      <c r="D21" s="40">
        <f>1.26+1.64</f>
        <v>2.9</v>
      </c>
      <c r="E21" s="40">
        <f>125/1.2</f>
        <v>104.16666666666667</v>
      </c>
      <c r="F21" s="40">
        <f>E21*D21</f>
        <v>302.08333333333331</v>
      </c>
      <c r="G21" s="41" t="s">
        <v>76</v>
      </c>
      <c r="H21" s="236" t="s">
        <v>26</v>
      </c>
      <c r="I21" s="42">
        <v>1.01</v>
      </c>
      <c r="J21" s="42">
        <f>I21*D21</f>
        <v>2.9289999999999998</v>
      </c>
      <c r="K21" s="26">
        <v>674.9</v>
      </c>
      <c r="L21" s="43">
        <f t="shared" ref="L21" si="1">K21*J21</f>
        <v>1976.7820999999999</v>
      </c>
      <c r="M21" s="105"/>
      <c r="N21" s="5"/>
    </row>
    <row r="22" spans="1:19" s="30" customFormat="1" ht="15" customHeight="1" thickBot="1">
      <c r="A22" s="20"/>
      <c r="B22" s="21" t="s">
        <v>20</v>
      </c>
      <c r="C22" s="22"/>
      <c r="D22" s="21"/>
      <c r="E22" s="21"/>
      <c r="F22" s="23"/>
      <c r="G22" s="22"/>
      <c r="H22" s="21"/>
      <c r="I22" s="44"/>
      <c r="J22" s="44"/>
      <c r="K22" s="44"/>
      <c r="L22" s="45"/>
      <c r="M22" s="107"/>
      <c r="N22" s="5"/>
    </row>
    <row r="23" spans="1:19" s="30" customFormat="1" ht="15" customHeight="1">
      <c r="A23" s="554">
        <f>IF(ISBLANK(D23),"",COUNTA(D$14:D23))</f>
        <v>5</v>
      </c>
      <c r="B23" s="578" t="s">
        <v>57</v>
      </c>
      <c r="C23" s="579" t="s">
        <v>11</v>
      </c>
      <c r="D23" s="580">
        <v>504.36</v>
      </c>
      <c r="E23" s="580">
        <f>210.54/1.2</f>
        <v>175.45</v>
      </c>
      <c r="F23" s="580">
        <f>E23*D23</f>
        <v>88489.962</v>
      </c>
      <c r="G23" s="255" t="s">
        <v>17</v>
      </c>
      <c r="H23" s="243" t="s">
        <v>13</v>
      </c>
      <c r="I23" s="26">
        <v>0.2</v>
      </c>
      <c r="J23" s="26">
        <f>I23*D23</f>
        <v>100.87200000000001</v>
      </c>
      <c r="K23" s="272">
        <f>70/10</f>
        <v>7</v>
      </c>
      <c r="L23" s="29">
        <f t="shared" ref="L23" si="2">K23*J23</f>
        <v>706.10400000000004</v>
      </c>
      <c r="M23" s="105" t="s">
        <v>174</v>
      </c>
      <c r="N23" s="5"/>
      <c r="S23" s="575"/>
    </row>
    <row r="24" spans="1:19" s="30" customFormat="1" ht="15" customHeight="1">
      <c r="A24" s="561"/>
      <c r="B24" s="577"/>
      <c r="C24" s="563"/>
      <c r="D24" s="559"/>
      <c r="E24" s="559"/>
      <c r="F24" s="559"/>
      <c r="G24" s="27" t="s">
        <v>36</v>
      </c>
      <c r="H24" s="235" t="s">
        <v>15</v>
      </c>
      <c r="I24" s="28">
        <v>17.5</v>
      </c>
      <c r="J24" s="28">
        <f>D23*I24</f>
        <v>8826.3000000000011</v>
      </c>
      <c r="K24" s="272">
        <f>98/30</f>
        <v>3.2666666666666666</v>
      </c>
      <c r="L24" s="29">
        <f>K24*J24</f>
        <v>28832.58</v>
      </c>
      <c r="M24" s="105" t="s">
        <v>176</v>
      </c>
      <c r="N24" s="5"/>
      <c r="S24" s="575"/>
    </row>
    <row r="25" spans="1:19" s="30" customFormat="1" ht="15" customHeight="1">
      <c r="A25" s="561"/>
      <c r="B25" s="577"/>
      <c r="C25" s="563"/>
      <c r="D25" s="559"/>
      <c r="E25" s="559"/>
      <c r="F25" s="559"/>
      <c r="G25" s="27" t="s">
        <v>19</v>
      </c>
      <c r="H25" s="235" t="s">
        <v>18</v>
      </c>
      <c r="I25" s="28">
        <v>0.28999999999999998</v>
      </c>
      <c r="J25" s="28">
        <f>D23*I25</f>
        <v>146.26439999999999</v>
      </c>
      <c r="K25" s="28">
        <f>433.35/50</f>
        <v>8.6669999999999998</v>
      </c>
      <c r="L25" s="29">
        <f>K25*J25</f>
        <v>1267.6735547999999</v>
      </c>
      <c r="M25" s="105" t="s">
        <v>177</v>
      </c>
      <c r="N25" s="5"/>
      <c r="S25" s="575"/>
    </row>
    <row r="26" spans="1:19" s="30" customFormat="1" ht="15" customHeight="1">
      <c r="A26" s="555"/>
      <c r="B26" s="577"/>
      <c r="C26" s="563"/>
      <c r="D26" s="559"/>
      <c r="E26" s="559"/>
      <c r="F26" s="559"/>
      <c r="G26" s="27" t="s">
        <v>25</v>
      </c>
      <c r="H26" s="235" t="s">
        <v>37</v>
      </c>
      <c r="I26" s="28">
        <v>0.7</v>
      </c>
      <c r="J26" s="28">
        <f>I26*D23</f>
        <v>353.05199999999996</v>
      </c>
      <c r="K26" s="28">
        <f>19.17/3</f>
        <v>6.3900000000000006</v>
      </c>
      <c r="L26" s="29">
        <f>J26*K26</f>
        <v>2256.0022800000002</v>
      </c>
      <c r="M26" s="105" t="s">
        <v>178</v>
      </c>
      <c r="N26" s="5"/>
      <c r="S26" s="241"/>
    </row>
    <row r="27" spans="1:19" s="30" customFormat="1" ht="15" customHeight="1">
      <c r="A27" s="554">
        <f>IF(ISBLANK(D27),"",COUNTA(D$14:D27))</f>
        <v>6</v>
      </c>
      <c r="B27" s="577" t="s">
        <v>60</v>
      </c>
      <c r="C27" s="573" t="s">
        <v>11</v>
      </c>
      <c r="D27" s="574">
        <v>337.14</v>
      </c>
      <c r="E27" s="574">
        <f>210.54/1.2</f>
        <v>175.45</v>
      </c>
      <c r="F27" s="574">
        <f>E27*D27</f>
        <v>59151.212999999996</v>
      </c>
      <c r="G27" s="47" t="s">
        <v>36</v>
      </c>
      <c r="H27" s="48" t="s">
        <v>15</v>
      </c>
      <c r="I27" s="49">
        <v>15</v>
      </c>
      <c r="J27" s="49">
        <f>D27*I27</f>
        <v>5057.0999999999995</v>
      </c>
      <c r="K27" s="272">
        <f>98/30</f>
        <v>3.2666666666666666</v>
      </c>
      <c r="L27" s="29">
        <f>K27*J27</f>
        <v>16519.859999999997</v>
      </c>
      <c r="M27" s="105" t="s">
        <v>176</v>
      </c>
      <c r="N27" s="5"/>
      <c r="S27" s="241"/>
    </row>
    <row r="28" spans="1:19" s="30" customFormat="1" ht="15" customHeight="1">
      <c r="A28" s="561"/>
      <c r="B28" s="577"/>
      <c r="C28" s="573"/>
      <c r="D28" s="574"/>
      <c r="E28" s="574"/>
      <c r="F28" s="574"/>
      <c r="G28" s="50" t="s">
        <v>12</v>
      </c>
      <c r="H28" s="48" t="s">
        <v>13</v>
      </c>
      <c r="I28" s="49">
        <v>0.35</v>
      </c>
      <c r="J28" s="49">
        <f>I28*D27</f>
        <v>117.99899999999998</v>
      </c>
      <c r="K28" s="124">
        <f>458.33/10</f>
        <v>45.832999999999998</v>
      </c>
      <c r="L28" s="270">
        <f>J28*K28</f>
        <v>5408.2481669999988</v>
      </c>
      <c r="M28" s="271" t="s">
        <v>171</v>
      </c>
      <c r="N28" s="5"/>
      <c r="S28" s="241"/>
    </row>
    <row r="29" spans="1:19" s="30" customFormat="1" ht="15" customHeight="1">
      <c r="A29" s="561"/>
      <c r="B29" s="577"/>
      <c r="C29" s="573"/>
      <c r="D29" s="574"/>
      <c r="E29" s="574"/>
      <c r="F29" s="574"/>
      <c r="G29" s="47" t="s">
        <v>19</v>
      </c>
      <c r="H29" s="48" t="s">
        <v>18</v>
      </c>
      <c r="I29" s="49">
        <v>0.28999999999999998</v>
      </c>
      <c r="J29" s="49">
        <f>D27*I29</f>
        <v>97.770599999999988</v>
      </c>
      <c r="K29" s="28">
        <f>433.35/50</f>
        <v>8.6669999999999998</v>
      </c>
      <c r="L29" s="29">
        <f>K29*J29</f>
        <v>847.37779019999982</v>
      </c>
      <c r="M29" s="105" t="s">
        <v>177</v>
      </c>
      <c r="N29" s="5"/>
      <c r="S29" s="241"/>
    </row>
    <row r="30" spans="1:19" s="30" customFormat="1" ht="15" customHeight="1">
      <c r="A30" s="555"/>
      <c r="B30" s="577"/>
      <c r="C30" s="573"/>
      <c r="D30" s="574"/>
      <c r="E30" s="574"/>
      <c r="F30" s="574"/>
      <c r="G30" s="47" t="s">
        <v>25</v>
      </c>
      <c r="H30" s="48" t="s">
        <v>58</v>
      </c>
      <c r="I30" s="49">
        <v>0.7</v>
      </c>
      <c r="J30" s="49">
        <f>I30*D27</f>
        <v>235.99799999999996</v>
      </c>
      <c r="K30" s="28">
        <f>19.17/3</f>
        <v>6.3900000000000006</v>
      </c>
      <c r="L30" s="29">
        <f>J30*K30</f>
        <v>1508.0272199999999</v>
      </c>
      <c r="M30" s="105" t="s">
        <v>178</v>
      </c>
      <c r="N30" s="5"/>
      <c r="S30" s="241"/>
    </row>
    <row r="31" spans="1:19" s="30" customFormat="1" ht="15" customHeight="1">
      <c r="A31" s="554">
        <f>IF(ISBLANK(D31),"",COUNTA(D$14:D31))</f>
        <v>7</v>
      </c>
      <c r="B31" s="577" t="s">
        <v>38</v>
      </c>
      <c r="C31" s="573" t="s">
        <v>11</v>
      </c>
      <c r="D31" s="574">
        <f>636.96+152.42+22.59</f>
        <v>811.97</v>
      </c>
      <c r="E31" s="574">
        <f>101.64/1.2</f>
        <v>84.7</v>
      </c>
      <c r="F31" s="574">
        <f>E31*D31</f>
        <v>68773.859000000011</v>
      </c>
      <c r="G31" s="50" t="s">
        <v>17</v>
      </c>
      <c r="H31" s="48" t="s">
        <v>13</v>
      </c>
      <c r="I31" s="49">
        <v>0.2</v>
      </c>
      <c r="J31" s="49">
        <f>I31*D31</f>
        <v>162.39400000000001</v>
      </c>
      <c r="K31" s="272">
        <f>70/10</f>
        <v>7</v>
      </c>
      <c r="L31" s="29">
        <f t="shared" ref="L31" si="3">K31*J31</f>
        <v>1136.758</v>
      </c>
      <c r="M31" s="105" t="s">
        <v>174</v>
      </c>
      <c r="N31" s="5"/>
      <c r="S31" s="241"/>
    </row>
    <row r="32" spans="1:19" s="30" customFormat="1" ht="15" customHeight="1">
      <c r="A32" s="555"/>
      <c r="B32" s="577"/>
      <c r="C32" s="573"/>
      <c r="D32" s="574"/>
      <c r="E32" s="574"/>
      <c r="F32" s="574"/>
      <c r="G32" s="47" t="s">
        <v>16</v>
      </c>
      <c r="H32" s="48" t="s">
        <v>15</v>
      </c>
      <c r="I32" s="49">
        <v>1.8</v>
      </c>
      <c r="J32" s="49">
        <f>I32*D31</f>
        <v>1461.546</v>
      </c>
      <c r="K32" s="28">
        <f>152.5/25</f>
        <v>6.1</v>
      </c>
      <c r="L32" s="29">
        <f t="shared" ref="L32:L33" si="4">K32*J32</f>
        <v>8915.4305999999997</v>
      </c>
      <c r="M32" s="105" t="s">
        <v>173</v>
      </c>
      <c r="N32" s="5"/>
      <c r="S32" s="241"/>
    </row>
    <row r="33" spans="1:19" ht="15" customHeight="1">
      <c r="A33" s="554">
        <f>IF(ISBLANK(D33),"",COUNTA(D$14:D33))</f>
        <v>8</v>
      </c>
      <c r="B33" s="576" t="s">
        <v>39</v>
      </c>
      <c r="C33" s="563" t="s">
        <v>11</v>
      </c>
      <c r="D33" s="559">
        <f>D31</f>
        <v>811.97</v>
      </c>
      <c r="E33" s="559">
        <f>72.6/1.2</f>
        <v>60.5</v>
      </c>
      <c r="F33" s="559">
        <f>E33*D33</f>
        <v>49124.185000000005</v>
      </c>
      <c r="G33" s="234" t="s">
        <v>17</v>
      </c>
      <c r="H33" s="235" t="s">
        <v>13</v>
      </c>
      <c r="I33" s="28">
        <v>0.2</v>
      </c>
      <c r="J33" s="28">
        <f>I33*D33</f>
        <v>162.39400000000001</v>
      </c>
      <c r="K33" s="272">
        <f>70/10</f>
        <v>7</v>
      </c>
      <c r="L33" s="29">
        <f t="shared" si="4"/>
        <v>1136.758</v>
      </c>
      <c r="M33" s="105" t="s">
        <v>174</v>
      </c>
      <c r="O33" s="30"/>
      <c r="P33" s="30"/>
      <c r="S33" s="575"/>
    </row>
    <row r="34" spans="1:19" ht="15" customHeight="1">
      <c r="A34" s="555"/>
      <c r="B34" s="576"/>
      <c r="C34" s="563"/>
      <c r="D34" s="559"/>
      <c r="E34" s="559"/>
      <c r="F34" s="559"/>
      <c r="G34" s="33" t="s">
        <v>21</v>
      </c>
      <c r="H34" s="235" t="s">
        <v>13</v>
      </c>
      <c r="I34" s="34">
        <v>0.25</v>
      </c>
      <c r="J34" s="28">
        <f>D33*I34</f>
        <v>202.99250000000001</v>
      </c>
      <c r="K34" s="28">
        <f>29.79/1.2*14/10</f>
        <v>34.755000000000003</v>
      </c>
      <c r="L34" s="29">
        <f>K34*J34</f>
        <v>7055.0043375000005</v>
      </c>
      <c r="M34" s="105" t="s">
        <v>175</v>
      </c>
      <c r="O34" s="30"/>
      <c r="P34" s="30"/>
      <c r="S34" s="575"/>
    </row>
    <row r="35" spans="1:19" ht="15" customHeight="1">
      <c r="A35" s="225">
        <f>IF(ISBLANK(D35),"",COUNTA(D$14:D35))</f>
        <v>9</v>
      </c>
      <c r="B35" s="35" t="s">
        <v>61</v>
      </c>
      <c r="C35" s="36" t="s">
        <v>40</v>
      </c>
      <c r="D35" s="240">
        <v>1314.93</v>
      </c>
      <c r="E35" s="240">
        <f>72.6/1.2</f>
        <v>60.5</v>
      </c>
      <c r="F35" s="240">
        <f>E35*D35</f>
        <v>79553.264999999999</v>
      </c>
      <c r="G35" s="37" t="s">
        <v>62</v>
      </c>
      <c r="H35" s="36" t="s">
        <v>15</v>
      </c>
      <c r="I35" s="36">
        <v>0.183</v>
      </c>
      <c r="J35" s="38">
        <f>D35*I35</f>
        <v>240.63219000000001</v>
      </c>
      <c r="K35" s="38">
        <f t="shared" ref="K35:K36" si="5">133.35/30</f>
        <v>4.4449999999999994</v>
      </c>
      <c r="L35" s="274">
        <f t="shared" ref="L35:L36" si="6">K35*J35</f>
        <v>1069.6100845499998</v>
      </c>
      <c r="M35" s="275" t="s">
        <v>180</v>
      </c>
      <c r="O35" s="30"/>
      <c r="P35" s="30"/>
      <c r="S35" s="241"/>
    </row>
    <row r="36" spans="1:19" ht="15" customHeight="1">
      <c r="A36" s="225">
        <f>IF(ISBLANK(D36),"",COUNTA(D$14:D36))</f>
        <v>10</v>
      </c>
      <c r="B36" s="35" t="s">
        <v>75</v>
      </c>
      <c r="C36" s="36" t="s">
        <v>40</v>
      </c>
      <c r="D36" s="240">
        <f>5.11*0.15+20.44*0.14</f>
        <v>3.6281000000000008</v>
      </c>
      <c r="E36" s="240">
        <f>72.6/1.2</f>
        <v>60.5</v>
      </c>
      <c r="F36" s="240">
        <f>E36*D36</f>
        <v>219.50005000000004</v>
      </c>
      <c r="G36" s="37" t="s">
        <v>62</v>
      </c>
      <c r="H36" s="36" t="s">
        <v>15</v>
      </c>
      <c r="I36" s="36">
        <v>0.183</v>
      </c>
      <c r="J36" s="38">
        <f>D36*I36</f>
        <v>0.6639423000000001</v>
      </c>
      <c r="K36" s="38">
        <f t="shared" si="5"/>
        <v>4.4449999999999994</v>
      </c>
      <c r="L36" s="274">
        <f t="shared" si="6"/>
        <v>2.9512235234999999</v>
      </c>
      <c r="M36" s="275" t="s">
        <v>180</v>
      </c>
      <c r="O36" s="30"/>
      <c r="P36" s="30"/>
      <c r="S36" s="241"/>
    </row>
    <row r="37" spans="1:19" ht="15" customHeight="1">
      <c r="A37" s="554">
        <f>IF(ISBLANK(D37),"",COUNTA(D$14:D37))</f>
        <v>11</v>
      </c>
      <c r="B37" s="568" t="s">
        <v>66</v>
      </c>
      <c r="C37" s="569" t="s">
        <v>27</v>
      </c>
      <c r="D37" s="558">
        <v>10.42</v>
      </c>
      <c r="E37" s="558">
        <f>130.68/1.2</f>
        <v>108.9</v>
      </c>
      <c r="F37" s="558">
        <f>D37*E37</f>
        <v>1134.7380000000001</v>
      </c>
      <c r="G37" s="51" t="s">
        <v>36</v>
      </c>
      <c r="H37" s="238" t="s">
        <v>24</v>
      </c>
      <c r="I37" s="52">
        <v>3</v>
      </c>
      <c r="J37" s="53">
        <f>D37*I37</f>
        <v>31.259999999999998</v>
      </c>
      <c r="K37" s="272">
        <f>98/30</f>
        <v>3.2666666666666666</v>
      </c>
      <c r="L37" s="29">
        <f>K37*J37</f>
        <v>102.11599999999999</v>
      </c>
      <c r="M37" s="105" t="s">
        <v>176</v>
      </c>
      <c r="O37" s="30"/>
      <c r="P37" s="30"/>
      <c r="S37" s="241"/>
    </row>
    <row r="38" spans="1:19" ht="15" customHeight="1">
      <c r="A38" s="561"/>
      <c r="B38" s="568"/>
      <c r="C38" s="569"/>
      <c r="D38" s="558"/>
      <c r="E38" s="558"/>
      <c r="F38" s="558"/>
      <c r="G38" s="54" t="s">
        <v>17</v>
      </c>
      <c r="H38" s="238" t="s">
        <v>23</v>
      </c>
      <c r="I38" s="53">
        <v>0.04</v>
      </c>
      <c r="J38" s="53">
        <f>D37*I38</f>
        <v>0.4168</v>
      </c>
      <c r="K38" s="272">
        <f>70/10</f>
        <v>7</v>
      </c>
      <c r="L38" s="29">
        <f t="shared" ref="L38:L43" si="7">K38*J38</f>
        <v>2.9176000000000002</v>
      </c>
      <c r="M38" s="105" t="s">
        <v>174</v>
      </c>
      <c r="O38" s="30"/>
      <c r="P38" s="30"/>
      <c r="S38" s="241"/>
    </row>
    <row r="39" spans="1:19" ht="15" customHeight="1">
      <c r="A39" s="561"/>
      <c r="B39" s="568"/>
      <c r="C39" s="569"/>
      <c r="D39" s="558"/>
      <c r="E39" s="558"/>
      <c r="F39" s="558"/>
      <c r="G39" s="51" t="s">
        <v>19</v>
      </c>
      <c r="H39" s="238" t="s">
        <v>28</v>
      </c>
      <c r="I39" s="52">
        <f>0.08*(200/250)</f>
        <v>6.4000000000000001E-2</v>
      </c>
      <c r="J39" s="53">
        <f>D37*I39</f>
        <v>0.66688000000000003</v>
      </c>
      <c r="K39" s="28">
        <f>433.35/50</f>
        <v>8.6669999999999998</v>
      </c>
      <c r="L39" s="29">
        <f>K39*J39</f>
        <v>5.7798489599999998</v>
      </c>
      <c r="M39" s="105" t="s">
        <v>177</v>
      </c>
      <c r="O39" s="30"/>
      <c r="P39" s="30"/>
      <c r="S39" s="241"/>
    </row>
    <row r="40" spans="1:19" ht="15" customHeight="1">
      <c r="A40" s="555"/>
      <c r="B40" s="568"/>
      <c r="C40" s="569"/>
      <c r="D40" s="558"/>
      <c r="E40" s="558"/>
      <c r="F40" s="558"/>
      <c r="G40" s="51" t="s">
        <v>25</v>
      </c>
      <c r="H40" s="238" t="s">
        <v>45</v>
      </c>
      <c r="I40" s="52">
        <v>1.02</v>
      </c>
      <c r="J40" s="53">
        <f>D37*I40</f>
        <v>10.628400000000001</v>
      </c>
      <c r="K40" s="28">
        <f>19.17/3</f>
        <v>6.3900000000000006</v>
      </c>
      <c r="L40" s="29">
        <f>J40*K40</f>
        <v>67.915476000000012</v>
      </c>
      <c r="M40" s="105" t="s">
        <v>178</v>
      </c>
      <c r="O40" s="30"/>
      <c r="P40" s="30"/>
      <c r="S40" s="241"/>
    </row>
    <row r="41" spans="1:19" ht="15" customHeight="1">
      <c r="A41" s="554">
        <f>IF(ISBLANK(D41),"",COUNTA(D$14:D41))</f>
        <v>12</v>
      </c>
      <c r="B41" s="568" t="s">
        <v>64</v>
      </c>
      <c r="C41" s="569" t="s">
        <v>27</v>
      </c>
      <c r="D41" s="558">
        <f>D37</f>
        <v>10.42</v>
      </c>
      <c r="E41" s="558">
        <f>101.64/1.2*0.2</f>
        <v>16.940000000000001</v>
      </c>
      <c r="F41" s="558">
        <f>E41*D41</f>
        <v>176.51480000000001</v>
      </c>
      <c r="G41" s="261" t="s">
        <v>17</v>
      </c>
      <c r="H41" s="238" t="s">
        <v>23</v>
      </c>
      <c r="I41" s="53">
        <v>0.05</v>
      </c>
      <c r="J41" s="53">
        <f>I41*D41</f>
        <v>0.52100000000000002</v>
      </c>
      <c r="K41" s="272">
        <f>70/10</f>
        <v>7</v>
      </c>
      <c r="L41" s="29">
        <f t="shared" si="7"/>
        <v>3.6470000000000002</v>
      </c>
      <c r="M41" s="105" t="s">
        <v>174</v>
      </c>
      <c r="O41" s="30"/>
      <c r="P41" s="30"/>
      <c r="S41" s="241"/>
    </row>
    <row r="42" spans="1:19" ht="15" customHeight="1">
      <c r="A42" s="555"/>
      <c r="B42" s="568"/>
      <c r="C42" s="569"/>
      <c r="D42" s="558"/>
      <c r="E42" s="558"/>
      <c r="F42" s="558"/>
      <c r="G42" s="51" t="s">
        <v>16</v>
      </c>
      <c r="H42" s="238" t="s">
        <v>24</v>
      </c>
      <c r="I42" s="52">
        <v>0.45</v>
      </c>
      <c r="J42" s="53">
        <f>I42*D41</f>
        <v>4.6890000000000001</v>
      </c>
      <c r="K42" s="28">
        <f>152.5/25</f>
        <v>6.1</v>
      </c>
      <c r="L42" s="29">
        <f t="shared" si="7"/>
        <v>28.602899999999998</v>
      </c>
      <c r="M42" s="105" t="s">
        <v>173</v>
      </c>
      <c r="O42" s="30"/>
      <c r="P42" s="30"/>
      <c r="S42" s="241"/>
    </row>
    <row r="43" spans="1:19" ht="15" customHeight="1">
      <c r="A43" s="554">
        <f>IF(ISBLANK(D43),"",COUNTA(D$14:D43))</f>
        <v>13</v>
      </c>
      <c r="B43" s="568" t="s">
        <v>65</v>
      </c>
      <c r="C43" s="569" t="s">
        <v>27</v>
      </c>
      <c r="D43" s="558">
        <f>D37</f>
        <v>10.42</v>
      </c>
      <c r="E43" s="558">
        <f>72.6/1.2*0.2</f>
        <v>12.100000000000001</v>
      </c>
      <c r="F43" s="558">
        <f>D43*E43</f>
        <v>126.08200000000001</v>
      </c>
      <c r="G43" s="54" t="s">
        <v>17</v>
      </c>
      <c r="H43" s="238" t="s">
        <v>23</v>
      </c>
      <c r="I43" s="53">
        <v>0.05</v>
      </c>
      <c r="J43" s="53">
        <f>I43*D43</f>
        <v>0.52100000000000002</v>
      </c>
      <c r="K43" s="272">
        <f>70/10</f>
        <v>7</v>
      </c>
      <c r="L43" s="29">
        <f t="shared" si="7"/>
        <v>3.6470000000000002</v>
      </c>
      <c r="M43" s="105" t="s">
        <v>174</v>
      </c>
      <c r="O43" s="30"/>
      <c r="P43" s="30"/>
      <c r="S43" s="241"/>
    </row>
    <row r="44" spans="1:19" ht="15" customHeight="1">
      <c r="A44" s="555"/>
      <c r="B44" s="568"/>
      <c r="C44" s="569"/>
      <c r="D44" s="558"/>
      <c r="E44" s="558"/>
      <c r="F44" s="558"/>
      <c r="G44" s="33" t="s">
        <v>21</v>
      </c>
      <c r="H44" s="238" t="s">
        <v>23</v>
      </c>
      <c r="I44" s="55">
        <v>0.13</v>
      </c>
      <c r="J44" s="53">
        <f>I44*D43</f>
        <v>1.3546</v>
      </c>
      <c r="K44" s="28">
        <f>29.79/1.2*14/10</f>
        <v>34.755000000000003</v>
      </c>
      <c r="L44" s="29">
        <f>K44*J44</f>
        <v>47.079123000000003</v>
      </c>
      <c r="M44" s="105" t="s">
        <v>175</v>
      </c>
      <c r="O44" s="30"/>
      <c r="P44" s="30"/>
      <c r="S44" s="241"/>
    </row>
    <row r="45" spans="1:19" ht="15" customHeight="1">
      <c r="A45" s="554">
        <f>IF(ISBLANK(D45),"",COUNTA(D$14:D45))</f>
        <v>14</v>
      </c>
      <c r="B45" s="556" t="s">
        <v>82</v>
      </c>
      <c r="C45" s="557" t="s">
        <v>27</v>
      </c>
      <c r="D45" s="558">
        <v>25.55</v>
      </c>
      <c r="E45" s="558">
        <f>130.68/1.2</f>
        <v>108.9</v>
      </c>
      <c r="F45" s="558">
        <f>D45*E45</f>
        <v>2782.3950000000004</v>
      </c>
      <c r="G45" s="111" t="s">
        <v>36</v>
      </c>
      <c r="H45" s="231" t="s">
        <v>24</v>
      </c>
      <c r="I45" s="112">
        <v>2.1</v>
      </c>
      <c r="J45" s="263">
        <f>D45*I45</f>
        <v>53.655000000000001</v>
      </c>
      <c r="K45" s="272">
        <f>98/30</f>
        <v>3.2666666666666666</v>
      </c>
      <c r="L45" s="29">
        <f>K45*J45</f>
        <v>175.273</v>
      </c>
      <c r="M45" s="105" t="s">
        <v>176</v>
      </c>
      <c r="O45" s="30"/>
      <c r="P45" s="30"/>
      <c r="S45" s="241"/>
    </row>
    <row r="46" spans="1:19" ht="15" customHeight="1">
      <c r="A46" s="561"/>
      <c r="B46" s="556"/>
      <c r="C46" s="557"/>
      <c r="D46" s="558"/>
      <c r="E46" s="566"/>
      <c r="F46" s="558"/>
      <c r="G46" s="261" t="s">
        <v>12</v>
      </c>
      <c r="H46" s="231" t="s">
        <v>23</v>
      </c>
      <c r="I46" s="112">
        <v>2.8000000000000001E-2</v>
      </c>
      <c r="J46" s="263">
        <f>D45*I46</f>
        <v>0.71540000000000004</v>
      </c>
      <c r="K46" s="124">
        <f>458.33/10</f>
        <v>45.832999999999998</v>
      </c>
      <c r="L46" s="270">
        <f>J46*K46</f>
        <v>32.788928200000001</v>
      </c>
      <c r="M46" s="271" t="s">
        <v>171</v>
      </c>
      <c r="O46" s="30"/>
      <c r="P46" s="30"/>
      <c r="S46" s="241"/>
    </row>
    <row r="47" spans="1:19" ht="15" customHeight="1">
      <c r="A47" s="561"/>
      <c r="B47" s="556"/>
      <c r="C47" s="557"/>
      <c r="D47" s="558"/>
      <c r="E47" s="566"/>
      <c r="F47" s="558"/>
      <c r="G47" s="111" t="s">
        <v>19</v>
      </c>
      <c r="H47" s="231" t="s">
        <v>28</v>
      </c>
      <c r="I47" s="112">
        <f>0.08*(150/250)</f>
        <v>4.8000000000000001E-2</v>
      </c>
      <c r="J47" s="263">
        <f>D45*I47</f>
        <v>1.2264000000000002</v>
      </c>
      <c r="K47" s="28">
        <f>433.35/50</f>
        <v>8.6669999999999998</v>
      </c>
      <c r="L47" s="29">
        <f>K47*J47</f>
        <v>10.629208800000001</v>
      </c>
      <c r="M47" s="105" t="s">
        <v>177</v>
      </c>
      <c r="O47" s="30"/>
      <c r="P47" s="30"/>
      <c r="S47" s="241"/>
    </row>
    <row r="48" spans="1:19" ht="15" customHeight="1">
      <c r="A48" s="555"/>
      <c r="B48" s="556"/>
      <c r="C48" s="557"/>
      <c r="D48" s="558"/>
      <c r="E48" s="566"/>
      <c r="F48" s="558"/>
      <c r="G48" s="111" t="s">
        <v>25</v>
      </c>
      <c r="H48" s="231" t="s">
        <v>45</v>
      </c>
      <c r="I48" s="112">
        <v>1.02</v>
      </c>
      <c r="J48" s="263">
        <f>D45*I48</f>
        <v>26.061</v>
      </c>
      <c r="K48" s="28">
        <f>19.17/3</f>
        <v>6.3900000000000006</v>
      </c>
      <c r="L48" s="29">
        <f>J48*K48</f>
        <v>166.52979000000002</v>
      </c>
      <c r="M48" s="105" t="s">
        <v>178</v>
      </c>
      <c r="O48" s="30"/>
      <c r="P48" s="30"/>
      <c r="S48" s="241"/>
    </row>
    <row r="49" spans="1:19" ht="15" customHeight="1">
      <c r="A49" s="554">
        <f>IF(ISBLANK(D49),"",COUNTA(D$14:D49))</f>
        <v>15</v>
      </c>
      <c r="B49" s="556" t="s">
        <v>80</v>
      </c>
      <c r="C49" s="557" t="s">
        <v>27</v>
      </c>
      <c r="D49" s="558">
        <f>D45</f>
        <v>25.55</v>
      </c>
      <c r="E49" s="558">
        <f>101.64/1.2*0.15</f>
        <v>12.705</v>
      </c>
      <c r="F49" s="558">
        <f>E49*D49</f>
        <v>324.61275000000001</v>
      </c>
      <c r="G49" s="261" t="s">
        <v>17</v>
      </c>
      <c r="H49" s="231" t="s">
        <v>23</v>
      </c>
      <c r="I49" s="263">
        <v>0.05</v>
      </c>
      <c r="J49" s="263">
        <f>I49*D49</f>
        <v>1.2775000000000001</v>
      </c>
      <c r="K49" s="272">
        <f>70/10</f>
        <v>7</v>
      </c>
      <c r="L49" s="29">
        <f t="shared" ref="L49:L52" si="8">K49*J49</f>
        <v>8.9425000000000008</v>
      </c>
      <c r="M49" s="105" t="s">
        <v>174</v>
      </c>
      <c r="O49" s="30"/>
      <c r="P49" s="30"/>
      <c r="S49" s="241"/>
    </row>
    <row r="50" spans="1:19" ht="15" customHeight="1">
      <c r="A50" s="555"/>
      <c r="B50" s="556"/>
      <c r="C50" s="557"/>
      <c r="D50" s="558"/>
      <c r="E50" s="558"/>
      <c r="F50" s="558"/>
      <c r="G50" s="113" t="s">
        <v>16</v>
      </c>
      <c r="H50" s="231" t="s">
        <v>24</v>
      </c>
      <c r="I50" s="112">
        <v>0.45</v>
      </c>
      <c r="J50" s="263">
        <f>I50*D49</f>
        <v>11.4975</v>
      </c>
      <c r="K50" s="28">
        <f>152.5/25</f>
        <v>6.1</v>
      </c>
      <c r="L50" s="29">
        <f t="shared" si="8"/>
        <v>70.134749999999997</v>
      </c>
      <c r="M50" s="105" t="s">
        <v>173</v>
      </c>
      <c r="O50" s="30"/>
      <c r="P50" s="30"/>
      <c r="S50" s="241"/>
    </row>
    <row r="51" spans="1:19" ht="15" customHeight="1">
      <c r="A51" s="554">
        <f>IF(ISBLANK(D51),"",COUNTA(D$14:D51))</f>
        <v>16</v>
      </c>
      <c r="B51" s="556" t="s">
        <v>81</v>
      </c>
      <c r="C51" s="557" t="s">
        <v>27</v>
      </c>
      <c r="D51" s="558">
        <f>D45</f>
        <v>25.55</v>
      </c>
      <c r="E51" s="558">
        <f>72.6/1.2*0.15</f>
        <v>9.0749999999999993</v>
      </c>
      <c r="F51" s="558">
        <f>D51*E51</f>
        <v>231.86624999999998</v>
      </c>
      <c r="G51" s="261" t="s">
        <v>17</v>
      </c>
      <c r="H51" s="231" t="s">
        <v>23</v>
      </c>
      <c r="I51" s="263">
        <v>0.05</v>
      </c>
      <c r="J51" s="263">
        <f>I51*D51</f>
        <v>1.2775000000000001</v>
      </c>
      <c r="K51" s="272">
        <f>70/10</f>
        <v>7</v>
      </c>
      <c r="L51" s="29">
        <f t="shared" si="8"/>
        <v>8.9425000000000008</v>
      </c>
      <c r="M51" s="105" t="s">
        <v>174</v>
      </c>
      <c r="O51" s="30"/>
      <c r="P51" s="30"/>
      <c r="S51" s="241"/>
    </row>
    <row r="52" spans="1:19" ht="15" customHeight="1">
      <c r="A52" s="555"/>
      <c r="B52" s="556"/>
      <c r="C52" s="557"/>
      <c r="D52" s="558"/>
      <c r="E52" s="558"/>
      <c r="F52" s="558"/>
      <c r="G52" s="114" t="s">
        <v>46</v>
      </c>
      <c r="H52" s="231" t="s">
        <v>23</v>
      </c>
      <c r="I52" s="115">
        <v>0.13</v>
      </c>
      <c r="J52" s="263">
        <f>I52*D51</f>
        <v>3.3215000000000003</v>
      </c>
      <c r="K52" s="273">
        <f>28.26/1.2*14/10</f>
        <v>32.97</v>
      </c>
      <c r="L52" s="29">
        <f t="shared" si="8"/>
        <v>109.509855</v>
      </c>
      <c r="M52" s="105" t="s">
        <v>175</v>
      </c>
      <c r="O52" s="30"/>
      <c r="P52" s="30"/>
      <c r="S52" s="241"/>
    </row>
    <row r="53" spans="1:19" ht="15" customHeight="1">
      <c r="A53" s="554">
        <f>IF(ISBLANK(D53),"",COUNTA(D$14:D53))</f>
        <v>17</v>
      </c>
      <c r="B53" s="568" t="s">
        <v>67</v>
      </c>
      <c r="C53" s="569" t="s">
        <v>27</v>
      </c>
      <c r="D53" s="558">
        <v>35.770000000000003</v>
      </c>
      <c r="E53" s="558">
        <f>130.68/1.2</f>
        <v>108.9</v>
      </c>
      <c r="F53" s="558">
        <f>D53*E53</f>
        <v>3895.3530000000005</v>
      </c>
      <c r="G53" s="51" t="s">
        <v>36</v>
      </c>
      <c r="H53" s="238" t="s">
        <v>24</v>
      </c>
      <c r="I53" s="52">
        <v>2.1</v>
      </c>
      <c r="J53" s="53">
        <f>D53*I53</f>
        <v>75.117000000000004</v>
      </c>
      <c r="K53" s="276">
        <f>98/30</f>
        <v>3.2666666666666666</v>
      </c>
      <c r="L53" s="29">
        <f>K53*J53</f>
        <v>245.38220000000001</v>
      </c>
      <c r="M53" s="105" t="s">
        <v>176</v>
      </c>
      <c r="O53" s="30"/>
      <c r="P53" s="30"/>
      <c r="S53" s="241"/>
    </row>
    <row r="54" spans="1:19" ht="15" customHeight="1">
      <c r="A54" s="561"/>
      <c r="B54" s="568"/>
      <c r="C54" s="569"/>
      <c r="D54" s="558"/>
      <c r="E54" s="558"/>
      <c r="F54" s="558"/>
      <c r="G54" s="54" t="s">
        <v>17</v>
      </c>
      <c r="H54" s="238" t="s">
        <v>23</v>
      </c>
      <c r="I54" s="52">
        <v>2.8000000000000001E-2</v>
      </c>
      <c r="J54" s="53">
        <f>D53*I54</f>
        <v>1.00156</v>
      </c>
      <c r="K54" s="272">
        <f>70/10</f>
        <v>7</v>
      </c>
      <c r="L54" s="29">
        <f t="shared" ref="L54:L59" si="9">K54*J54</f>
        <v>7.0109200000000005</v>
      </c>
      <c r="M54" s="105" t="s">
        <v>174</v>
      </c>
      <c r="O54" s="30"/>
      <c r="P54" s="30"/>
      <c r="S54" s="241"/>
    </row>
    <row r="55" spans="1:19" ht="15" customHeight="1">
      <c r="A55" s="561"/>
      <c r="B55" s="568"/>
      <c r="C55" s="569"/>
      <c r="D55" s="558"/>
      <c r="E55" s="558"/>
      <c r="F55" s="558"/>
      <c r="G55" s="51" t="s">
        <v>19</v>
      </c>
      <c r="H55" s="238" t="s">
        <v>28</v>
      </c>
      <c r="I55" s="52">
        <f>0.08*(140/250)</f>
        <v>4.4800000000000006E-2</v>
      </c>
      <c r="J55" s="53">
        <f>D53*I55</f>
        <v>1.6024960000000004</v>
      </c>
      <c r="K55" s="28">
        <f>433.35/50</f>
        <v>8.6669999999999998</v>
      </c>
      <c r="L55" s="29">
        <f>K55*J55</f>
        <v>13.888832832000002</v>
      </c>
      <c r="M55" s="105" t="s">
        <v>177</v>
      </c>
      <c r="O55" s="30"/>
      <c r="P55" s="30"/>
      <c r="S55" s="241"/>
    </row>
    <row r="56" spans="1:19" ht="15" customHeight="1">
      <c r="A56" s="555"/>
      <c r="B56" s="568"/>
      <c r="C56" s="569"/>
      <c r="D56" s="558"/>
      <c r="E56" s="558"/>
      <c r="F56" s="558"/>
      <c r="G56" s="51" t="s">
        <v>25</v>
      </c>
      <c r="H56" s="238" t="s">
        <v>45</v>
      </c>
      <c r="I56" s="52">
        <v>1.02</v>
      </c>
      <c r="J56" s="53">
        <f>D53*I56</f>
        <v>36.485400000000006</v>
      </c>
      <c r="K56" s="28">
        <f>19.17/3</f>
        <v>6.3900000000000006</v>
      </c>
      <c r="L56" s="29">
        <f>J56*K56</f>
        <v>233.14170600000006</v>
      </c>
      <c r="M56" s="105" t="s">
        <v>178</v>
      </c>
      <c r="O56" s="30"/>
      <c r="P56" s="30"/>
      <c r="S56" s="241"/>
    </row>
    <row r="57" spans="1:19" ht="15" customHeight="1">
      <c r="A57" s="554">
        <f>IF(ISBLANK(D57),"",COUNTA(D$14:D57))</f>
        <v>18</v>
      </c>
      <c r="B57" s="568" t="s">
        <v>68</v>
      </c>
      <c r="C57" s="569" t="s">
        <v>27</v>
      </c>
      <c r="D57" s="558">
        <f>D53</f>
        <v>35.770000000000003</v>
      </c>
      <c r="E57" s="558">
        <f>101.64/1.2*0.14</f>
        <v>11.858000000000002</v>
      </c>
      <c r="F57" s="558">
        <f>E57*D57</f>
        <v>424.16066000000012</v>
      </c>
      <c r="G57" s="261" t="s">
        <v>17</v>
      </c>
      <c r="H57" s="238" t="s">
        <v>23</v>
      </c>
      <c r="I57" s="53">
        <v>0.05</v>
      </c>
      <c r="J57" s="53">
        <f>I57*D57</f>
        <v>1.7885000000000002</v>
      </c>
      <c r="K57" s="272">
        <f>70/10</f>
        <v>7</v>
      </c>
      <c r="L57" s="29">
        <f t="shared" si="9"/>
        <v>12.519500000000001</v>
      </c>
      <c r="M57" s="105" t="s">
        <v>174</v>
      </c>
      <c r="O57" s="30"/>
      <c r="P57" s="30"/>
      <c r="S57" s="241"/>
    </row>
    <row r="58" spans="1:19" ht="15" customHeight="1">
      <c r="A58" s="555"/>
      <c r="B58" s="568"/>
      <c r="C58" s="569"/>
      <c r="D58" s="558"/>
      <c r="E58" s="558"/>
      <c r="F58" s="558"/>
      <c r="G58" s="51" t="s">
        <v>16</v>
      </c>
      <c r="H58" s="238" t="s">
        <v>24</v>
      </c>
      <c r="I58" s="52">
        <v>0.45</v>
      </c>
      <c r="J58" s="53">
        <f>I58*D57</f>
        <v>16.096500000000002</v>
      </c>
      <c r="K58" s="28">
        <f>152.5/25</f>
        <v>6.1</v>
      </c>
      <c r="L58" s="29">
        <f t="shared" si="9"/>
        <v>98.18865000000001</v>
      </c>
      <c r="M58" s="105" t="s">
        <v>173</v>
      </c>
      <c r="O58" s="30"/>
      <c r="P58" s="30"/>
      <c r="S58" s="241"/>
    </row>
    <row r="59" spans="1:19" ht="15" customHeight="1">
      <c r="A59" s="554">
        <f>IF(ISBLANK(D59),"",COUNTA(D$14:D59))</f>
        <v>19</v>
      </c>
      <c r="B59" s="568" t="s">
        <v>69</v>
      </c>
      <c r="C59" s="569" t="s">
        <v>27</v>
      </c>
      <c r="D59" s="558">
        <f>D53</f>
        <v>35.770000000000003</v>
      </c>
      <c r="E59" s="558">
        <f>72.6/1.2*0.14</f>
        <v>8.4700000000000006</v>
      </c>
      <c r="F59" s="558">
        <f>D59*E59</f>
        <v>302.97190000000006</v>
      </c>
      <c r="G59" s="54" t="s">
        <v>17</v>
      </c>
      <c r="H59" s="238" t="s">
        <v>23</v>
      </c>
      <c r="I59" s="53">
        <v>0.05</v>
      </c>
      <c r="J59" s="53">
        <f>I59*D59</f>
        <v>1.7885000000000002</v>
      </c>
      <c r="K59" s="272">
        <f>70/10</f>
        <v>7</v>
      </c>
      <c r="L59" s="29">
        <f t="shared" si="9"/>
        <v>12.519500000000001</v>
      </c>
      <c r="M59" s="105" t="s">
        <v>174</v>
      </c>
      <c r="O59" s="30"/>
      <c r="P59" s="30"/>
      <c r="S59" s="241"/>
    </row>
    <row r="60" spans="1:19" ht="15" customHeight="1">
      <c r="A60" s="555"/>
      <c r="B60" s="568"/>
      <c r="C60" s="569"/>
      <c r="D60" s="558"/>
      <c r="E60" s="558"/>
      <c r="F60" s="558"/>
      <c r="G60" s="33" t="s">
        <v>21</v>
      </c>
      <c r="H60" s="238" t="s">
        <v>23</v>
      </c>
      <c r="I60" s="55">
        <v>0.13</v>
      </c>
      <c r="J60" s="53">
        <f>I60*D59</f>
        <v>4.6501000000000001</v>
      </c>
      <c r="K60" s="28">
        <f>29.79/1.2*14/10</f>
        <v>34.755000000000003</v>
      </c>
      <c r="L60" s="29">
        <f>K60*J60</f>
        <v>161.6142255</v>
      </c>
      <c r="M60" s="105" t="s">
        <v>175</v>
      </c>
      <c r="O60" s="30"/>
      <c r="P60" s="30"/>
      <c r="S60" s="241"/>
    </row>
    <row r="61" spans="1:19" s="30" customFormat="1" ht="15" customHeight="1">
      <c r="A61" s="554">
        <f>IF(ISBLANK(D61),"",COUNTA(D$14:D61))</f>
        <v>20</v>
      </c>
      <c r="B61" s="570" t="s">
        <v>55</v>
      </c>
      <c r="C61" s="571" t="s">
        <v>56</v>
      </c>
      <c r="D61" s="571">
        <v>158.43</v>
      </c>
      <c r="E61" s="572">
        <f>22/1.2</f>
        <v>18.333333333333336</v>
      </c>
      <c r="F61" s="567">
        <f>D61*E61</f>
        <v>2904.5500000000006</v>
      </c>
      <c r="G61" s="91" t="s">
        <v>72</v>
      </c>
      <c r="H61" s="235" t="s">
        <v>13</v>
      </c>
      <c r="I61" s="56">
        <v>0.2</v>
      </c>
      <c r="J61" s="56">
        <f>I61*0.1*D61</f>
        <v>3.168600000000001</v>
      </c>
      <c r="K61" s="239">
        <v>3.27</v>
      </c>
      <c r="L61" s="277">
        <f>ROUND(J61*K61,2)</f>
        <v>10.36</v>
      </c>
      <c r="M61" s="105" t="str">
        <f>M53</f>
        <v>рах. 00014839 п. 10</v>
      </c>
      <c r="N61" s="5"/>
      <c r="S61" s="241"/>
    </row>
    <row r="62" spans="1:19" s="30" customFormat="1" ht="15" customHeight="1">
      <c r="A62" s="555"/>
      <c r="B62" s="570"/>
      <c r="C62" s="571"/>
      <c r="D62" s="571"/>
      <c r="E62" s="572"/>
      <c r="F62" s="567"/>
      <c r="G62" s="92" t="s">
        <v>70</v>
      </c>
      <c r="H62" s="93" t="s">
        <v>56</v>
      </c>
      <c r="I62" s="90">
        <v>1.0149999999999999</v>
      </c>
      <c r="J62" s="94">
        <f>D61*I62</f>
        <v>160.80644999999998</v>
      </c>
      <c r="K62" s="94">
        <f>56/30</f>
        <v>1.8666666666666667</v>
      </c>
      <c r="L62" s="278">
        <f>J62*K62</f>
        <v>300.17203999999998</v>
      </c>
      <c r="M62" s="105" t="s">
        <v>179</v>
      </c>
      <c r="N62" s="5"/>
      <c r="S62" s="241"/>
    </row>
    <row r="63" spans="1:19" s="30" customFormat="1" ht="15" customHeight="1">
      <c r="A63" s="225">
        <f>IF(ISBLANK(D63),"",COUNTA(D$14:D63))</f>
        <v>21</v>
      </c>
      <c r="B63" s="57" t="s">
        <v>47</v>
      </c>
      <c r="C63" s="235" t="s">
        <v>22</v>
      </c>
      <c r="D63" s="58">
        <f>3.25*4</f>
        <v>13</v>
      </c>
      <c r="E63" s="40">
        <f>125/1.2</f>
        <v>104.16666666666667</v>
      </c>
      <c r="F63" s="58">
        <f>E63*D63</f>
        <v>1354.1666666666667</v>
      </c>
      <c r="G63" s="59" t="s">
        <v>76</v>
      </c>
      <c r="H63" s="235" t="s">
        <v>26</v>
      </c>
      <c r="I63" s="28">
        <v>1.01</v>
      </c>
      <c r="J63" s="28">
        <f>I63*D63</f>
        <v>13.13</v>
      </c>
      <c r="K63" s="26">
        <v>674.9</v>
      </c>
      <c r="L63" s="29">
        <f>K63*J63</f>
        <v>8861.4369999999999</v>
      </c>
      <c r="M63" s="106"/>
      <c r="N63" s="5"/>
      <c r="S63" s="241"/>
    </row>
    <row r="64" spans="1:19" s="30" customFormat="1" ht="15" customHeight="1" thickBot="1">
      <c r="A64" s="225">
        <f>IF(ISBLANK(D64),"",COUNTA(D$14:D64))</f>
        <v>22</v>
      </c>
      <c r="B64" s="250" t="s">
        <v>29</v>
      </c>
      <c r="C64" s="236" t="s">
        <v>22</v>
      </c>
      <c r="D64" s="233">
        <v>191.6</v>
      </c>
      <c r="E64" s="233">
        <f>91.8/1.2</f>
        <v>76.5</v>
      </c>
      <c r="F64" s="233">
        <f>E64*D64</f>
        <v>14657.4</v>
      </c>
      <c r="G64" s="60" t="s">
        <v>30</v>
      </c>
      <c r="H64" s="236" t="s">
        <v>26</v>
      </c>
      <c r="I64" s="42">
        <v>1.07</v>
      </c>
      <c r="J64" s="42">
        <f>D64*I64</f>
        <v>205.012</v>
      </c>
      <c r="K64" s="42">
        <f>6.67/3</f>
        <v>2.2233333333333332</v>
      </c>
      <c r="L64" s="43">
        <f>K64*J64</f>
        <v>455.8100133333333</v>
      </c>
      <c r="M64" s="105" t="s">
        <v>178</v>
      </c>
      <c r="N64" s="5"/>
      <c r="S64" s="241"/>
    </row>
    <row r="65" spans="1:15" s="30" customFormat="1" ht="15" customHeight="1" thickBot="1">
      <c r="A65" s="20"/>
      <c r="B65" s="21" t="s">
        <v>31</v>
      </c>
      <c r="C65" s="22"/>
      <c r="D65" s="21"/>
      <c r="E65" s="21"/>
      <c r="F65" s="23"/>
      <c r="G65" s="22"/>
      <c r="H65" s="21"/>
      <c r="I65" s="44"/>
      <c r="J65" s="44"/>
      <c r="K65" s="44"/>
      <c r="L65" s="45"/>
      <c r="M65" s="107"/>
      <c r="N65" s="5"/>
    </row>
    <row r="66" spans="1:15" s="30" customFormat="1" ht="15" customHeight="1">
      <c r="A66" s="225">
        <f>IF(ISBLANK(D66),"",COUNTA(D$14:D66))</f>
        <v>23</v>
      </c>
      <c r="B66" s="61" t="s">
        <v>47</v>
      </c>
      <c r="C66" s="259" t="s">
        <v>22</v>
      </c>
      <c r="D66" s="62">
        <f>1.64+1.26</f>
        <v>2.9</v>
      </c>
      <c r="E66" s="62">
        <f>125/1.2</f>
        <v>104.16666666666667</v>
      </c>
      <c r="F66" s="62">
        <f>E66*D66</f>
        <v>302.08333333333331</v>
      </c>
      <c r="G66" s="63" t="s">
        <v>77</v>
      </c>
      <c r="H66" s="259" t="s">
        <v>26</v>
      </c>
      <c r="I66" s="64">
        <v>1.0149999999999999</v>
      </c>
      <c r="J66" s="65">
        <f>I66*D66</f>
        <v>2.9434999999999998</v>
      </c>
      <c r="K66" s="65">
        <v>2986.65</v>
      </c>
      <c r="L66" s="66">
        <f t="shared" ref="L66:L71" si="10">K66*J66</f>
        <v>8791.2042750000001</v>
      </c>
      <c r="M66" s="107"/>
      <c r="N66" s="5"/>
    </row>
    <row r="67" spans="1:15" s="30" customFormat="1" ht="15" customHeight="1">
      <c r="A67" s="554">
        <f>IF(ISBLANK(D67),"",COUNTA(D$14:D67))</f>
        <v>24</v>
      </c>
      <c r="B67" s="562" t="s">
        <v>32</v>
      </c>
      <c r="C67" s="563" t="s">
        <v>11</v>
      </c>
      <c r="D67" s="559">
        <f>181+29.91+5</f>
        <v>215.91</v>
      </c>
      <c r="E67" s="559">
        <f>285.12/1.2</f>
        <v>237.60000000000002</v>
      </c>
      <c r="F67" s="559">
        <f>E67*D67</f>
        <v>51300.216000000008</v>
      </c>
      <c r="G67" s="234" t="s">
        <v>17</v>
      </c>
      <c r="H67" s="235" t="s">
        <v>13</v>
      </c>
      <c r="I67" s="28">
        <v>0.2</v>
      </c>
      <c r="J67" s="28">
        <f>I67*D67</f>
        <v>43.182000000000002</v>
      </c>
      <c r="K67" s="272">
        <f>70/10</f>
        <v>7</v>
      </c>
      <c r="L67" s="29">
        <f t="shared" si="10"/>
        <v>302.274</v>
      </c>
      <c r="M67" s="105" t="s">
        <v>174</v>
      </c>
      <c r="N67" s="5"/>
    </row>
    <row r="68" spans="1:15" s="30" customFormat="1" ht="15" customHeight="1">
      <c r="A68" s="561"/>
      <c r="B68" s="562"/>
      <c r="C68" s="563"/>
      <c r="D68" s="559"/>
      <c r="E68" s="559"/>
      <c r="F68" s="559"/>
      <c r="G68" s="67" t="s">
        <v>53</v>
      </c>
      <c r="H68" s="235" t="s">
        <v>18</v>
      </c>
      <c r="I68" s="28">
        <v>1.03</v>
      </c>
      <c r="J68" s="28">
        <f>D67*I68</f>
        <v>222.38730000000001</v>
      </c>
      <c r="K68" s="124">
        <f>99.5/1.2</f>
        <v>82.916666666666671</v>
      </c>
      <c r="L68" s="156">
        <f t="shared" si="10"/>
        <v>18439.613625000002</v>
      </c>
      <c r="M68" s="105" t="s">
        <v>186</v>
      </c>
      <c r="N68" s="5"/>
    </row>
    <row r="69" spans="1:15" s="30" customFormat="1" ht="15" customHeight="1">
      <c r="A69" s="561"/>
      <c r="B69" s="562"/>
      <c r="C69" s="563"/>
      <c r="D69" s="559"/>
      <c r="E69" s="559"/>
      <c r="F69" s="559"/>
      <c r="G69" s="27" t="s">
        <v>33</v>
      </c>
      <c r="H69" s="235" t="s">
        <v>15</v>
      </c>
      <c r="I69" s="28">
        <v>6.5</v>
      </c>
      <c r="J69" s="28">
        <f>D67*I69</f>
        <v>1403.415</v>
      </c>
      <c r="K69" s="124">
        <f>77.1/25/1.2</f>
        <v>2.57</v>
      </c>
      <c r="L69" s="156">
        <f t="shared" si="10"/>
        <v>3606.7765499999996</v>
      </c>
      <c r="M69" s="105" t="s">
        <v>181</v>
      </c>
      <c r="N69" s="5"/>
    </row>
    <row r="70" spans="1:15" s="30" customFormat="1" ht="15" customHeight="1">
      <c r="A70" s="555"/>
      <c r="B70" s="562"/>
      <c r="C70" s="563"/>
      <c r="D70" s="559"/>
      <c r="E70" s="559"/>
      <c r="F70" s="559"/>
      <c r="G70" s="27" t="s">
        <v>34</v>
      </c>
      <c r="H70" s="235" t="s">
        <v>15</v>
      </c>
      <c r="I70" s="68">
        <v>0.45400000000000001</v>
      </c>
      <c r="J70" s="28">
        <f>D67*I70</f>
        <v>98.023139999999998</v>
      </c>
      <c r="K70" s="124">
        <f>54.08/2</f>
        <v>27.04</v>
      </c>
      <c r="L70" s="156">
        <f t="shared" si="10"/>
        <v>2650.5457056</v>
      </c>
      <c r="M70" s="105" t="s">
        <v>182</v>
      </c>
      <c r="N70" s="46"/>
      <c r="O70" s="5"/>
    </row>
    <row r="71" spans="1:15" s="30" customFormat="1" ht="15" customHeight="1">
      <c r="A71" s="554">
        <f>IF(ISBLANK(D71),"",COUNTA(D$14:D71))</f>
        <v>25</v>
      </c>
      <c r="B71" s="562" t="s">
        <v>71</v>
      </c>
      <c r="C71" s="563" t="s">
        <v>27</v>
      </c>
      <c r="D71" s="559">
        <f>197.44+46.28+5.83</f>
        <v>249.55</v>
      </c>
      <c r="E71" s="559">
        <f>79.86/1.2</f>
        <v>66.55</v>
      </c>
      <c r="F71" s="559">
        <f>E71*D71</f>
        <v>16607.552500000002</v>
      </c>
      <c r="G71" s="234" t="s">
        <v>17</v>
      </c>
      <c r="H71" s="235" t="s">
        <v>23</v>
      </c>
      <c r="I71" s="28">
        <v>0.02</v>
      </c>
      <c r="J71" s="28">
        <f>I71*D71</f>
        <v>4.9910000000000005</v>
      </c>
      <c r="K71" s="272">
        <f>70/10</f>
        <v>7</v>
      </c>
      <c r="L71" s="29">
        <f t="shared" si="10"/>
        <v>34.937000000000005</v>
      </c>
      <c r="M71" s="105" t="s">
        <v>174</v>
      </c>
      <c r="N71" s="46"/>
      <c r="O71" s="5"/>
    </row>
    <row r="72" spans="1:15" s="30" customFormat="1" ht="15" customHeight="1">
      <c r="A72" s="561"/>
      <c r="B72" s="562"/>
      <c r="C72" s="563"/>
      <c r="D72" s="559"/>
      <c r="E72" s="559"/>
      <c r="F72" s="559"/>
      <c r="G72" s="67" t="s">
        <v>53</v>
      </c>
      <c r="H72" s="235" t="s">
        <v>28</v>
      </c>
      <c r="I72" s="28">
        <v>0.11</v>
      </c>
      <c r="J72" s="28">
        <f>D71*I72</f>
        <v>27.450500000000002</v>
      </c>
      <c r="K72" s="124">
        <f>99.5/1.2</f>
        <v>82.916666666666671</v>
      </c>
      <c r="L72" s="156">
        <f t="shared" ref="L72" si="11">K72*J72</f>
        <v>2276.1039583333336</v>
      </c>
      <c r="M72" s="105" t="s">
        <v>186</v>
      </c>
      <c r="N72" s="46"/>
      <c r="O72" s="5"/>
    </row>
    <row r="73" spans="1:15" s="30" customFormat="1" ht="15" customHeight="1">
      <c r="A73" s="561"/>
      <c r="B73" s="562"/>
      <c r="C73" s="563"/>
      <c r="D73" s="559"/>
      <c r="E73" s="559"/>
      <c r="F73" s="559"/>
      <c r="G73" s="27" t="s">
        <v>33</v>
      </c>
      <c r="H73" s="235" t="s">
        <v>24</v>
      </c>
      <c r="I73" s="28">
        <v>0.65</v>
      </c>
      <c r="J73" s="28">
        <f>D71*I73</f>
        <v>162.20750000000001</v>
      </c>
      <c r="K73" s="124">
        <f>77.1/25/1.2</f>
        <v>2.57</v>
      </c>
      <c r="L73" s="156">
        <f t="shared" ref="L73:L74" si="12">K73*J73</f>
        <v>416.87327499999998</v>
      </c>
      <c r="M73" s="105" t="s">
        <v>181</v>
      </c>
      <c r="N73" s="5"/>
    </row>
    <row r="74" spans="1:15" s="30" customFormat="1" ht="15" customHeight="1" thickBot="1">
      <c r="A74" s="555"/>
      <c r="B74" s="564"/>
      <c r="C74" s="565"/>
      <c r="D74" s="560"/>
      <c r="E74" s="560"/>
      <c r="F74" s="560"/>
      <c r="G74" s="84" t="s">
        <v>34</v>
      </c>
      <c r="H74" s="236" t="s">
        <v>24</v>
      </c>
      <c r="I74" s="85">
        <v>0.04</v>
      </c>
      <c r="J74" s="42">
        <f>D71*I74</f>
        <v>9.9820000000000011</v>
      </c>
      <c r="K74" s="124">
        <f>54.08/2</f>
        <v>27.04</v>
      </c>
      <c r="L74" s="156">
        <f t="shared" si="12"/>
        <v>269.91328000000004</v>
      </c>
      <c r="M74" s="105" t="s">
        <v>182</v>
      </c>
      <c r="N74" s="5"/>
    </row>
    <row r="75" spans="1:15" s="30" customFormat="1" ht="15" customHeight="1" thickBot="1">
      <c r="A75" s="13"/>
      <c r="B75" s="14" t="s">
        <v>83</v>
      </c>
      <c r="C75" s="15"/>
      <c r="D75" s="14"/>
      <c r="E75" s="14"/>
      <c r="F75" s="116"/>
      <c r="G75" s="14"/>
      <c r="H75" s="14"/>
      <c r="I75" s="117"/>
      <c r="J75" s="117"/>
      <c r="K75" s="117"/>
      <c r="L75" s="117"/>
      <c r="M75" s="107"/>
      <c r="N75" s="5"/>
    </row>
    <row r="76" spans="1:15" s="30" customFormat="1" ht="15" customHeight="1" thickBot="1">
      <c r="A76" s="20"/>
      <c r="B76" s="21" t="s">
        <v>10</v>
      </c>
      <c r="C76" s="22"/>
      <c r="D76" s="23"/>
      <c r="E76" s="23"/>
      <c r="F76" s="23"/>
      <c r="G76" s="22"/>
      <c r="H76" s="21"/>
      <c r="I76" s="44"/>
      <c r="J76" s="44"/>
      <c r="K76" s="44"/>
      <c r="L76" s="45"/>
      <c r="M76" s="107"/>
      <c r="N76" s="5"/>
    </row>
    <row r="77" spans="1:15" s="30" customFormat="1" ht="15" customHeight="1">
      <c r="A77" s="230">
        <f>IF(ISBLANK(D77),"",COUNTA(D$14:D77))</f>
        <v>26</v>
      </c>
      <c r="B77" s="133" t="s">
        <v>47</v>
      </c>
      <c r="C77" s="243" t="s">
        <v>22</v>
      </c>
      <c r="D77" s="228">
        <v>1.64</v>
      </c>
      <c r="E77" s="252">
        <f>125/1.2</f>
        <v>104.16666666666667</v>
      </c>
      <c r="F77" s="252">
        <f>E77*D77</f>
        <v>170.83333333333334</v>
      </c>
      <c r="G77" s="226" t="s">
        <v>84</v>
      </c>
      <c r="H77" s="175" t="s">
        <v>45</v>
      </c>
      <c r="I77" s="173">
        <v>1.01</v>
      </c>
      <c r="J77" s="173">
        <f>I77*D77</f>
        <v>1.6563999999999999</v>
      </c>
      <c r="K77" s="173">
        <v>463.95</v>
      </c>
      <c r="L77" s="156">
        <f t="shared" ref="L77:L88" si="13">K77*J77</f>
        <v>768.48677999999995</v>
      </c>
      <c r="M77" s="107"/>
      <c r="N77" s="5"/>
    </row>
    <row r="78" spans="1:15" s="30" customFormat="1" ht="15" customHeight="1">
      <c r="A78" s="582">
        <f>IF(ISBLANK(D78),"",COUNTA(D$14:D78))</f>
        <v>27</v>
      </c>
      <c r="B78" s="562" t="s">
        <v>85</v>
      </c>
      <c r="C78" s="563" t="s">
        <v>11</v>
      </c>
      <c r="D78" s="559">
        <f>197.97+1.55</f>
        <v>199.52</v>
      </c>
      <c r="E78" s="584">
        <f>194.7/1.2</f>
        <v>162.25</v>
      </c>
      <c r="F78" s="584">
        <f>E78*D78</f>
        <v>32372.120000000003</v>
      </c>
      <c r="G78" s="122" t="s">
        <v>86</v>
      </c>
      <c r="H78" s="123" t="s">
        <v>18</v>
      </c>
      <c r="I78" s="124">
        <v>1.1000000000000001</v>
      </c>
      <c r="J78" s="124">
        <f>D78*I78</f>
        <v>219.47200000000004</v>
      </c>
      <c r="K78" s="124">
        <v>61.53</v>
      </c>
      <c r="L78" s="125">
        <f t="shared" si="13"/>
        <v>13504.112160000002</v>
      </c>
      <c r="M78" s="107"/>
      <c r="N78" s="5"/>
    </row>
    <row r="79" spans="1:15" s="30" customFormat="1" ht="15" customHeight="1">
      <c r="A79" s="582"/>
      <c r="B79" s="562"/>
      <c r="C79" s="563"/>
      <c r="D79" s="559"/>
      <c r="E79" s="584"/>
      <c r="F79" s="584"/>
      <c r="G79" s="27" t="s">
        <v>87</v>
      </c>
      <c r="H79" s="123" t="s">
        <v>88</v>
      </c>
      <c r="I79" s="124">
        <v>0.95</v>
      </c>
      <c r="J79" s="124">
        <f>D78*I79</f>
        <v>189.54400000000001</v>
      </c>
      <c r="K79" s="124">
        <f>11.46/1.2</f>
        <v>9.5500000000000007</v>
      </c>
      <c r="L79" s="125">
        <f t="shared" si="13"/>
        <v>1810.1452000000002</v>
      </c>
      <c r="M79" s="107"/>
      <c r="N79" s="5"/>
    </row>
    <row r="80" spans="1:15" s="30" customFormat="1" ht="15" customHeight="1">
      <c r="A80" s="582"/>
      <c r="B80" s="562"/>
      <c r="C80" s="563"/>
      <c r="D80" s="559"/>
      <c r="E80" s="584"/>
      <c r="F80" s="584"/>
      <c r="G80" s="27" t="s">
        <v>89</v>
      </c>
      <c r="H80" s="123" t="s">
        <v>88</v>
      </c>
      <c r="I80" s="124">
        <v>0.95</v>
      </c>
      <c r="J80" s="124">
        <f>D78*I80</f>
        <v>189.54400000000001</v>
      </c>
      <c r="K80" s="124">
        <f>68.52/1.2</f>
        <v>57.1</v>
      </c>
      <c r="L80" s="125">
        <f t="shared" si="13"/>
        <v>10822.9624</v>
      </c>
      <c r="M80" s="107"/>
      <c r="N80" s="5"/>
    </row>
    <row r="81" spans="1:14" s="30" customFormat="1" ht="15" customHeight="1">
      <c r="A81" s="582"/>
      <c r="B81" s="562"/>
      <c r="C81" s="563"/>
      <c r="D81" s="559"/>
      <c r="E81" s="584"/>
      <c r="F81" s="584"/>
      <c r="G81" s="27" t="s">
        <v>90</v>
      </c>
      <c r="H81" s="123" t="s">
        <v>88</v>
      </c>
      <c r="I81" s="124">
        <v>1.9</v>
      </c>
      <c r="J81" s="124">
        <f>D78*I81</f>
        <v>379.08800000000002</v>
      </c>
      <c r="K81" s="124">
        <f>22.86/1.2</f>
        <v>19.05</v>
      </c>
      <c r="L81" s="125">
        <f t="shared" si="13"/>
        <v>7221.626400000001</v>
      </c>
      <c r="M81" s="107"/>
      <c r="N81" s="5"/>
    </row>
    <row r="82" spans="1:14" s="30" customFormat="1" ht="15" customHeight="1">
      <c r="A82" s="582"/>
      <c r="B82" s="562"/>
      <c r="C82" s="563"/>
      <c r="D82" s="559"/>
      <c r="E82" s="584"/>
      <c r="F82" s="584"/>
      <c r="G82" s="27" t="s">
        <v>91</v>
      </c>
      <c r="H82" s="123" t="s">
        <v>92</v>
      </c>
      <c r="I82" s="124">
        <v>1.08</v>
      </c>
      <c r="J82" s="124">
        <f>I82*D78</f>
        <v>215.48160000000001</v>
      </c>
      <c r="K82" s="124">
        <f>40.86/1.2</f>
        <v>34.050000000000004</v>
      </c>
      <c r="L82" s="125">
        <f t="shared" si="13"/>
        <v>7337.1484800000017</v>
      </c>
      <c r="M82" s="107"/>
      <c r="N82" s="5"/>
    </row>
    <row r="83" spans="1:14" s="30" customFormat="1" ht="15" customHeight="1">
      <c r="A83" s="582"/>
      <c r="B83" s="562"/>
      <c r="C83" s="563"/>
      <c r="D83" s="559"/>
      <c r="E83" s="584"/>
      <c r="F83" s="584"/>
      <c r="G83" s="27" t="s">
        <v>93</v>
      </c>
      <c r="H83" s="123" t="s">
        <v>88</v>
      </c>
      <c r="I83" s="124">
        <v>1.5</v>
      </c>
      <c r="J83" s="124">
        <f>D78*I83</f>
        <v>299.28000000000003</v>
      </c>
      <c r="K83" s="124">
        <f>1.74/1.2</f>
        <v>1.45</v>
      </c>
      <c r="L83" s="125">
        <f t="shared" si="13"/>
        <v>433.95600000000002</v>
      </c>
      <c r="M83" s="107"/>
      <c r="N83" s="5"/>
    </row>
    <row r="84" spans="1:14" s="30" customFormat="1" ht="15" customHeight="1">
      <c r="A84" s="582"/>
      <c r="B84" s="562"/>
      <c r="C84" s="563"/>
      <c r="D84" s="559"/>
      <c r="E84" s="584"/>
      <c r="F84" s="584"/>
      <c r="G84" s="27" t="s">
        <v>94</v>
      </c>
      <c r="H84" s="123" t="s">
        <v>88</v>
      </c>
      <c r="I84" s="124">
        <v>1.5</v>
      </c>
      <c r="J84" s="124">
        <f>D78*I84</f>
        <v>299.28000000000003</v>
      </c>
      <c r="K84" s="124">
        <f>1.02/1.2</f>
        <v>0.85000000000000009</v>
      </c>
      <c r="L84" s="125">
        <f t="shared" si="13"/>
        <v>254.38800000000006</v>
      </c>
      <c r="M84" s="107"/>
      <c r="N84" s="5"/>
    </row>
    <row r="85" spans="1:14" s="30" customFormat="1" ht="15" customHeight="1">
      <c r="A85" s="582"/>
      <c r="B85" s="562"/>
      <c r="C85" s="563"/>
      <c r="D85" s="559"/>
      <c r="E85" s="584"/>
      <c r="F85" s="584"/>
      <c r="G85" s="27" t="s">
        <v>95</v>
      </c>
      <c r="H85" s="123" t="s">
        <v>88</v>
      </c>
      <c r="I85" s="124">
        <v>1.5</v>
      </c>
      <c r="J85" s="124">
        <f>D78*I85</f>
        <v>299.28000000000003</v>
      </c>
      <c r="K85" s="124">
        <f>1.02/1.2</f>
        <v>0.85000000000000009</v>
      </c>
      <c r="L85" s="125">
        <f t="shared" si="13"/>
        <v>254.38800000000006</v>
      </c>
      <c r="M85" s="107"/>
      <c r="N85" s="5"/>
    </row>
    <row r="86" spans="1:14" s="30" customFormat="1" ht="15" customHeight="1">
      <c r="A86" s="582"/>
      <c r="B86" s="562"/>
      <c r="C86" s="563"/>
      <c r="D86" s="559"/>
      <c r="E86" s="584"/>
      <c r="F86" s="584"/>
      <c r="G86" s="27" t="s">
        <v>167</v>
      </c>
      <c r="H86" s="123" t="s">
        <v>88</v>
      </c>
      <c r="I86" s="126"/>
      <c r="J86" s="124">
        <f>219.65/3</f>
        <v>73.216666666666669</v>
      </c>
      <c r="K86" s="124">
        <f>6.06/1.2</f>
        <v>5.05</v>
      </c>
      <c r="L86" s="125">
        <f t="shared" si="13"/>
        <v>369.74416666666667</v>
      </c>
      <c r="M86" s="107"/>
      <c r="N86" s="5"/>
    </row>
    <row r="87" spans="1:14" s="30" customFormat="1" ht="15" customHeight="1">
      <c r="A87" s="582"/>
      <c r="B87" s="562"/>
      <c r="C87" s="563"/>
      <c r="D87" s="559"/>
      <c r="E87" s="584"/>
      <c r="F87" s="584"/>
      <c r="G87" s="27" t="s">
        <v>96</v>
      </c>
      <c r="H87" s="123" t="s">
        <v>88</v>
      </c>
      <c r="I87" s="124">
        <v>1.5</v>
      </c>
      <c r="J87" s="124">
        <f>D78*I87</f>
        <v>299.28000000000003</v>
      </c>
      <c r="K87" s="124">
        <f>103.5/100/1.2</f>
        <v>0.86249999999999993</v>
      </c>
      <c r="L87" s="125">
        <f t="shared" si="13"/>
        <v>258.12900000000002</v>
      </c>
      <c r="M87" s="107"/>
      <c r="N87" s="5"/>
    </row>
    <row r="88" spans="1:14" s="30" customFormat="1" ht="39" thickBot="1">
      <c r="A88" s="583"/>
      <c r="B88" s="564"/>
      <c r="C88" s="565"/>
      <c r="D88" s="560"/>
      <c r="E88" s="585"/>
      <c r="F88" s="585"/>
      <c r="G88" s="84" t="s">
        <v>97</v>
      </c>
      <c r="H88" s="227" t="s">
        <v>98</v>
      </c>
      <c r="I88" s="134">
        <v>3</v>
      </c>
      <c r="J88" s="134">
        <f>D78*I88</f>
        <v>598.56000000000006</v>
      </c>
      <c r="K88" s="134">
        <f>14.17/100</f>
        <v>0.14169999999999999</v>
      </c>
      <c r="L88" s="129">
        <f t="shared" si="13"/>
        <v>84.81595200000001</v>
      </c>
      <c r="M88" s="107"/>
      <c r="N88" s="5"/>
    </row>
    <row r="89" spans="1:14" s="30" customFormat="1" ht="15" customHeight="1" thickBot="1">
      <c r="A89" s="20"/>
      <c r="B89" s="21" t="s">
        <v>20</v>
      </c>
      <c r="C89" s="22"/>
      <c r="D89" s="23"/>
      <c r="E89" s="141"/>
      <c r="F89" s="141"/>
      <c r="G89" s="22"/>
      <c r="H89" s="207"/>
      <c r="I89" s="142"/>
      <c r="J89" s="142"/>
      <c r="K89" s="142"/>
      <c r="L89" s="170"/>
      <c r="M89" s="107"/>
      <c r="N89" s="5"/>
    </row>
    <row r="90" spans="1:14" s="30" customFormat="1" ht="15" customHeight="1">
      <c r="A90" s="561">
        <f>IF(ISBLANK(D90),"",COUNTA(D$14:D90))</f>
        <v>28</v>
      </c>
      <c r="B90" s="586" t="s">
        <v>60</v>
      </c>
      <c r="C90" s="579" t="s">
        <v>11</v>
      </c>
      <c r="D90" s="580">
        <v>292.49</v>
      </c>
      <c r="E90" s="588">
        <f>210.54/1.2</f>
        <v>175.45</v>
      </c>
      <c r="F90" s="588">
        <f>E90*D90</f>
        <v>51317.370499999997</v>
      </c>
      <c r="G90" s="203" t="s">
        <v>36</v>
      </c>
      <c r="H90" s="175" t="s">
        <v>15</v>
      </c>
      <c r="I90" s="173">
        <v>15</v>
      </c>
      <c r="J90" s="173">
        <f>D90*I90</f>
        <v>4387.3500000000004</v>
      </c>
      <c r="K90" s="272">
        <f>98/30</f>
        <v>3.2666666666666666</v>
      </c>
      <c r="L90" s="29">
        <f>K90*J90</f>
        <v>14332.01</v>
      </c>
      <c r="M90" s="105" t="s">
        <v>176</v>
      </c>
      <c r="N90" s="5"/>
    </row>
    <row r="91" spans="1:14" s="30" customFormat="1" ht="15" customHeight="1">
      <c r="A91" s="561"/>
      <c r="B91" s="576"/>
      <c r="C91" s="563"/>
      <c r="D91" s="559"/>
      <c r="E91" s="584"/>
      <c r="F91" s="584"/>
      <c r="G91" s="27" t="s">
        <v>12</v>
      </c>
      <c r="H91" s="123" t="s">
        <v>13</v>
      </c>
      <c r="I91" s="124">
        <v>0.35</v>
      </c>
      <c r="J91" s="124">
        <f>I91*D90</f>
        <v>102.3715</v>
      </c>
      <c r="K91" s="124">
        <f>458.33/10</f>
        <v>45.832999999999998</v>
      </c>
      <c r="L91" s="270">
        <f>J91*K91</f>
        <v>4691.9929594999994</v>
      </c>
      <c r="M91" s="271" t="s">
        <v>171</v>
      </c>
      <c r="N91" s="5"/>
    </row>
    <row r="92" spans="1:14" s="30" customFormat="1" ht="15" customHeight="1">
      <c r="A92" s="561"/>
      <c r="B92" s="576"/>
      <c r="C92" s="563"/>
      <c r="D92" s="559"/>
      <c r="E92" s="584"/>
      <c r="F92" s="584"/>
      <c r="G92" s="27" t="s">
        <v>19</v>
      </c>
      <c r="H92" s="123" t="s">
        <v>18</v>
      </c>
      <c r="I92" s="124">
        <v>0.28999999999999998</v>
      </c>
      <c r="J92" s="124">
        <f>D90*I92</f>
        <v>84.822099999999992</v>
      </c>
      <c r="K92" s="28">
        <f>433.35/50</f>
        <v>8.6669999999999998</v>
      </c>
      <c r="L92" s="29">
        <f>K92*J92</f>
        <v>735.15314069999988</v>
      </c>
      <c r="M92" s="105" t="s">
        <v>177</v>
      </c>
      <c r="N92" s="5"/>
    </row>
    <row r="93" spans="1:14" s="30" customFormat="1" ht="15" customHeight="1">
      <c r="A93" s="555"/>
      <c r="B93" s="587"/>
      <c r="C93" s="565"/>
      <c r="D93" s="560"/>
      <c r="E93" s="585"/>
      <c r="F93" s="585"/>
      <c r="G93" s="84" t="s">
        <v>25</v>
      </c>
      <c r="H93" s="128" t="s">
        <v>58</v>
      </c>
      <c r="I93" s="124">
        <v>0.7</v>
      </c>
      <c r="J93" s="124">
        <f>I93*D90</f>
        <v>204.74299999999999</v>
      </c>
      <c r="K93" s="28">
        <f>19.17/3</f>
        <v>6.3900000000000006</v>
      </c>
      <c r="L93" s="29">
        <f>J93*K93</f>
        <v>1308.3077700000001</v>
      </c>
      <c r="M93" s="105" t="s">
        <v>178</v>
      </c>
      <c r="N93" s="5"/>
    </row>
    <row r="94" spans="1:14" s="30" customFormat="1" ht="15" customHeight="1">
      <c r="A94" s="554">
        <f>IF(ISBLANK(D94),"",COUNTA(D$14:D94))</f>
        <v>29</v>
      </c>
      <c r="B94" s="576" t="s">
        <v>57</v>
      </c>
      <c r="C94" s="563" t="s">
        <v>11</v>
      </c>
      <c r="D94" s="559">
        <v>357.27</v>
      </c>
      <c r="E94" s="584">
        <f>210.54/1.2</f>
        <v>175.45</v>
      </c>
      <c r="F94" s="584">
        <f>E94*D94</f>
        <v>62683.021499999995</v>
      </c>
      <c r="G94" s="27" t="s">
        <v>36</v>
      </c>
      <c r="H94" s="123" t="s">
        <v>15</v>
      </c>
      <c r="I94" s="124">
        <v>17.5</v>
      </c>
      <c r="J94" s="124">
        <f>D94*I94</f>
        <v>6252.2249999999995</v>
      </c>
      <c r="K94" s="272">
        <f>98/30</f>
        <v>3.2666666666666666</v>
      </c>
      <c r="L94" s="29">
        <f>K94*J94</f>
        <v>20423.934999999998</v>
      </c>
      <c r="M94" s="105" t="s">
        <v>176</v>
      </c>
      <c r="N94" s="5"/>
    </row>
    <row r="95" spans="1:14" s="30" customFormat="1" ht="15" customHeight="1">
      <c r="A95" s="561"/>
      <c r="B95" s="576"/>
      <c r="C95" s="563"/>
      <c r="D95" s="559"/>
      <c r="E95" s="584"/>
      <c r="F95" s="584"/>
      <c r="G95" s="234" t="s">
        <v>17</v>
      </c>
      <c r="H95" s="123" t="s">
        <v>13</v>
      </c>
      <c r="I95" s="124">
        <v>0.2</v>
      </c>
      <c r="J95" s="124">
        <f>I95*D94</f>
        <v>71.453999999999994</v>
      </c>
      <c r="K95" s="272">
        <f>70/10</f>
        <v>7</v>
      </c>
      <c r="L95" s="29">
        <f t="shared" ref="L95" si="14">K95*J95</f>
        <v>500.17799999999994</v>
      </c>
      <c r="M95" s="105" t="s">
        <v>174</v>
      </c>
      <c r="N95" s="5"/>
    </row>
    <row r="96" spans="1:14" s="30" customFormat="1" ht="15" customHeight="1">
      <c r="A96" s="561"/>
      <c r="B96" s="576"/>
      <c r="C96" s="563"/>
      <c r="D96" s="559"/>
      <c r="E96" s="584"/>
      <c r="F96" s="584"/>
      <c r="G96" s="27" t="s">
        <v>19</v>
      </c>
      <c r="H96" s="123" t="s">
        <v>18</v>
      </c>
      <c r="I96" s="124">
        <v>0.28999999999999998</v>
      </c>
      <c r="J96" s="124">
        <f>D94*I96</f>
        <v>103.60829999999999</v>
      </c>
      <c r="K96" s="28">
        <f>433.35/50</f>
        <v>8.6669999999999998</v>
      </c>
      <c r="L96" s="29">
        <f>K96*J96</f>
        <v>897.97313609999981</v>
      </c>
      <c r="M96" s="105" t="s">
        <v>177</v>
      </c>
      <c r="N96" s="5"/>
    </row>
    <row r="97" spans="1:14" s="30" customFormat="1" ht="15" customHeight="1">
      <c r="A97" s="555"/>
      <c r="B97" s="576"/>
      <c r="C97" s="563"/>
      <c r="D97" s="559"/>
      <c r="E97" s="584"/>
      <c r="F97" s="584"/>
      <c r="G97" s="27" t="s">
        <v>25</v>
      </c>
      <c r="H97" s="128" t="s">
        <v>58</v>
      </c>
      <c r="I97" s="124">
        <v>0.7</v>
      </c>
      <c r="J97" s="124">
        <f>I97*D94</f>
        <v>250.08899999999997</v>
      </c>
      <c r="K97" s="28">
        <f>19.17/3</f>
        <v>6.3900000000000006</v>
      </c>
      <c r="L97" s="29">
        <f>J97*K97</f>
        <v>1598.06871</v>
      </c>
      <c r="M97" s="105" t="s">
        <v>178</v>
      </c>
      <c r="N97" s="5"/>
    </row>
    <row r="98" spans="1:14" s="30" customFormat="1" ht="15" customHeight="1">
      <c r="A98" s="554">
        <f>IF(ISBLANK(D98),"",COUNTA(D$14:D98))</f>
        <v>30</v>
      </c>
      <c r="B98" s="576" t="s">
        <v>38</v>
      </c>
      <c r="C98" s="563" t="s">
        <v>11</v>
      </c>
      <c r="D98" s="559">
        <f>D100+D102+D104</f>
        <v>270.5</v>
      </c>
      <c r="E98" s="584">
        <f>101.64/1.2</f>
        <v>84.7</v>
      </c>
      <c r="F98" s="584">
        <f>E98*D98</f>
        <v>22911.350000000002</v>
      </c>
      <c r="G98" s="234" t="s">
        <v>17</v>
      </c>
      <c r="H98" s="123" t="s">
        <v>13</v>
      </c>
      <c r="I98" s="124">
        <v>0.2</v>
      </c>
      <c r="J98" s="124">
        <f>I98*D98</f>
        <v>54.1</v>
      </c>
      <c r="K98" s="272">
        <f>70/10</f>
        <v>7</v>
      </c>
      <c r="L98" s="29">
        <f t="shared" ref="L98" si="15">K98*J98</f>
        <v>378.7</v>
      </c>
      <c r="M98" s="105" t="s">
        <v>174</v>
      </c>
      <c r="N98" s="5"/>
    </row>
    <row r="99" spans="1:14" s="30" customFormat="1" ht="15" customHeight="1">
      <c r="A99" s="555"/>
      <c r="B99" s="576"/>
      <c r="C99" s="563"/>
      <c r="D99" s="559"/>
      <c r="E99" s="584"/>
      <c r="F99" s="584"/>
      <c r="G99" s="27" t="s">
        <v>16</v>
      </c>
      <c r="H99" s="123" t="s">
        <v>15</v>
      </c>
      <c r="I99" s="124">
        <v>1.8</v>
      </c>
      <c r="J99" s="124">
        <f>I99*D98</f>
        <v>486.90000000000003</v>
      </c>
      <c r="K99" s="28">
        <f>152.5/25</f>
        <v>6.1</v>
      </c>
      <c r="L99" s="29">
        <f t="shared" ref="L99:L101" si="16">K99*J99</f>
        <v>2970.09</v>
      </c>
      <c r="M99" s="105" t="s">
        <v>173</v>
      </c>
      <c r="N99" s="5"/>
    </row>
    <row r="100" spans="1:14" s="30" customFormat="1">
      <c r="A100" s="554">
        <f>IF(ISBLANK(D100),"",COUNTA(D$14:D100))</f>
        <v>31</v>
      </c>
      <c r="B100" s="576" t="s">
        <v>39</v>
      </c>
      <c r="C100" s="563" t="s">
        <v>11</v>
      </c>
      <c r="D100" s="559">
        <v>27.15</v>
      </c>
      <c r="E100" s="584">
        <f>72.6/1.2</f>
        <v>60.5</v>
      </c>
      <c r="F100" s="584">
        <f>E100*D100</f>
        <v>1642.5749999999998</v>
      </c>
      <c r="G100" s="234" t="s">
        <v>17</v>
      </c>
      <c r="H100" s="123" t="s">
        <v>13</v>
      </c>
      <c r="I100" s="124">
        <v>0.2</v>
      </c>
      <c r="J100" s="124">
        <f>I100*D100</f>
        <v>5.43</v>
      </c>
      <c r="K100" s="272">
        <f>70/10</f>
        <v>7</v>
      </c>
      <c r="L100" s="29">
        <f t="shared" si="16"/>
        <v>38.01</v>
      </c>
      <c r="M100" s="105" t="s">
        <v>174</v>
      </c>
      <c r="N100" s="5"/>
    </row>
    <row r="101" spans="1:14" s="30" customFormat="1">
      <c r="A101" s="555"/>
      <c r="B101" s="576"/>
      <c r="C101" s="563"/>
      <c r="D101" s="559"/>
      <c r="E101" s="584"/>
      <c r="F101" s="584"/>
      <c r="G101" s="33" t="s">
        <v>99</v>
      </c>
      <c r="H101" s="123" t="s">
        <v>15</v>
      </c>
      <c r="I101" s="130">
        <v>0.3</v>
      </c>
      <c r="J101" s="124">
        <f>D100*I101</f>
        <v>8.1449999999999996</v>
      </c>
      <c r="K101" s="273">
        <f>28.26/1.2*14/10</f>
        <v>32.97</v>
      </c>
      <c r="L101" s="29">
        <f t="shared" si="16"/>
        <v>268.54064999999997</v>
      </c>
      <c r="M101" s="105" t="s">
        <v>175</v>
      </c>
      <c r="N101" s="5"/>
    </row>
    <row r="102" spans="1:14" s="30" customFormat="1">
      <c r="A102" s="554">
        <f>IF(ISBLANK(D102),"",COUNTA(D$14:D102))</f>
        <v>32</v>
      </c>
      <c r="B102" s="576" t="s">
        <v>39</v>
      </c>
      <c r="C102" s="563" t="s">
        <v>11</v>
      </c>
      <c r="D102" s="559">
        <v>49.91</v>
      </c>
      <c r="E102" s="584">
        <f>72.6/1.2</f>
        <v>60.5</v>
      </c>
      <c r="F102" s="584">
        <f>E102*D102</f>
        <v>3019.5549999999998</v>
      </c>
      <c r="G102" s="234" t="s">
        <v>17</v>
      </c>
      <c r="H102" s="123" t="s">
        <v>13</v>
      </c>
      <c r="I102" s="124">
        <v>0.2</v>
      </c>
      <c r="J102" s="124">
        <f>I102*D102</f>
        <v>9.9819999999999993</v>
      </c>
      <c r="K102" s="276">
        <f>70/10</f>
        <v>7</v>
      </c>
      <c r="L102" s="29">
        <f t="shared" ref="L102" si="17">K102*J102</f>
        <v>69.873999999999995</v>
      </c>
      <c r="M102" s="105" t="s">
        <v>174</v>
      </c>
      <c r="N102" s="5"/>
    </row>
    <row r="103" spans="1:14" s="30" customFormat="1">
      <c r="A103" s="555"/>
      <c r="B103" s="576"/>
      <c r="C103" s="563"/>
      <c r="D103" s="559"/>
      <c r="E103" s="584"/>
      <c r="F103" s="584"/>
      <c r="G103" s="33" t="s">
        <v>21</v>
      </c>
      <c r="H103" s="123" t="s">
        <v>15</v>
      </c>
      <c r="I103" s="130">
        <v>0.3</v>
      </c>
      <c r="J103" s="124">
        <f>I103*D102</f>
        <v>14.972999999999999</v>
      </c>
      <c r="K103" s="28">
        <f>29.79/1.2*14/10</f>
        <v>34.755000000000003</v>
      </c>
      <c r="L103" s="29">
        <f>K103*J103</f>
        <v>520.38661500000001</v>
      </c>
      <c r="M103" s="105" t="s">
        <v>175</v>
      </c>
      <c r="N103" s="5"/>
    </row>
    <row r="104" spans="1:14" s="30" customFormat="1">
      <c r="A104" s="554">
        <f>IF(ISBLANK(D104),"",COUNTA(D$14:D104))</f>
        <v>33</v>
      </c>
      <c r="B104" s="576" t="s">
        <v>39</v>
      </c>
      <c r="C104" s="563" t="s">
        <v>11</v>
      </c>
      <c r="D104" s="559">
        <f>70.55+12.7+41.26+68.93</f>
        <v>193.44</v>
      </c>
      <c r="E104" s="584">
        <f>72.6/1.2</f>
        <v>60.5</v>
      </c>
      <c r="F104" s="597">
        <f>E104*D104</f>
        <v>11703.119999999999</v>
      </c>
      <c r="G104" s="234" t="s">
        <v>17</v>
      </c>
      <c r="H104" s="123" t="s">
        <v>13</v>
      </c>
      <c r="I104" s="124">
        <v>0.2</v>
      </c>
      <c r="J104" s="124">
        <f>I104*D104</f>
        <v>38.688000000000002</v>
      </c>
      <c r="K104" s="272">
        <f>70/10</f>
        <v>7</v>
      </c>
      <c r="L104" s="29">
        <f t="shared" ref="L104:L105" si="18">K104*J104</f>
        <v>270.81600000000003</v>
      </c>
      <c r="M104" s="105" t="s">
        <v>174</v>
      </c>
      <c r="N104" s="5"/>
    </row>
    <row r="105" spans="1:14" s="30" customFormat="1">
      <c r="A105" s="555"/>
      <c r="B105" s="576"/>
      <c r="C105" s="563"/>
      <c r="D105" s="559"/>
      <c r="E105" s="584"/>
      <c r="F105" s="598"/>
      <c r="G105" s="33" t="s">
        <v>46</v>
      </c>
      <c r="H105" s="123" t="s">
        <v>15</v>
      </c>
      <c r="I105" s="130">
        <v>0.3</v>
      </c>
      <c r="J105" s="124">
        <f>I105*D104</f>
        <v>58.031999999999996</v>
      </c>
      <c r="K105" s="273">
        <f>28.26/1.2*14/10</f>
        <v>32.97</v>
      </c>
      <c r="L105" s="29">
        <f t="shared" si="18"/>
        <v>1913.3150399999997</v>
      </c>
      <c r="M105" s="105" t="s">
        <v>175</v>
      </c>
      <c r="N105" s="5"/>
    </row>
    <row r="106" spans="1:14" s="30" customFormat="1" ht="15" customHeight="1">
      <c r="A106" s="554">
        <f>IF(ISBLANK(D106),"",COUNTA(D$14:D106))</f>
        <v>34</v>
      </c>
      <c r="B106" s="562" t="s">
        <v>100</v>
      </c>
      <c r="C106" s="563" t="s">
        <v>11</v>
      </c>
      <c r="D106" s="559">
        <v>16.29</v>
      </c>
      <c r="E106" s="584">
        <f>363/1.2</f>
        <v>302.5</v>
      </c>
      <c r="F106" s="584">
        <f>E106*D106</f>
        <v>4927.7249999999995</v>
      </c>
      <c r="G106" s="234" t="s">
        <v>17</v>
      </c>
      <c r="H106" s="123" t="s">
        <v>13</v>
      </c>
      <c r="I106" s="124">
        <v>0.2</v>
      </c>
      <c r="J106" s="124">
        <f>I106*D106</f>
        <v>3.258</v>
      </c>
      <c r="K106" s="276">
        <f>70/10</f>
        <v>7</v>
      </c>
      <c r="L106" s="29">
        <f t="shared" ref="L106" si="19">K106*J106</f>
        <v>22.806000000000001</v>
      </c>
      <c r="M106" s="105" t="s">
        <v>174</v>
      </c>
      <c r="N106" s="5"/>
    </row>
    <row r="107" spans="1:14" s="30" customFormat="1" ht="15" customHeight="1">
      <c r="A107" s="561"/>
      <c r="B107" s="562"/>
      <c r="C107" s="563"/>
      <c r="D107" s="559"/>
      <c r="E107" s="584"/>
      <c r="F107" s="584"/>
      <c r="G107" s="27" t="s">
        <v>101</v>
      </c>
      <c r="H107" s="123" t="s">
        <v>18</v>
      </c>
      <c r="I107" s="124">
        <v>1.03</v>
      </c>
      <c r="J107" s="124">
        <f>D106*I107</f>
        <v>16.778700000000001</v>
      </c>
      <c r="K107" s="124">
        <f>188.57/1.2</f>
        <v>157.14166666666668</v>
      </c>
      <c r="L107" s="125">
        <f t="shared" ref="L107:L154" si="20">K107*J107</f>
        <v>2636.6328825000005</v>
      </c>
      <c r="M107" s="107"/>
      <c r="N107" s="5"/>
    </row>
    <row r="108" spans="1:14" s="30" customFormat="1" ht="15" customHeight="1">
      <c r="A108" s="561"/>
      <c r="B108" s="562"/>
      <c r="C108" s="563"/>
      <c r="D108" s="559"/>
      <c r="E108" s="584"/>
      <c r="F108" s="584"/>
      <c r="G108" s="27" t="s">
        <v>33</v>
      </c>
      <c r="H108" s="123" t="s">
        <v>15</v>
      </c>
      <c r="I108" s="124">
        <v>7.1</v>
      </c>
      <c r="J108" s="124">
        <f>D106*I108</f>
        <v>115.65899999999999</v>
      </c>
      <c r="K108" s="124">
        <f>77.1/25/1.2</f>
        <v>2.57</v>
      </c>
      <c r="L108" s="156">
        <f t="shared" si="20"/>
        <v>297.24362999999994</v>
      </c>
      <c r="M108" s="105" t="s">
        <v>181</v>
      </c>
      <c r="N108" s="5"/>
    </row>
    <row r="109" spans="1:14" s="30" customFormat="1" ht="15" customHeight="1">
      <c r="A109" s="555"/>
      <c r="B109" s="562"/>
      <c r="C109" s="563"/>
      <c r="D109" s="559"/>
      <c r="E109" s="584"/>
      <c r="F109" s="584"/>
      <c r="G109" s="27" t="s">
        <v>34</v>
      </c>
      <c r="H109" s="123" t="s">
        <v>15</v>
      </c>
      <c r="I109" s="124">
        <v>0.40600000000000003</v>
      </c>
      <c r="J109" s="124">
        <f>D106*I109</f>
        <v>6.61374</v>
      </c>
      <c r="K109" s="124">
        <f>54.08/2</f>
        <v>27.04</v>
      </c>
      <c r="L109" s="156">
        <f t="shared" si="20"/>
        <v>178.8355296</v>
      </c>
      <c r="M109" s="105" t="s">
        <v>182</v>
      </c>
      <c r="N109" s="5"/>
    </row>
    <row r="110" spans="1:14" s="30" customFormat="1" ht="15" customHeight="1">
      <c r="A110" s="554">
        <f>IF(ISBLANK(D110),"",COUNTA(D$14:D110))</f>
        <v>35</v>
      </c>
      <c r="B110" s="562" t="s">
        <v>102</v>
      </c>
      <c r="C110" s="563" t="s">
        <v>11</v>
      </c>
      <c r="D110" s="559">
        <v>115.41</v>
      </c>
      <c r="E110" s="584">
        <f>363/1.2</f>
        <v>302.5</v>
      </c>
      <c r="F110" s="584">
        <f>E110*D110</f>
        <v>34911.525000000001</v>
      </c>
      <c r="G110" s="234" t="s">
        <v>17</v>
      </c>
      <c r="H110" s="123" t="s">
        <v>13</v>
      </c>
      <c r="I110" s="124">
        <v>0.2</v>
      </c>
      <c r="J110" s="124">
        <f>I110*D110</f>
        <v>23.082000000000001</v>
      </c>
      <c r="K110" s="272">
        <f>70/10</f>
        <v>7</v>
      </c>
      <c r="L110" s="29">
        <f t="shared" si="20"/>
        <v>161.57400000000001</v>
      </c>
      <c r="M110" s="105" t="s">
        <v>174</v>
      </c>
      <c r="N110" s="5"/>
    </row>
    <row r="111" spans="1:14" s="30" customFormat="1" ht="15" customHeight="1">
      <c r="A111" s="561"/>
      <c r="B111" s="562"/>
      <c r="C111" s="563"/>
      <c r="D111" s="559"/>
      <c r="E111" s="584"/>
      <c r="F111" s="584"/>
      <c r="G111" s="234" t="s">
        <v>103</v>
      </c>
      <c r="H111" s="123" t="s">
        <v>18</v>
      </c>
      <c r="I111" s="124">
        <v>1.03</v>
      </c>
      <c r="J111" s="124">
        <f>D110*I111</f>
        <v>118.8723</v>
      </c>
      <c r="K111" s="124">
        <f>266/1.2</f>
        <v>221.66666666666669</v>
      </c>
      <c r="L111" s="156">
        <f t="shared" si="20"/>
        <v>26350.0265</v>
      </c>
      <c r="M111" s="105" t="s">
        <v>183</v>
      </c>
      <c r="N111" s="5"/>
    </row>
    <row r="112" spans="1:14" s="30" customFormat="1" ht="15" customHeight="1">
      <c r="A112" s="561"/>
      <c r="B112" s="562"/>
      <c r="C112" s="563"/>
      <c r="D112" s="559"/>
      <c r="E112" s="584"/>
      <c r="F112" s="584"/>
      <c r="G112" s="27" t="s">
        <v>33</v>
      </c>
      <c r="H112" s="123" t="s">
        <v>15</v>
      </c>
      <c r="I112" s="124">
        <v>7.1</v>
      </c>
      <c r="J112" s="124">
        <f>D110*I112</f>
        <v>819.41099999999994</v>
      </c>
      <c r="K112" s="124">
        <f>77.1/25/1.2</f>
        <v>2.57</v>
      </c>
      <c r="L112" s="156">
        <f t="shared" si="20"/>
        <v>2105.8862699999995</v>
      </c>
      <c r="M112" s="105" t="s">
        <v>181</v>
      </c>
      <c r="N112" s="5"/>
    </row>
    <row r="113" spans="1:14" s="30" customFormat="1" ht="15" customHeight="1">
      <c r="A113" s="555"/>
      <c r="B113" s="562"/>
      <c r="C113" s="563"/>
      <c r="D113" s="559"/>
      <c r="E113" s="584"/>
      <c r="F113" s="584"/>
      <c r="G113" s="27" t="s">
        <v>34</v>
      </c>
      <c r="H113" s="123" t="s">
        <v>15</v>
      </c>
      <c r="I113" s="124">
        <f>I117</f>
        <v>0.40600000000000003</v>
      </c>
      <c r="J113" s="124">
        <f>D110*I113</f>
        <v>46.856459999999998</v>
      </c>
      <c r="K113" s="124">
        <f>54.08/2</f>
        <v>27.04</v>
      </c>
      <c r="L113" s="156">
        <f t="shared" si="20"/>
        <v>1266.9986784</v>
      </c>
      <c r="M113" s="105" t="s">
        <v>182</v>
      </c>
      <c r="N113" s="5"/>
    </row>
    <row r="114" spans="1:14" s="30" customFormat="1" ht="15" customHeight="1">
      <c r="A114" s="554">
        <f>IF(ISBLANK(D114),"",COUNTA(D$14:D114))</f>
        <v>36</v>
      </c>
      <c r="B114" s="562" t="s">
        <v>102</v>
      </c>
      <c r="C114" s="563" t="s">
        <v>11</v>
      </c>
      <c r="D114" s="559">
        <v>144.43</v>
      </c>
      <c r="E114" s="584">
        <f>363/1.2</f>
        <v>302.5</v>
      </c>
      <c r="F114" s="584">
        <f>E114*D114</f>
        <v>43690.075000000004</v>
      </c>
      <c r="G114" s="234" t="s">
        <v>17</v>
      </c>
      <c r="H114" s="123" t="s">
        <v>13</v>
      </c>
      <c r="I114" s="124">
        <v>0.2</v>
      </c>
      <c r="J114" s="124">
        <f>I114*D114</f>
        <v>28.886000000000003</v>
      </c>
      <c r="K114" s="272">
        <f>70/10</f>
        <v>7</v>
      </c>
      <c r="L114" s="29">
        <f t="shared" si="20"/>
        <v>202.20200000000003</v>
      </c>
      <c r="M114" s="105" t="s">
        <v>174</v>
      </c>
      <c r="N114" s="5"/>
    </row>
    <row r="115" spans="1:14" s="30" customFormat="1" ht="15" customHeight="1">
      <c r="A115" s="561"/>
      <c r="B115" s="562"/>
      <c r="C115" s="563"/>
      <c r="D115" s="559"/>
      <c r="E115" s="584"/>
      <c r="F115" s="584"/>
      <c r="G115" s="234" t="s">
        <v>104</v>
      </c>
      <c r="H115" s="123" t="s">
        <v>18</v>
      </c>
      <c r="I115" s="124">
        <v>1.03</v>
      </c>
      <c r="J115" s="124">
        <f>D114*I115</f>
        <v>148.7629</v>
      </c>
      <c r="K115" s="124">
        <f>266/1.2</f>
        <v>221.66666666666669</v>
      </c>
      <c r="L115" s="156">
        <f t="shared" ref="L115" si="21">K115*J115</f>
        <v>32975.77616666667</v>
      </c>
      <c r="M115" s="105" t="s">
        <v>183</v>
      </c>
      <c r="N115" s="5"/>
    </row>
    <row r="116" spans="1:14" s="30" customFormat="1" ht="15" customHeight="1">
      <c r="A116" s="561"/>
      <c r="B116" s="562"/>
      <c r="C116" s="563"/>
      <c r="D116" s="559"/>
      <c r="E116" s="584"/>
      <c r="F116" s="584"/>
      <c r="G116" s="27" t="s">
        <v>33</v>
      </c>
      <c r="H116" s="123" t="s">
        <v>15</v>
      </c>
      <c r="I116" s="124">
        <v>7.1</v>
      </c>
      <c r="J116" s="124">
        <f>D114*I116</f>
        <v>1025.453</v>
      </c>
      <c r="K116" s="124">
        <f>77.1/25/1.2</f>
        <v>2.57</v>
      </c>
      <c r="L116" s="156">
        <f t="shared" si="20"/>
        <v>2635.4142099999999</v>
      </c>
      <c r="M116" s="105" t="s">
        <v>181</v>
      </c>
      <c r="N116" s="5"/>
    </row>
    <row r="117" spans="1:14" s="30" customFormat="1" ht="15" customHeight="1">
      <c r="A117" s="555"/>
      <c r="B117" s="562"/>
      <c r="C117" s="563"/>
      <c r="D117" s="559"/>
      <c r="E117" s="584"/>
      <c r="F117" s="584"/>
      <c r="G117" s="27" t="s">
        <v>34</v>
      </c>
      <c r="H117" s="123" t="s">
        <v>15</v>
      </c>
      <c r="I117" s="124">
        <f>I109</f>
        <v>0.40600000000000003</v>
      </c>
      <c r="J117" s="124">
        <f>D114*I117</f>
        <v>58.638580000000005</v>
      </c>
      <c r="K117" s="124">
        <f>54.08/2</f>
        <v>27.04</v>
      </c>
      <c r="L117" s="156">
        <f t="shared" si="20"/>
        <v>1585.5872032</v>
      </c>
      <c r="M117" s="105" t="s">
        <v>182</v>
      </c>
      <c r="N117" s="5"/>
    </row>
    <row r="118" spans="1:14" s="30" customFormat="1" ht="15" customHeight="1">
      <c r="A118" s="554">
        <f>IF(ISBLANK(D118),"",COUNTA(D$14:D118))</f>
        <v>37</v>
      </c>
      <c r="B118" s="562" t="s">
        <v>105</v>
      </c>
      <c r="C118" s="563" t="s">
        <v>11</v>
      </c>
      <c r="D118" s="559">
        <v>35.08</v>
      </c>
      <c r="E118" s="584">
        <f>410/1.2</f>
        <v>341.66666666666669</v>
      </c>
      <c r="F118" s="584">
        <f>E118*D118</f>
        <v>11985.666666666666</v>
      </c>
      <c r="G118" s="234" t="s">
        <v>17</v>
      </c>
      <c r="H118" s="123" t="s">
        <v>13</v>
      </c>
      <c r="I118" s="124">
        <v>0.2</v>
      </c>
      <c r="J118" s="124">
        <f>I118*D118</f>
        <v>7.016</v>
      </c>
      <c r="K118" s="272">
        <f>70/10</f>
        <v>7</v>
      </c>
      <c r="L118" s="29">
        <f t="shared" si="20"/>
        <v>49.112000000000002</v>
      </c>
      <c r="M118" s="105" t="s">
        <v>174</v>
      </c>
      <c r="N118" s="5"/>
    </row>
    <row r="119" spans="1:14" s="30" customFormat="1" ht="25.5">
      <c r="A119" s="561"/>
      <c r="B119" s="562"/>
      <c r="C119" s="563"/>
      <c r="D119" s="559"/>
      <c r="E119" s="584"/>
      <c r="F119" s="584"/>
      <c r="G119" s="234" t="s">
        <v>106</v>
      </c>
      <c r="H119" s="123" t="s">
        <v>18</v>
      </c>
      <c r="I119" s="124">
        <v>1.03</v>
      </c>
      <c r="J119" s="124">
        <f>D118*I119</f>
        <v>36.132399999999997</v>
      </c>
      <c r="K119" s="124">
        <f>422/1.2</f>
        <v>351.66666666666669</v>
      </c>
      <c r="L119" s="125">
        <f t="shared" si="20"/>
        <v>12706.560666666666</v>
      </c>
      <c r="M119" s="107"/>
      <c r="N119" s="5"/>
    </row>
    <row r="120" spans="1:14" s="30" customFormat="1" ht="15" customHeight="1">
      <c r="A120" s="561"/>
      <c r="B120" s="562"/>
      <c r="C120" s="563"/>
      <c r="D120" s="559"/>
      <c r="E120" s="584"/>
      <c r="F120" s="584"/>
      <c r="G120" s="27" t="s">
        <v>33</v>
      </c>
      <c r="H120" s="123" t="s">
        <v>15</v>
      </c>
      <c r="I120" s="124">
        <v>7.1</v>
      </c>
      <c r="J120" s="124">
        <f>D118*I120</f>
        <v>249.06799999999998</v>
      </c>
      <c r="K120" s="124">
        <f>77.1/25/1.2</f>
        <v>2.57</v>
      </c>
      <c r="L120" s="156">
        <f t="shared" si="20"/>
        <v>640.10475999999994</v>
      </c>
      <c r="M120" s="105" t="s">
        <v>181</v>
      </c>
      <c r="N120" s="5"/>
    </row>
    <row r="121" spans="1:14" s="30" customFormat="1" ht="15" customHeight="1">
      <c r="A121" s="555"/>
      <c r="B121" s="562"/>
      <c r="C121" s="563"/>
      <c r="D121" s="559"/>
      <c r="E121" s="584"/>
      <c r="F121" s="584"/>
      <c r="G121" s="84" t="s">
        <v>34</v>
      </c>
      <c r="H121" s="123" t="s">
        <v>15</v>
      </c>
      <c r="I121" s="124">
        <v>0.40600000000000003</v>
      </c>
      <c r="J121" s="124">
        <f>D118*I121</f>
        <v>14.24248</v>
      </c>
      <c r="K121" s="124">
        <f>54.08/2</f>
        <v>27.04</v>
      </c>
      <c r="L121" s="156">
        <f t="shared" si="20"/>
        <v>385.11665920000002</v>
      </c>
      <c r="M121" s="105" t="s">
        <v>182</v>
      </c>
      <c r="N121" s="5"/>
    </row>
    <row r="122" spans="1:14" s="30" customFormat="1" ht="15" customHeight="1">
      <c r="A122" s="554">
        <f>IF(ISBLANK(D122),"",COUNTA(D$14:D122))</f>
        <v>38</v>
      </c>
      <c r="B122" s="556" t="s">
        <v>107</v>
      </c>
      <c r="C122" s="557" t="s">
        <v>27</v>
      </c>
      <c r="D122" s="558">
        <v>33.28</v>
      </c>
      <c r="E122" s="558">
        <f>130.68/1.2</f>
        <v>108.9</v>
      </c>
      <c r="F122" s="558">
        <f>D122*E122</f>
        <v>3624.1920000000005</v>
      </c>
      <c r="G122" s="111" t="s">
        <v>36</v>
      </c>
      <c r="H122" s="231" t="s">
        <v>24</v>
      </c>
      <c r="I122" s="131">
        <v>3</v>
      </c>
      <c r="J122" s="263">
        <f>D122*I122</f>
        <v>99.84</v>
      </c>
      <c r="K122" s="272">
        <f>98/30</f>
        <v>3.2666666666666666</v>
      </c>
      <c r="L122" s="29">
        <f>K122*J122</f>
        <v>326.14400000000001</v>
      </c>
      <c r="M122" s="105" t="s">
        <v>176</v>
      </c>
      <c r="N122" s="5"/>
    </row>
    <row r="123" spans="1:14" s="30" customFormat="1" ht="15" customHeight="1">
      <c r="A123" s="561"/>
      <c r="B123" s="556"/>
      <c r="C123" s="557"/>
      <c r="D123" s="558"/>
      <c r="E123" s="558"/>
      <c r="F123" s="558"/>
      <c r="G123" s="261" t="s">
        <v>17</v>
      </c>
      <c r="H123" s="231" t="s">
        <v>23</v>
      </c>
      <c r="I123" s="131">
        <v>0.04</v>
      </c>
      <c r="J123" s="263">
        <f>D122*I123</f>
        <v>1.3312000000000002</v>
      </c>
      <c r="K123" s="272">
        <f>70/10</f>
        <v>7</v>
      </c>
      <c r="L123" s="29">
        <f t="shared" si="20"/>
        <v>9.3184000000000005</v>
      </c>
      <c r="M123" s="105" t="s">
        <v>174</v>
      </c>
      <c r="N123" s="5"/>
    </row>
    <row r="124" spans="1:14" s="30" customFormat="1" ht="15" customHeight="1">
      <c r="A124" s="561"/>
      <c r="B124" s="556"/>
      <c r="C124" s="557"/>
      <c r="D124" s="558"/>
      <c r="E124" s="558"/>
      <c r="F124" s="558"/>
      <c r="G124" s="111" t="s">
        <v>19</v>
      </c>
      <c r="H124" s="231" t="s">
        <v>28</v>
      </c>
      <c r="I124" s="131">
        <f>0.08*(200/250)</f>
        <v>6.4000000000000001E-2</v>
      </c>
      <c r="J124" s="263">
        <f>D122*I124</f>
        <v>2.1299200000000003</v>
      </c>
      <c r="K124" s="28">
        <f>433.35/50</f>
        <v>8.6669999999999998</v>
      </c>
      <c r="L124" s="29">
        <f>K124*J124</f>
        <v>18.460016640000003</v>
      </c>
      <c r="M124" s="105" t="s">
        <v>177</v>
      </c>
      <c r="N124" s="5"/>
    </row>
    <row r="125" spans="1:14" s="30" customFormat="1" ht="15" customHeight="1">
      <c r="A125" s="555"/>
      <c r="B125" s="556"/>
      <c r="C125" s="557"/>
      <c r="D125" s="558"/>
      <c r="E125" s="558"/>
      <c r="F125" s="558"/>
      <c r="G125" s="111" t="s">
        <v>25</v>
      </c>
      <c r="H125" s="231" t="s">
        <v>45</v>
      </c>
      <c r="I125" s="131">
        <v>1.02</v>
      </c>
      <c r="J125" s="263">
        <f>D122*I125</f>
        <v>33.945599999999999</v>
      </c>
      <c r="K125" s="28">
        <f>19.17/3</f>
        <v>6.3900000000000006</v>
      </c>
      <c r="L125" s="29">
        <f>J125*K125</f>
        <v>216.912384</v>
      </c>
      <c r="M125" s="105" t="s">
        <v>178</v>
      </c>
      <c r="N125" s="5"/>
    </row>
    <row r="126" spans="1:14" s="30" customFormat="1" ht="15" customHeight="1">
      <c r="A126" s="554">
        <f>IF(ISBLANK(D126),"",COUNTA(D$14:D126))</f>
        <v>39</v>
      </c>
      <c r="B126" s="556" t="s">
        <v>108</v>
      </c>
      <c r="C126" s="557" t="s">
        <v>27</v>
      </c>
      <c r="D126" s="558">
        <v>18.47</v>
      </c>
      <c r="E126" s="558">
        <f>101.64/1.2*0.2</f>
        <v>16.940000000000001</v>
      </c>
      <c r="F126" s="558">
        <f>E126*D126</f>
        <v>312.8818</v>
      </c>
      <c r="G126" s="261" t="s">
        <v>17</v>
      </c>
      <c r="H126" s="231" t="s">
        <v>23</v>
      </c>
      <c r="I126" s="131">
        <v>0.05</v>
      </c>
      <c r="J126" s="263">
        <f>I126*D126</f>
        <v>0.92349999999999999</v>
      </c>
      <c r="K126" s="272">
        <f>70/10</f>
        <v>7</v>
      </c>
      <c r="L126" s="29">
        <f t="shared" si="20"/>
        <v>6.4645000000000001</v>
      </c>
      <c r="M126" s="105" t="s">
        <v>174</v>
      </c>
      <c r="N126" s="5"/>
    </row>
    <row r="127" spans="1:14" s="30" customFormat="1" ht="15" customHeight="1">
      <c r="A127" s="555"/>
      <c r="B127" s="556"/>
      <c r="C127" s="557"/>
      <c r="D127" s="558"/>
      <c r="E127" s="558"/>
      <c r="F127" s="558"/>
      <c r="G127" s="27" t="s">
        <v>16</v>
      </c>
      <c r="H127" s="231" t="s">
        <v>24</v>
      </c>
      <c r="I127" s="131">
        <v>0.45</v>
      </c>
      <c r="J127" s="263">
        <f>I127*D126</f>
        <v>8.3115000000000006</v>
      </c>
      <c r="K127" s="28">
        <f>152.5/25</f>
        <v>6.1</v>
      </c>
      <c r="L127" s="29">
        <f t="shared" si="20"/>
        <v>50.700150000000001</v>
      </c>
      <c r="M127" s="105" t="s">
        <v>173</v>
      </c>
      <c r="N127" s="5"/>
    </row>
    <row r="128" spans="1:14" s="30" customFormat="1" ht="15" customHeight="1">
      <c r="A128" s="554">
        <f>IF(ISBLANK(D128),"",COUNTA(D$14:D128))</f>
        <v>40</v>
      </c>
      <c r="B128" s="556" t="s">
        <v>65</v>
      </c>
      <c r="C128" s="557" t="s">
        <v>27</v>
      </c>
      <c r="D128" s="558">
        <f>D126</f>
        <v>18.47</v>
      </c>
      <c r="E128" s="558">
        <f>72.6/1.2*0.2</f>
        <v>12.100000000000001</v>
      </c>
      <c r="F128" s="558">
        <f>D128*E128</f>
        <v>223.48700000000002</v>
      </c>
      <c r="G128" s="261" t="s">
        <v>17</v>
      </c>
      <c r="H128" s="231" t="s">
        <v>23</v>
      </c>
      <c r="I128" s="131">
        <v>0.05</v>
      </c>
      <c r="J128" s="263">
        <f>I128*D128</f>
        <v>0.92349999999999999</v>
      </c>
      <c r="K128" s="272">
        <f>70/10</f>
        <v>7</v>
      </c>
      <c r="L128" s="29">
        <f t="shared" si="20"/>
        <v>6.4645000000000001</v>
      </c>
      <c r="M128" s="105" t="s">
        <v>174</v>
      </c>
      <c r="N128" s="5"/>
    </row>
    <row r="129" spans="1:14" s="30" customFormat="1" ht="15" customHeight="1">
      <c r="A129" s="555"/>
      <c r="B129" s="556"/>
      <c r="C129" s="557"/>
      <c r="D129" s="558"/>
      <c r="E129" s="558"/>
      <c r="F129" s="558"/>
      <c r="G129" s="33" t="s">
        <v>46</v>
      </c>
      <c r="H129" s="231" t="s">
        <v>23</v>
      </c>
      <c r="I129" s="132">
        <v>0.13</v>
      </c>
      <c r="J129" s="263">
        <f>I129*D128</f>
        <v>2.4011</v>
      </c>
      <c r="K129" s="273">
        <f>28.26/1.2*14/10</f>
        <v>32.97</v>
      </c>
      <c r="L129" s="29">
        <f t="shared" si="20"/>
        <v>79.164266999999995</v>
      </c>
      <c r="M129" s="105" t="s">
        <v>175</v>
      </c>
      <c r="N129" s="5"/>
    </row>
    <row r="130" spans="1:14" s="30" customFormat="1" ht="15" customHeight="1">
      <c r="A130" s="554">
        <f>IF(ISBLANK(D130),"",COUNTA(D$14:D130))</f>
        <v>41</v>
      </c>
      <c r="B130" s="562" t="s">
        <v>109</v>
      </c>
      <c r="C130" s="563" t="s">
        <v>11</v>
      </c>
      <c r="D130" s="559">
        <f>14.81*0.2</f>
        <v>2.9620000000000002</v>
      </c>
      <c r="E130" s="584">
        <f>363/1.2</f>
        <v>302.5</v>
      </c>
      <c r="F130" s="584">
        <f>E130*D130</f>
        <v>896.00500000000011</v>
      </c>
      <c r="G130" s="234" t="s">
        <v>17</v>
      </c>
      <c r="H130" s="123" t="s">
        <v>13</v>
      </c>
      <c r="I130" s="124">
        <v>0.2</v>
      </c>
      <c r="J130" s="124">
        <f>I130*D130</f>
        <v>0.59240000000000004</v>
      </c>
      <c r="K130" s="276">
        <f>70/10</f>
        <v>7</v>
      </c>
      <c r="L130" s="29">
        <f t="shared" ref="L130:L131" si="22">K130*J130</f>
        <v>4.1468000000000007</v>
      </c>
      <c r="M130" s="105" t="s">
        <v>174</v>
      </c>
      <c r="N130" s="5"/>
    </row>
    <row r="131" spans="1:14" s="30" customFormat="1" ht="15" customHeight="1">
      <c r="A131" s="561"/>
      <c r="B131" s="562"/>
      <c r="C131" s="563"/>
      <c r="D131" s="559"/>
      <c r="E131" s="584"/>
      <c r="F131" s="584"/>
      <c r="G131" s="234" t="s">
        <v>103</v>
      </c>
      <c r="H131" s="123" t="s">
        <v>18</v>
      </c>
      <c r="I131" s="124">
        <v>1.03</v>
      </c>
      <c r="J131" s="124">
        <f>D130*I131</f>
        <v>3.0508600000000001</v>
      </c>
      <c r="K131" s="124">
        <f>266/1.2</f>
        <v>221.66666666666669</v>
      </c>
      <c r="L131" s="156">
        <f t="shared" si="22"/>
        <v>676.27396666666675</v>
      </c>
      <c r="M131" s="105" t="s">
        <v>183</v>
      </c>
      <c r="N131" s="5"/>
    </row>
    <row r="132" spans="1:14" s="30" customFormat="1" ht="15" customHeight="1">
      <c r="A132" s="561"/>
      <c r="B132" s="562"/>
      <c r="C132" s="563"/>
      <c r="D132" s="559"/>
      <c r="E132" s="584"/>
      <c r="F132" s="584"/>
      <c r="G132" s="27" t="s">
        <v>33</v>
      </c>
      <c r="H132" s="123" t="s">
        <v>15</v>
      </c>
      <c r="I132" s="124">
        <v>7.1</v>
      </c>
      <c r="J132" s="124">
        <f>D130*I132</f>
        <v>21.030200000000001</v>
      </c>
      <c r="K132" s="124">
        <f>77.1/25/1.2</f>
        <v>2.57</v>
      </c>
      <c r="L132" s="156">
        <f t="shared" ref="L132:L141" si="23">K132*J132</f>
        <v>54.047613999999996</v>
      </c>
      <c r="M132" s="105" t="s">
        <v>181</v>
      </c>
      <c r="N132" s="5"/>
    </row>
    <row r="133" spans="1:14" s="30" customFormat="1" ht="15" customHeight="1">
      <c r="A133" s="555"/>
      <c r="B133" s="562"/>
      <c r="C133" s="563"/>
      <c r="D133" s="559"/>
      <c r="E133" s="584"/>
      <c r="F133" s="584"/>
      <c r="G133" s="27" t="s">
        <v>34</v>
      </c>
      <c r="H133" s="123" t="s">
        <v>15</v>
      </c>
      <c r="I133" s="124">
        <v>0.40600000000000003</v>
      </c>
      <c r="J133" s="124">
        <f>D130*I133</f>
        <v>1.2025720000000002</v>
      </c>
      <c r="K133" s="124">
        <f>54.08/2</f>
        <v>27.04</v>
      </c>
      <c r="L133" s="156">
        <f t="shared" si="23"/>
        <v>32.517546880000005</v>
      </c>
      <c r="M133" s="105" t="s">
        <v>182</v>
      </c>
      <c r="N133" s="5"/>
    </row>
    <row r="134" spans="1:14" s="30" customFormat="1" ht="15" customHeight="1">
      <c r="A134" s="554">
        <f>IF(ISBLANK(D134),"",COUNTA(D$14:D134))</f>
        <v>42</v>
      </c>
      <c r="B134" s="556" t="s">
        <v>110</v>
      </c>
      <c r="C134" s="557" t="s">
        <v>27</v>
      </c>
      <c r="D134" s="558">
        <v>30.04</v>
      </c>
      <c r="E134" s="558">
        <f>130.68/1.2</f>
        <v>108.9</v>
      </c>
      <c r="F134" s="558">
        <f>D134*E134</f>
        <v>3271.3560000000002</v>
      </c>
      <c r="G134" s="111" t="s">
        <v>36</v>
      </c>
      <c r="H134" s="231" t="s">
        <v>24</v>
      </c>
      <c r="I134" s="131">
        <v>3</v>
      </c>
      <c r="J134" s="263">
        <f>D134*I134</f>
        <v>90.12</v>
      </c>
      <c r="K134" s="272">
        <f>98/30</f>
        <v>3.2666666666666666</v>
      </c>
      <c r="L134" s="29">
        <f>K134*J134</f>
        <v>294.392</v>
      </c>
      <c r="M134" s="105" t="s">
        <v>176</v>
      </c>
      <c r="N134" s="5"/>
    </row>
    <row r="135" spans="1:14" s="30" customFormat="1" ht="15" customHeight="1">
      <c r="A135" s="561"/>
      <c r="B135" s="556"/>
      <c r="C135" s="557"/>
      <c r="D135" s="558"/>
      <c r="E135" s="558"/>
      <c r="F135" s="558"/>
      <c r="G135" s="261" t="s">
        <v>17</v>
      </c>
      <c r="H135" s="231" t="s">
        <v>23</v>
      </c>
      <c r="I135" s="131">
        <v>0.04</v>
      </c>
      <c r="J135" s="263">
        <f>D134*I135</f>
        <v>1.2016</v>
      </c>
      <c r="K135" s="272">
        <f>70/10</f>
        <v>7</v>
      </c>
      <c r="L135" s="29">
        <f t="shared" si="23"/>
        <v>8.4112000000000009</v>
      </c>
      <c r="M135" s="105" t="s">
        <v>174</v>
      </c>
      <c r="N135" s="5"/>
    </row>
    <row r="136" spans="1:14" s="30" customFormat="1" ht="15" customHeight="1">
      <c r="A136" s="561"/>
      <c r="B136" s="556"/>
      <c r="C136" s="557"/>
      <c r="D136" s="558"/>
      <c r="E136" s="558"/>
      <c r="F136" s="558"/>
      <c r="G136" s="111" t="s">
        <v>19</v>
      </c>
      <c r="H136" s="231" t="s">
        <v>28</v>
      </c>
      <c r="I136" s="131">
        <f>0.08*(70/250)</f>
        <v>2.2400000000000003E-2</v>
      </c>
      <c r="J136" s="263">
        <f>D134*I136</f>
        <v>0.67289600000000005</v>
      </c>
      <c r="K136" s="28">
        <f>433.35/50</f>
        <v>8.6669999999999998</v>
      </c>
      <c r="L136" s="29">
        <f>K136*J136</f>
        <v>5.831989632</v>
      </c>
      <c r="M136" s="105" t="s">
        <v>177</v>
      </c>
      <c r="N136" s="5"/>
    </row>
    <row r="137" spans="1:14" s="30" customFormat="1" ht="15" customHeight="1">
      <c r="A137" s="555"/>
      <c r="B137" s="556"/>
      <c r="C137" s="557"/>
      <c r="D137" s="558"/>
      <c r="E137" s="558"/>
      <c r="F137" s="558"/>
      <c r="G137" s="111" t="s">
        <v>25</v>
      </c>
      <c r="H137" s="231" t="s">
        <v>45</v>
      </c>
      <c r="I137" s="131">
        <v>1.02</v>
      </c>
      <c r="J137" s="263">
        <f>D134*I137</f>
        <v>30.640799999999999</v>
      </c>
      <c r="K137" s="28">
        <f>19.17/3</f>
        <v>6.3900000000000006</v>
      </c>
      <c r="L137" s="29">
        <f>J137*K137</f>
        <v>195.794712</v>
      </c>
      <c r="M137" s="105" t="s">
        <v>178</v>
      </c>
      <c r="N137" s="5"/>
    </row>
    <row r="138" spans="1:14" s="30" customFormat="1" ht="15" customHeight="1">
      <c r="A138" s="554">
        <f>IF(ISBLANK(D138),"",COUNTA(D$14:D138))</f>
        <v>43</v>
      </c>
      <c r="B138" s="556" t="s">
        <v>111</v>
      </c>
      <c r="C138" s="557" t="s">
        <v>27</v>
      </c>
      <c r="D138" s="558">
        <v>15.83</v>
      </c>
      <c r="E138" s="558">
        <f>101.64/1.2*0.07</f>
        <v>5.9290000000000012</v>
      </c>
      <c r="F138" s="558">
        <f>E138*D138</f>
        <v>93.856070000000017</v>
      </c>
      <c r="G138" s="261" t="s">
        <v>17</v>
      </c>
      <c r="H138" s="231" t="s">
        <v>23</v>
      </c>
      <c r="I138" s="131">
        <v>0.05</v>
      </c>
      <c r="J138" s="263">
        <f>I138*D138</f>
        <v>0.79150000000000009</v>
      </c>
      <c r="K138" s="272">
        <f>70/10</f>
        <v>7</v>
      </c>
      <c r="L138" s="29">
        <f t="shared" si="23"/>
        <v>5.5405000000000006</v>
      </c>
      <c r="M138" s="105" t="s">
        <v>174</v>
      </c>
      <c r="N138" s="5"/>
    </row>
    <row r="139" spans="1:14" s="30" customFormat="1" ht="15" customHeight="1">
      <c r="A139" s="555"/>
      <c r="B139" s="556"/>
      <c r="C139" s="557"/>
      <c r="D139" s="558"/>
      <c r="E139" s="558"/>
      <c r="F139" s="558"/>
      <c r="G139" s="27" t="s">
        <v>16</v>
      </c>
      <c r="H139" s="231" t="s">
        <v>24</v>
      </c>
      <c r="I139" s="131">
        <v>0.45</v>
      </c>
      <c r="J139" s="263">
        <f>I139*D138</f>
        <v>7.1234999999999999</v>
      </c>
      <c r="K139" s="28">
        <f>152.5/25</f>
        <v>6.1</v>
      </c>
      <c r="L139" s="29">
        <f t="shared" si="23"/>
        <v>43.45335</v>
      </c>
      <c r="M139" s="105" t="s">
        <v>173</v>
      </c>
      <c r="N139" s="5"/>
    </row>
    <row r="140" spans="1:14" s="30" customFormat="1" ht="15" customHeight="1">
      <c r="A140" s="554">
        <f>IF(ISBLANK(D140),"",COUNTA(D$14:D140))</f>
        <v>44</v>
      </c>
      <c r="B140" s="556" t="s">
        <v>112</v>
      </c>
      <c r="C140" s="557" t="s">
        <v>27</v>
      </c>
      <c r="D140" s="558">
        <f>D138</f>
        <v>15.83</v>
      </c>
      <c r="E140" s="558">
        <f>72.6/1.2*0.07</f>
        <v>4.2350000000000003</v>
      </c>
      <c r="F140" s="558">
        <f>D140*E140</f>
        <v>67.040050000000008</v>
      </c>
      <c r="G140" s="261" t="s">
        <v>17</v>
      </c>
      <c r="H140" s="231" t="s">
        <v>23</v>
      </c>
      <c r="I140" s="131">
        <v>0.05</v>
      </c>
      <c r="J140" s="263">
        <f>I140*D140</f>
        <v>0.79150000000000009</v>
      </c>
      <c r="K140" s="272">
        <f>70/10</f>
        <v>7</v>
      </c>
      <c r="L140" s="29">
        <f t="shared" si="23"/>
        <v>5.5405000000000006</v>
      </c>
      <c r="M140" s="105" t="s">
        <v>174</v>
      </c>
      <c r="N140" s="5"/>
    </row>
    <row r="141" spans="1:14" s="30" customFormat="1" ht="15" customHeight="1">
      <c r="A141" s="555"/>
      <c r="B141" s="556"/>
      <c r="C141" s="557"/>
      <c r="D141" s="558"/>
      <c r="E141" s="558"/>
      <c r="F141" s="558"/>
      <c r="G141" s="33" t="s">
        <v>46</v>
      </c>
      <c r="H141" s="231" t="s">
        <v>23</v>
      </c>
      <c r="I141" s="132">
        <v>0.13</v>
      </c>
      <c r="J141" s="263">
        <f>I141*D140</f>
        <v>2.0579000000000001</v>
      </c>
      <c r="K141" s="273">
        <f>28.26/1.2*14/10</f>
        <v>32.97</v>
      </c>
      <c r="L141" s="29">
        <f t="shared" si="23"/>
        <v>67.848962999999998</v>
      </c>
      <c r="M141" s="105" t="s">
        <v>175</v>
      </c>
      <c r="N141" s="5"/>
    </row>
    <row r="142" spans="1:14" s="30" customFormat="1" ht="15" customHeight="1">
      <c r="A142" s="554">
        <f>IF(ISBLANK(D142),"",COUNTA(D$14:D142))</f>
        <v>45</v>
      </c>
      <c r="B142" s="562" t="s">
        <v>113</v>
      </c>
      <c r="C142" s="563" t="s">
        <v>11</v>
      </c>
      <c r="D142" s="559">
        <f>9.2*0.07</f>
        <v>0.64400000000000002</v>
      </c>
      <c r="E142" s="584">
        <f>363/1.2</f>
        <v>302.5</v>
      </c>
      <c r="F142" s="584">
        <f>E142*D142</f>
        <v>194.81</v>
      </c>
      <c r="G142" s="234" t="s">
        <v>17</v>
      </c>
      <c r="H142" s="123" t="s">
        <v>13</v>
      </c>
      <c r="I142" s="124">
        <v>0.2</v>
      </c>
      <c r="J142" s="124">
        <f>I142*D142</f>
        <v>0.1288</v>
      </c>
      <c r="K142" s="276">
        <f>70/10</f>
        <v>7</v>
      </c>
      <c r="L142" s="29">
        <f t="shared" ref="L142:L143" si="24">K142*J142</f>
        <v>0.90159999999999996</v>
      </c>
      <c r="M142" s="105" t="s">
        <v>174</v>
      </c>
      <c r="N142" s="5"/>
    </row>
    <row r="143" spans="1:14" s="30" customFormat="1" ht="15" customHeight="1">
      <c r="A143" s="561"/>
      <c r="B143" s="562"/>
      <c r="C143" s="563"/>
      <c r="D143" s="559"/>
      <c r="E143" s="584"/>
      <c r="F143" s="584"/>
      <c r="G143" s="234" t="s">
        <v>103</v>
      </c>
      <c r="H143" s="123" t="s">
        <v>18</v>
      </c>
      <c r="I143" s="124">
        <v>1.03</v>
      </c>
      <c r="J143" s="124">
        <f>D142*I143</f>
        <v>0.66332000000000002</v>
      </c>
      <c r="K143" s="124">
        <f>266/1.2</f>
        <v>221.66666666666669</v>
      </c>
      <c r="L143" s="156">
        <f t="shared" si="24"/>
        <v>147.03593333333336</v>
      </c>
      <c r="M143" s="105" t="s">
        <v>183</v>
      </c>
      <c r="N143" s="5"/>
    </row>
    <row r="144" spans="1:14" s="30" customFormat="1" ht="15" customHeight="1">
      <c r="A144" s="561"/>
      <c r="B144" s="562"/>
      <c r="C144" s="563"/>
      <c r="D144" s="559"/>
      <c r="E144" s="584"/>
      <c r="F144" s="584"/>
      <c r="G144" s="27" t="s">
        <v>33</v>
      </c>
      <c r="H144" s="123" t="s">
        <v>15</v>
      </c>
      <c r="I144" s="124">
        <v>7.1</v>
      </c>
      <c r="J144" s="124">
        <f>D142*I144</f>
        <v>4.5724</v>
      </c>
      <c r="K144" s="124">
        <f>77.1/25/1.2</f>
        <v>2.57</v>
      </c>
      <c r="L144" s="156">
        <f t="shared" ref="L144:L153" si="25">K144*J144</f>
        <v>11.751068</v>
      </c>
      <c r="M144" s="105" t="s">
        <v>181</v>
      </c>
      <c r="N144" s="5"/>
    </row>
    <row r="145" spans="1:14" s="30" customFormat="1" ht="15" customHeight="1">
      <c r="A145" s="555"/>
      <c r="B145" s="562"/>
      <c r="C145" s="563"/>
      <c r="D145" s="559"/>
      <c r="E145" s="584"/>
      <c r="F145" s="584"/>
      <c r="G145" s="27" t="s">
        <v>34</v>
      </c>
      <c r="H145" s="123" t="s">
        <v>15</v>
      </c>
      <c r="I145" s="124">
        <v>0.40600000000000003</v>
      </c>
      <c r="J145" s="124">
        <f>D142*I145</f>
        <v>0.26146400000000003</v>
      </c>
      <c r="K145" s="124">
        <f>54.08/2</f>
        <v>27.04</v>
      </c>
      <c r="L145" s="156">
        <f t="shared" si="25"/>
        <v>7.0699865600000003</v>
      </c>
      <c r="M145" s="105" t="s">
        <v>182</v>
      </c>
      <c r="N145" s="5"/>
    </row>
    <row r="146" spans="1:14" s="30" customFormat="1" ht="15" customHeight="1">
      <c r="A146" s="554">
        <f>IF(ISBLANK(D146),"",COUNTA(D$14:D146))</f>
        <v>46</v>
      </c>
      <c r="B146" s="556" t="s">
        <v>114</v>
      </c>
      <c r="C146" s="557" t="s">
        <v>27</v>
      </c>
      <c r="D146" s="558">
        <v>11.02</v>
      </c>
      <c r="E146" s="558">
        <f>130.68/1.2</f>
        <v>108.9</v>
      </c>
      <c r="F146" s="558">
        <f>D146*E146</f>
        <v>1200.078</v>
      </c>
      <c r="G146" s="111" t="s">
        <v>36</v>
      </c>
      <c r="H146" s="231" t="s">
        <v>24</v>
      </c>
      <c r="I146" s="131">
        <f>15*0.15</f>
        <v>2.25</v>
      </c>
      <c r="J146" s="263">
        <f>D146*I146</f>
        <v>24.794999999999998</v>
      </c>
      <c r="K146" s="272">
        <f>98/30</f>
        <v>3.2666666666666666</v>
      </c>
      <c r="L146" s="29">
        <f>K146*J146</f>
        <v>80.996999999999986</v>
      </c>
      <c r="M146" s="105" t="s">
        <v>176</v>
      </c>
      <c r="N146" s="5"/>
    </row>
    <row r="147" spans="1:14" s="30" customFormat="1" ht="15" customHeight="1">
      <c r="A147" s="561"/>
      <c r="B147" s="556"/>
      <c r="C147" s="557"/>
      <c r="D147" s="558"/>
      <c r="E147" s="558"/>
      <c r="F147" s="558"/>
      <c r="G147" s="261" t="s">
        <v>12</v>
      </c>
      <c r="H147" s="231" t="s">
        <v>23</v>
      </c>
      <c r="I147" s="131">
        <v>2.8000000000000001E-2</v>
      </c>
      <c r="J147" s="263">
        <f>D146*I147</f>
        <v>0.30856</v>
      </c>
      <c r="K147" s="124">
        <f>458.33/10</f>
        <v>45.832999999999998</v>
      </c>
      <c r="L147" s="270">
        <f>J147*K147</f>
        <v>14.14223048</v>
      </c>
      <c r="M147" s="271" t="s">
        <v>171</v>
      </c>
      <c r="N147" s="5"/>
    </row>
    <row r="148" spans="1:14" s="30" customFormat="1" ht="15" customHeight="1">
      <c r="A148" s="561"/>
      <c r="B148" s="556"/>
      <c r="C148" s="557"/>
      <c r="D148" s="558"/>
      <c r="E148" s="558"/>
      <c r="F148" s="558"/>
      <c r="G148" s="111" t="s">
        <v>19</v>
      </c>
      <c r="H148" s="231" t="s">
        <v>28</v>
      </c>
      <c r="I148" s="131">
        <f>0.08*(150/250)</f>
        <v>4.8000000000000001E-2</v>
      </c>
      <c r="J148" s="263">
        <f>D146*I148</f>
        <v>0.52895999999999999</v>
      </c>
      <c r="K148" s="28">
        <f>433.35/50</f>
        <v>8.6669999999999998</v>
      </c>
      <c r="L148" s="29">
        <f>K148*J148</f>
        <v>4.5844963199999995</v>
      </c>
      <c r="M148" s="105" t="s">
        <v>177</v>
      </c>
      <c r="N148" s="5"/>
    </row>
    <row r="149" spans="1:14" s="30" customFormat="1" ht="15" customHeight="1">
      <c r="A149" s="555"/>
      <c r="B149" s="556"/>
      <c r="C149" s="557"/>
      <c r="D149" s="558"/>
      <c r="E149" s="558"/>
      <c r="F149" s="558"/>
      <c r="G149" s="111" t="s">
        <v>25</v>
      </c>
      <c r="H149" s="231" t="s">
        <v>45</v>
      </c>
      <c r="I149" s="131">
        <v>1.02</v>
      </c>
      <c r="J149" s="263">
        <f>D146*I149</f>
        <v>11.240399999999999</v>
      </c>
      <c r="K149" s="28">
        <f>19.17/3</f>
        <v>6.3900000000000006</v>
      </c>
      <c r="L149" s="29">
        <f>J149*K149</f>
        <v>71.826155999999997</v>
      </c>
      <c r="M149" s="105" t="s">
        <v>178</v>
      </c>
      <c r="N149" s="5"/>
    </row>
    <row r="150" spans="1:14" s="30" customFormat="1" ht="15" customHeight="1">
      <c r="A150" s="554">
        <f>IF(ISBLANK(D150),"",COUNTA(D$14:D150))</f>
        <v>47</v>
      </c>
      <c r="B150" s="562" t="s">
        <v>113</v>
      </c>
      <c r="C150" s="563" t="s">
        <v>11</v>
      </c>
      <c r="D150" s="559">
        <f>D146*0.15</f>
        <v>1.6529999999999998</v>
      </c>
      <c r="E150" s="584">
        <f>363/1.2</f>
        <v>302.5</v>
      </c>
      <c r="F150" s="584">
        <f>E150*D150</f>
        <v>500.03249999999991</v>
      </c>
      <c r="G150" s="234" t="s">
        <v>17</v>
      </c>
      <c r="H150" s="123" t="s">
        <v>13</v>
      </c>
      <c r="I150" s="124">
        <v>0.2</v>
      </c>
      <c r="J150" s="124">
        <f>I150*D150</f>
        <v>0.3306</v>
      </c>
      <c r="K150" s="272">
        <f>70/10</f>
        <v>7</v>
      </c>
      <c r="L150" s="29">
        <f t="shared" si="25"/>
        <v>2.3142</v>
      </c>
      <c r="M150" s="105" t="s">
        <v>174</v>
      </c>
      <c r="N150" s="668" t="s">
        <v>204</v>
      </c>
    </row>
    <row r="151" spans="1:14" s="30" customFormat="1" ht="15" customHeight="1">
      <c r="A151" s="561"/>
      <c r="B151" s="562"/>
      <c r="C151" s="563"/>
      <c r="D151" s="559"/>
      <c r="E151" s="584"/>
      <c r="F151" s="584"/>
      <c r="G151" s="234" t="s">
        <v>103</v>
      </c>
      <c r="H151" s="123" t="s">
        <v>18</v>
      </c>
      <c r="I151" s="124">
        <v>1.03</v>
      </c>
      <c r="J151" s="124">
        <f>D150*I151</f>
        <v>1.7025899999999998</v>
      </c>
      <c r="K151" s="124">
        <f>266/1.2</f>
        <v>221.66666666666669</v>
      </c>
      <c r="L151" s="156">
        <f t="shared" si="25"/>
        <v>377.40744999999998</v>
      </c>
      <c r="M151" s="105" t="s">
        <v>183</v>
      </c>
      <c r="N151" s="668"/>
    </row>
    <row r="152" spans="1:14" s="30" customFormat="1" ht="15" customHeight="1">
      <c r="A152" s="561"/>
      <c r="B152" s="562"/>
      <c r="C152" s="563"/>
      <c r="D152" s="559"/>
      <c r="E152" s="584"/>
      <c r="F152" s="584"/>
      <c r="G152" s="27" t="s">
        <v>33</v>
      </c>
      <c r="H152" s="123" t="s">
        <v>15</v>
      </c>
      <c r="I152" s="124">
        <v>7.1</v>
      </c>
      <c r="J152" s="124">
        <f>D150*I152</f>
        <v>11.736299999999998</v>
      </c>
      <c r="K152" s="124">
        <f>77.1/25/1.2</f>
        <v>2.57</v>
      </c>
      <c r="L152" s="156">
        <f t="shared" si="25"/>
        <v>30.162290999999993</v>
      </c>
      <c r="M152" s="105" t="s">
        <v>181</v>
      </c>
      <c r="N152" s="668"/>
    </row>
    <row r="153" spans="1:14" s="30" customFormat="1" ht="15" customHeight="1">
      <c r="A153" s="555"/>
      <c r="B153" s="562"/>
      <c r="C153" s="563"/>
      <c r="D153" s="559"/>
      <c r="E153" s="584"/>
      <c r="F153" s="584"/>
      <c r="G153" s="27" t="s">
        <v>34</v>
      </c>
      <c r="H153" s="123" t="s">
        <v>15</v>
      </c>
      <c r="I153" s="124">
        <v>0.40600000000000003</v>
      </c>
      <c r="J153" s="124">
        <f>D150*I153</f>
        <v>0.67111799999999999</v>
      </c>
      <c r="K153" s="124">
        <f>54.08/2</f>
        <v>27.04</v>
      </c>
      <c r="L153" s="156">
        <f t="shared" si="25"/>
        <v>18.14703072</v>
      </c>
      <c r="M153" s="105" t="s">
        <v>182</v>
      </c>
      <c r="N153" s="668"/>
    </row>
    <row r="154" spans="1:14" s="30" customFormat="1" ht="15" customHeight="1">
      <c r="A154" s="225">
        <f>IF(ISBLANK(D154),"",COUNTA(D$14:D154))</f>
        <v>48</v>
      </c>
      <c r="B154" s="133" t="s">
        <v>47</v>
      </c>
      <c r="C154" s="236" t="s">
        <v>22</v>
      </c>
      <c r="D154" s="40">
        <f>3.5*2</f>
        <v>7</v>
      </c>
      <c r="E154" s="251">
        <f>125/1.2</f>
        <v>104.16666666666667</v>
      </c>
      <c r="F154" s="251">
        <f>E154*D154</f>
        <v>729.16666666666674</v>
      </c>
      <c r="G154" s="41" t="s">
        <v>84</v>
      </c>
      <c r="H154" s="128" t="s">
        <v>45</v>
      </c>
      <c r="I154" s="134">
        <v>1.01</v>
      </c>
      <c r="J154" s="134">
        <f>I154*D154</f>
        <v>7.07</v>
      </c>
      <c r="K154" s="134">
        <v>463.95</v>
      </c>
      <c r="L154" s="129">
        <f t="shared" si="20"/>
        <v>3280.1264999999999</v>
      </c>
      <c r="M154" s="107"/>
      <c r="N154" s="5"/>
    </row>
    <row r="155" spans="1:14" s="30" customFormat="1" ht="15" customHeight="1">
      <c r="A155" s="225">
        <f>IF(ISBLANK(D155),"",COUNTA(D$14:D155))</f>
        <v>49</v>
      </c>
      <c r="B155" s="242" t="s">
        <v>29</v>
      </c>
      <c r="C155" s="235" t="s">
        <v>22</v>
      </c>
      <c r="D155" s="232">
        <v>226.3</v>
      </c>
      <c r="E155" s="249">
        <f>91.8/1.2</f>
        <v>76.5</v>
      </c>
      <c r="F155" s="249">
        <f>E155*D155</f>
        <v>17311.95</v>
      </c>
      <c r="G155" s="33" t="s">
        <v>30</v>
      </c>
      <c r="H155" s="123" t="s">
        <v>45</v>
      </c>
      <c r="I155" s="124">
        <v>1.07</v>
      </c>
      <c r="J155" s="124">
        <f>D155*I155</f>
        <v>242.14100000000002</v>
      </c>
      <c r="K155" s="42">
        <f>6.67/3</f>
        <v>2.2233333333333332</v>
      </c>
      <c r="L155" s="43">
        <f>K155*J155</f>
        <v>538.36015666666663</v>
      </c>
      <c r="M155" s="105" t="s">
        <v>178</v>
      </c>
      <c r="N155" s="5"/>
    </row>
    <row r="156" spans="1:14" s="30" customFormat="1" ht="15" customHeight="1">
      <c r="A156" s="554">
        <f>IF(ISBLANK(D156),"",COUNTA(D$14:D156))</f>
        <v>50</v>
      </c>
      <c r="B156" s="599" t="s">
        <v>115</v>
      </c>
      <c r="C156" s="601" t="s">
        <v>56</v>
      </c>
      <c r="D156" s="601">
        <v>146.38999999999999</v>
      </c>
      <c r="E156" s="603">
        <f>22/1.2</f>
        <v>18.333333333333336</v>
      </c>
      <c r="F156" s="605">
        <f>D156*E156</f>
        <v>2683.8166666666666</v>
      </c>
      <c r="G156" s="135" t="s">
        <v>72</v>
      </c>
      <c r="H156" s="136" t="s">
        <v>13</v>
      </c>
      <c r="I156" s="137">
        <v>0.2</v>
      </c>
      <c r="J156" s="253">
        <f>I156*0.1*D156</f>
        <v>2.9278000000000004</v>
      </c>
      <c r="K156" s="239">
        <v>3.27</v>
      </c>
      <c r="L156" s="277">
        <f>ROUND(J156*K156,2)</f>
        <v>9.57</v>
      </c>
      <c r="M156" s="105" t="str">
        <f>M148</f>
        <v>рах. 20094557 п. 3</v>
      </c>
      <c r="N156" s="5"/>
    </row>
    <row r="157" spans="1:14" s="30" customFormat="1" ht="15" customHeight="1" thickBot="1">
      <c r="A157" s="555"/>
      <c r="B157" s="600"/>
      <c r="C157" s="602"/>
      <c r="D157" s="602"/>
      <c r="E157" s="604"/>
      <c r="F157" s="606"/>
      <c r="G157" s="138" t="s">
        <v>70</v>
      </c>
      <c r="H157" s="139" t="s">
        <v>56</v>
      </c>
      <c r="I157" s="265">
        <v>1.0149999999999999</v>
      </c>
      <c r="J157" s="140">
        <f>D156*I157</f>
        <v>148.58584999999997</v>
      </c>
      <c r="K157" s="94">
        <f>56/30</f>
        <v>1.8666666666666667</v>
      </c>
      <c r="L157" s="278">
        <f>J157*K157</f>
        <v>277.36025333333328</v>
      </c>
      <c r="M157" s="105" t="s">
        <v>179</v>
      </c>
      <c r="N157" s="5"/>
    </row>
    <row r="158" spans="1:14" s="30" customFormat="1" ht="15" customHeight="1" thickBot="1">
      <c r="A158" s="20"/>
      <c r="B158" s="21" t="s">
        <v>31</v>
      </c>
      <c r="C158" s="22"/>
      <c r="D158" s="23"/>
      <c r="E158" s="141"/>
      <c r="F158" s="141"/>
      <c r="G158" s="22"/>
      <c r="H158" s="207"/>
      <c r="I158" s="142"/>
      <c r="J158" s="142"/>
      <c r="K158" s="142"/>
      <c r="L158" s="143"/>
      <c r="M158" s="107"/>
      <c r="N158" s="5"/>
    </row>
    <row r="159" spans="1:14" s="30" customFormat="1" ht="15" customHeight="1">
      <c r="A159" s="225">
        <f>IF(ISBLANK(D159),"",COUNTA(D$14:D159))</f>
        <v>51</v>
      </c>
      <c r="B159" s="144" t="s">
        <v>47</v>
      </c>
      <c r="C159" s="145" t="s">
        <v>22</v>
      </c>
      <c r="D159" s="229">
        <v>1.64</v>
      </c>
      <c r="E159" s="146">
        <f>125/1.2</f>
        <v>104.16666666666667</v>
      </c>
      <c r="F159" s="146">
        <f>E159*D159</f>
        <v>170.83333333333334</v>
      </c>
      <c r="G159" s="147" t="s">
        <v>116</v>
      </c>
      <c r="H159" s="148" t="s">
        <v>45</v>
      </c>
      <c r="I159" s="134">
        <v>1.0149999999999999</v>
      </c>
      <c r="J159" s="149">
        <f>I159*D159</f>
        <v>1.6645999999999996</v>
      </c>
      <c r="K159" s="149">
        <v>1552</v>
      </c>
      <c r="L159" s="150">
        <f t="shared" ref="L159:L174" si="26">K159*J159</f>
        <v>2583.4591999999993</v>
      </c>
      <c r="M159" s="107"/>
      <c r="N159" s="5"/>
    </row>
    <row r="160" spans="1:14" s="30" customFormat="1" ht="15" customHeight="1">
      <c r="A160" s="554">
        <f>IF(ISBLANK(D160),"",COUNTA(D$14:D160))</f>
        <v>52</v>
      </c>
      <c r="B160" s="607" t="s">
        <v>117</v>
      </c>
      <c r="C160" s="608" t="s">
        <v>11</v>
      </c>
      <c r="D160" s="609">
        <v>2.4300000000000002</v>
      </c>
      <c r="E160" s="610">
        <f>110/1.2</f>
        <v>91.666666666666671</v>
      </c>
      <c r="F160" s="610">
        <f>E160*D160</f>
        <v>222.75000000000003</v>
      </c>
      <c r="G160" s="151" t="s">
        <v>118</v>
      </c>
      <c r="H160" s="152" t="s">
        <v>15</v>
      </c>
      <c r="I160" s="153">
        <v>4</v>
      </c>
      <c r="J160" s="154">
        <f>I160*D160</f>
        <v>9.7200000000000006</v>
      </c>
      <c r="K160" s="155">
        <v>8.81</v>
      </c>
      <c r="L160" s="154">
        <f>K160*J160</f>
        <v>85.633200000000016</v>
      </c>
      <c r="M160" s="107"/>
      <c r="N160" s="5"/>
    </row>
    <row r="161" spans="1:14" s="30" customFormat="1" ht="15" customHeight="1">
      <c r="A161" s="555"/>
      <c r="B161" s="607"/>
      <c r="C161" s="608"/>
      <c r="D161" s="609"/>
      <c r="E161" s="610"/>
      <c r="F161" s="610"/>
      <c r="G161" s="151" t="s">
        <v>119</v>
      </c>
      <c r="H161" s="266" t="s">
        <v>18</v>
      </c>
      <c r="I161" s="153">
        <v>1.1000000000000001</v>
      </c>
      <c r="J161" s="154">
        <f>I161*D160</f>
        <v>2.6730000000000005</v>
      </c>
      <c r="K161" s="154">
        <v>9.4499999999999993</v>
      </c>
      <c r="L161" s="279">
        <f>K161*J161</f>
        <v>25.259850000000004</v>
      </c>
      <c r="M161" s="275" t="s">
        <v>184</v>
      </c>
      <c r="N161" s="5"/>
    </row>
    <row r="162" spans="1:14" s="30" customFormat="1" ht="15" customHeight="1">
      <c r="A162" s="554">
        <f>IF(ISBLANK(D162),"",COUNTA(D$14:D162))</f>
        <v>53</v>
      </c>
      <c r="B162" s="562" t="s">
        <v>120</v>
      </c>
      <c r="C162" s="563" t="s">
        <v>11</v>
      </c>
      <c r="D162" s="559">
        <v>187.63</v>
      </c>
      <c r="E162" s="584">
        <f>316.8/1.2</f>
        <v>264</v>
      </c>
      <c r="F162" s="584">
        <f>E162*D162</f>
        <v>49534.32</v>
      </c>
      <c r="G162" s="234" t="s">
        <v>17</v>
      </c>
      <c r="H162" s="123" t="s">
        <v>13</v>
      </c>
      <c r="I162" s="124">
        <v>0.2</v>
      </c>
      <c r="J162" s="124">
        <f>I162*D162</f>
        <v>37.526000000000003</v>
      </c>
      <c r="K162" s="272">
        <f>70/10</f>
        <v>7</v>
      </c>
      <c r="L162" s="29">
        <f t="shared" ref="L162" si="27">K162*J162</f>
        <v>262.68200000000002</v>
      </c>
      <c r="M162" s="105" t="s">
        <v>174</v>
      </c>
      <c r="N162" s="5"/>
    </row>
    <row r="163" spans="1:14" s="30" customFormat="1" ht="25.5">
      <c r="A163" s="561"/>
      <c r="B163" s="562"/>
      <c r="C163" s="563"/>
      <c r="D163" s="559"/>
      <c r="E163" s="584"/>
      <c r="F163" s="584"/>
      <c r="G163" s="157" t="s">
        <v>121</v>
      </c>
      <c r="H163" s="123" t="s">
        <v>18</v>
      </c>
      <c r="I163" s="124">
        <v>1.03</v>
      </c>
      <c r="J163" s="124">
        <f>D162*I163</f>
        <v>193.25890000000001</v>
      </c>
      <c r="K163" s="124">
        <f>492/1.2</f>
        <v>410</v>
      </c>
      <c r="L163" s="125">
        <f t="shared" si="26"/>
        <v>79236.149000000005</v>
      </c>
      <c r="M163" s="107"/>
      <c r="N163" s="5"/>
    </row>
    <row r="164" spans="1:14" s="30" customFormat="1" ht="15" customHeight="1">
      <c r="A164" s="561"/>
      <c r="B164" s="562"/>
      <c r="C164" s="563"/>
      <c r="D164" s="559"/>
      <c r="E164" s="584"/>
      <c r="F164" s="584"/>
      <c r="G164" s="27" t="s">
        <v>33</v>
      </c>
      <c r="H164" s="123" t="s">
        <v>15</v>
      </c>
      <c r="I164" s="124">
        <v>7.1</v>
      </c>
      <c r="J164" s="124">
        <f>D162*I164</f>
        <v>1332.173</v>
      </c>
      <c r="K164" s="124">
        <f>77.1/25/1.2</f>
        <v>2.57</v>
      </c>
      <c r="L164" s="156">
        <f t="shared" si="26"/>
        <v>3423.6846099999998</v>
      </c>
      <c r="M164" s="105" t="s">
        <v>181</v>
      </c>
      <c r="N164" s="5"/>
    </row>
    <row r="165" spans="1:14" s="30" customFormat="1" ht="15" customHeight="1">
      <c r="A165" s="555"/>
      <c r="B165" s="562"/>
      <c r="C165" s="563"/>
      <c r="D165" s="559"/>
      <c r="E165" s="584"/>
      <c r="F165" s="584"/>
      <c r="G165" s="27" t="s">
        <v>34</v>
      </c>
      <c r="H165" s="123" t="s">
        <v>15</v>
      </c>
      <c r="I165" s="124">
        <v>0.40600000000000003</v>
      </c>
      <c r="J165" s="124">
        <f>D162*I165</f>
        <v>76.177779999999998</v>
      </c>
      <c r="K165" s="124">
        <f>54.08/2</f>
        <v>27.04</v>
      </c>
      <c r="L165" s="156">
        <f t="shared" si="26"/>
        <v>2059.8471712</v>
      </c>
      <c r="M165" s="105" t="s">
        <v>182</v>
      </c>
      <c r="N165" s="5"/>
    </row>
    <row r="166" spans="1:14" s="30" customFormat="1" ht="15" customHeight="1">
      <c r="A166" s="554">
        <f>IF(ISBLANK(D166),"",COUNTA(D$14:D166))</f>
        <v>54</v>
      </c>
      <c r="B166" s="607" t="s">
        <v>122</v>
      </c>
      <c r="C166" s="611" t="s">
        <v>11</v>
      </c>
      <c r="D166" s="612">
        <f>44.15-16.28-16.45</f>
        <v>11.419999999999998</v>
      </c>
      <c r="E166" s="613">
        <f>264.6/1.2</f>
        <v>220.50000000000003</v>
      </c>
      <c r="F166" s="613">
        <f>D166*E166</f>
        <v>2518.11</v>
      </c>
      <c r="G166" s="254" t="s">
        <v>17</v>
      </c>
      <c r="H166" s="123" t="s">
        <v>13</v>
      </c>
      <c r="I166" s="158">
        <v>0.2</v>
      </c>
      <c r="J166" s="155">
        <f>D166*I166</f>
        <v>2.2839999999999998</v>
      </c>
      <c r="K166" s="272">
        <f>70/10</f>
        <v>7</v>
      </c>
      <c r="L166" s="29">
        <f t="shared" si="26"/>
        <v>15.988</v>
      </c>
      <c r="M166" s="105" t="s">
        <v>174</v>
      </c>
      <c r="N166" s="5"/>
    </row>
    <row r="167" spans="1:14" s="30" customFormat="1" ht="25.5">
      <c r="A167" s="561"/>
      <c r="B167" s="607"/>
      <c r="C167" s="611"/>
      <c r="D167" s="612"/>
      <c r="E167" s="613"/>
      <c r="F167" s="613"/>
      <c r="G167" s="234" t="s">
        <v>123</v>
      </c>
      <c r="H167" s="152" t="s">
        <v>18</v>
      </c>
      <c r="I167" s="158">
        <v>1.03</v>
      </c>
      <c r="J167" s="155">
        <f>D166*I167</f>
        <v>11.762599999999999</v>
      </c>
      <c r="K167" s="53">
        <f>112.5</f>
        <v>112.5</v>
      </c>
      <c r="L167" s="159">
        <f>K167*J167</f>
        <v>1323.2924999999998</v>
      </c>
      <c r="M167" s="107"/>
      <c r="N167" s="5"/>
    </row>
    <row r="168" spans="1:14" s="30" customFormat="1" ht="15" customHeight="1">
      <c r="A168" s="561"/>
      <c r="B168" s="607"/>
      <c r="C168" s="611"/>
      <c r="D168" s="612"/>
      <c r="E168" s="613"/>
      <c r="F168" s="613"/>
      <c r="G168" s="160" t="s">
        <v>33</v>
      </c>
      <c r="H168" s="152" t="s">
        <v>15</v>
      </c>
      <c r="I168" s="158">
        <v>7.1</v>
      </c>
      <c r="J168" s="155">
        <f>D166*I168</f>
        <v>81.081999999999979</v>
      </c>
      <c r="K168" s="124">
        <f>77.1/25/1.2</f>
        <v>2.57</v>
      </c>
      <c r="L168" s="156">
        <f t="shared" ref="L168:L169" si="28">K168*J168</f>
        <v>208.38073999999995</v>
      </c>
      <c r="M168" s="105" t="s">
        <v>181</v>
      </c>
      <c r="N168" s="5"/>
    </row>
    <row r="169" spans="1:14" s="30" customFormat="1" ht="15" customHeight="1">
      <c r="A169" s="555"/>
      <c r="B169" s="607"/>
      <c r="C169" s="611"/>
      <c r="D169" s="612"/>
      <c r="E169" s="613"/>
      <c r="F169" s="613"/>
      <c r="G169" s="160" t="s">
        <v>34</v>
      </c>
      <c r="H169" s="152" t="s">
        <v>15</v>
      </c>
      <c r="I169" s="158">
        <v>0.40600000000000003</v>
      </c>
      <c r="J169" s="155">
        <f>D166*I169</f>
        <v>4.63652</v>
      </c>
      <c r="K169" s="124">
        <f>54.08/2</f>
        <v>27.04</v>
      </c>
      <c r="L169" s="156">
        <f t="shared" si="28"/>
        <v>125.37150079999999</v>
      </c>
      <c r="M169" s="105" t="s">
        <v>182</v>
      </c>
      <c r="N169" s="5"/>
    </row>
    <row r="170" spans="1:14" s="30" customFormat="1" ht="15" customHeight="1">
      <c r="A170" s="554">
        <f>IF(ISBLANK(D170),"",COUNTA(D$14:D170))</f>
        <v>55</v>
      </c>
      <c r="B170" s="562" t="s">
        <v>124</v>
      </c>
      <c r="C170" s="563" t="s">
        <v>27</v>
      </c>
      <c r="D170" s="559">
        <v>120.52</v>
      </c>
      <c r="E170" s="584">
        <f>79.86/1.2</f>
        <v>66.55</v>
      </c>
      <c r="F170" s="584">
        <f>E170*D170</f>
        <v>8020.6059999999998</v>
      </c>
      <c r="G170" s="234" t="s">
        <v>17</v>
      </c>
      <c r="H170" s="123" t="s">
        <v>23</v>
      </c>
      <c r="I170" s="124">
        <v>0.02</v>
      </c>
      <c r="J170" s="124">
        <f>I170*D170</f>
        <v>2.4104000000000001</v>
      </c>
      <c r="K170" s="272">
        <f>70/10</f>
        <v>7</v>
      </c>
      <c r="L170" s="29">
        <f t="shared" ref="L170" si="29">K170*J170</f>
        <v>16.872800000000002</v>
      </c>
      <c r="M170" s="105" t="s">
        <v>174</v>
      </c>
      <c r="N170" s="5"/>
    </row>
    <row r="171" spans="1:14" s="30" customFormat="1" ht="25.5">
      <c r="A171" s="561"/>
      <c r="B171" s="562"/>
      <c r="C171" s="563"/>
      <c r="D171" s="559"/>
      <c r="E171" s="584"/>
      <c r="F171" s="584"/>
      <c r="G171" s="157" t="s">
        <v>121</v>
      </c>
      <c r="H171" s="123" t="s">
        <v>28</v>
      </c>
      <c r="I171" s="124">
        <v>0.10299999999999999</v>
      </c>
      <c r="J171" s="124">
        <f>D170*I171</f>
        <v>12.413559999999999</v>
      </c>
      <c r="K171" s="124">
        <f>492/1.2</f>
        <v>410</v>
      </c>
      <c r="L171" s="156">
        <f t="shared" si="26"/>
        <v>5089.5595999999996</v>
      </c>
      <c r="M171" s="107"/>
      <c r="N171" s="5"/>
    </row>
    <row r="172" spans="1:14" s="30" customFormat="1" ht="15" customHeight="1">
      <c r="A172" s="561"/>
      <c r="B172" s="562"/>
      <c r="C172" s="563"/>
      <c r="D172" s="559"/>
      <c r="E172" s="584"/>
      <c r="F172" s="584"/>
      <c r="G172" s="27" t="s">
        <v>33</v>
      </c>
      <c r="H172" s="123" t="s">
        <v>24</v>
      </c>
      <c r="I172" s="124">
        <v>0.71</v>
      </c>
      <c r="J172" s="124">
        <f>D170*I172</f>
        <v>85.569199999999995</v>
      </c>
      <c r="K172" s="124">
        <f>77.1/25/1.2</f>
        <v>2.57</v>
      </c>
      <c r="L172" s="156">
        <f t="shared" si="26"/>
        <v>219.91284399999998</v>
      </c>
      <c r="M172" s="105" t="s">
        <v>181</v>
      </c>
      <c r="N172" s="5"/>
    </row>
    <row r="173" spans="1:14" s="30" customFormat="1" ht="15" customHeight="1">
      <c r="A173" s="555"/>
      <c r="B173" s="562"/>
      <c r="C173" s="563"/>
      <c r="D173" s="559"/>
      <c r="E173" s="584"/>
      <c r="F173" s="584"/>
      <c r="G173" s="27" t="s">
        <v>34</v>
      </c>
      <c r="H173" s="123" t="s">
        <v>24</v>
      </c>
      <c r="I173" s="124">
        <v>0.04</v>
      </c>
      <c r="J173" s="124">
        <f>D170*I173</f>
        <v>4.8208000000000002</v>
      </c>
      <c r="K173" s="124">
        <f>54.08/2</f>
        <v>27.04</v>
      </c>
      <c r="L173" s="156">
        <f t="shared" si="26"/>
        <v>130.354432</v>
      </c>
      <c r="M173" s="105" t="s">
        <v>182</v>
      </c>
      <c r="N173" s="5"/>
    </row>
    <row r="174" spans="1:14" s="30" customFormat="1" ht="15" customHeight="1">
      <c r="A174" s="554">
        <f>IF(ISBLANK(D174),"",COUNTA(D$14:D174))</f>
        <v>56</v>
      </c>
      <c r="B174" s="607" t="s">
        <v>125</v>
      </c>
      <c r="C174" s="611" t="s">
        <v>27</v>
      </c>
      <c r="D174" s="612">
        <v>12.54</v>
      </c>
      <c r="E174" s="613">
        <f>79.86/1.2</f>
        <v>66.55</v>
      </c>
      <c r="F174" s="613">
        <f>D174*E174</f>
        <v>834.53699999999992</v>
      </c>
      <c r="G174" s="254" t="s">
        <v>17</v>
      </c>
      <c r="H174" s="152" t="s">
        <v>23</v>
      </c>
      <c r="I174" s="158">
        <f>0.02</f>
        <v>0.02</v>
      </c>
      <c r="J174" s="155">
        <f>D174*I174</f>
        <v>0.25079999999999997</v>
      </c>
      <c r="K174" s="272">
        <f>70/10</f>
        <v>7</v>
      </c>
      <c r="L174" s="29">
        <f t="shared" si="26"/>
        <v>1.7555999999999998</v>
      </c>
      <c r="M174" s="105" t="s">
        <v>174</v>
      </c>
      <c r="N174" s="5"/>
    </row>
    <row r="175" spans="1:14" s="30" customFormat="1" ht="25.5">
      <c r="A175" s="561"/>
      <c r="B175" s="607"/>
      <c r="C175" s="611"/>
      <c r="D175" s="612"/>
      <c r="E175" s="613"/>
      <c r="F175" s="613"/>
      <c r="G175" s="234" t="s">
        <v>123</v>
      </c>
      <c r="H175" s="152" t="s">
        <v>28</v>
      </c>
      <c r="I175" s="158">
        <f>0.103</f>
        <v>0.10299999999999999</v>
      </c>
      <c r="J175" s="155">
        <f>D174*I175</f>
        <v>1.2916199999999998</v>
      </c>
      <c r="K175" s="53">
        <f>112.5</f>
        <v>112.5</v>
      </c>
      <c r="L175" s="159">
        <f>K175*J175</f>
        <v>145.30724999999998</v>
      </c>
      <c r="M175" s="107"/>
      <c r="N175" s="5"/>
    </row>
    <row r="176" spans="1:14" s="30" customFormat="1" ht="15" customHeight="1">
      <c r="A176" s="561"/>
      <c r="B176" s="607"/>
      <c r="C176" s="611"/>
      <c r="D176" s="612"/>
      <c r="E176" s="613"/>
      <c r="F176" s="613"/>
      <c r="G176" s="160" t="s">
        <v>33</v>
      </c>
      <c r="H176" s="152" t="s">
        <v>24</v>
      </c>
      <c r="I176" s="158">
        <f>0.71</f>
        <v>0.71</v>
      </c>
      <c r="J176" s="155">
        <f>D174*I176</f>
        <v>8.9033999999999995</v>
      </c>
      <c r="K176" s="124">
        <f>77.1/25/1.2</f>
        <v>2.57</v>
      </c>
      <c r="L176" s="156">
        <f t="shared" ref="L176:L177" si="30">K176*J176</f>
        <v>22.881737999999999</v>
      </c>
      <c r="M176" s="105" t="s">
        <v>181</v>
      </c>
      <c r="N176" s="5"/>
    </row>
    <row r="177" spans="1:14" s="30" customFormat="1" ht="15" customHeight="1" thickBot="1">
      <c r="A177" s="555"/>
      <c r="B177" s="614"/>
      <c r="C177" s="615"/>
      <c r="D177" s="616"/>
      <c r="E177" s="617"/>
      <c r="F177" s="617"/>
      <c r="G177" s="161" t="s">
        <v>34</v>
      </c>
      <c r="H177" s="162" t="s">
        <v>24</v>
      </c>
      <c r="I177" s="163">
        <f>0.04</f>
        <v>0.04</v>
      </c>
      <c r="J177" s="164">
        <f>D174*I177</f>
        <v>0.50159999999999993</v>
      </c>
      <c r="K177" s="124">
        <f>54.08/2</f>
        <v>27.04</v>
      </c>
      <c r="L177" s="156">
        <f t="shared" si="30"/>
        <v>13.563263999999998</v>
      </c>
      <c r="M177" s="105" t="s">
        <v>182</v>
      </c>
      <c r="N177" s="5"/>
    </row>
    <row r="178" spans="1:14" s="30" customFormat="1" ht="15" customHeight="1" thickBot="1">
      <c r="A178" s="13"/>
      <c r="B178" s="14" t="s">
        <v>126</v>
      </c>
      <c r="C178" s="15"/>
      <c r="D178" s="14"/>
      <c r="E178" s="165"/>
      <c r="F178" s="166"/>
      <c r="G178" s="14"/>
      <c r="H178" s="167"/>
      <c r="I178" s="168"/>
      <c r="J178" s="168"/>
      <c r="K178" s="168"/>
      <c r="L178" s="169"/>
      <c r="M178" s="107"/>
      <c r="N178" s="5"/>
    </row>
    <row r="179" spans="1:14" s="30" customFormat="1" ht="15" customHeight="1" thickBot="1">
      <c r="A179" s="20"/>
      <c r="B179" s="21" t="s">
        <v>10</v>
      </c>
      <c r="C179" s="22"/>
      <c r="D179" s="23"/>
      <c r="E179" s="141"/>
      <c r="F179" s="141"/>
      <c r="G179" s="22"/>
      <c r="H179" s="207"/>
      <c r="I179" s="142"/>
      <c r="J179" s="142"/>
      <c r="K179" s="142"/>
      <c r="L179" s="170"/>
      <c r="M179" s="107"/>
      <c r="N179" s="5"/>
    </row>
    <row r="180" spans="1:14" s="30" customFormat="1" ht="15" customHeight="1">
      <c r="A180" s="225">
        <f>IF(ISBLANK(D180),"",COUNTA(D$14:D180))</f>
        <v>57</v>
      </c>
      <c r="B180" s="133" t="s">
        <v>47</v>
      </c>
      <c r="C180" s="243" t="s">
        <v>22</v>
      </c>
      <c r="D180" s="228">
        <f>(1.64+1.02)*23</f>
        <v>61.180000000000007</v>
      </c>
      <c r="E180" s="252">
        <f>125/1.2</f>
        <v>104.16666666666667</v>
      </c>
      <c r="F180" s="252">
        <f>E180*D180</f>
        <v>6372.9166666666679</v>
      </c>
      <c r="G180" s="171" t="s">
        <v>84</v>
      </c>
      <c r="H180" s="172" t="s">
        <v>45</v>
      </c>
      <c r="I180" s="173">
        <v>1.01</v>
      </c>
      <c r="J180" s="173">
        <f>I180*D180</f>
        <v>61.791800000000009</v>
      </c>
      <c r="K180" s="134">
        <v>463.95</v>
      </c>
      <c r="L180" s="156">
        <f t="shared" ref="L180:L191" si="31">K180*J180</f>
        <v>28668.305610000003</v>
      </c>
      <c r="M180" s="107"/>
      <c r="N180" s="5"/>
    </row>
    <row r="181" spans="1:14" s="30" customFormat="1" ht="15" customHeight="1">
      <c r="A181" s="582">
        <f>IF(ISBLANK(D181),"",COUNTA(D$14:D181))</f>
        <v>58</v>
      </c>
      <c r="B181" s="562" t="s">
        <v>85</v>
      </c>
      <c r="C181" s="563" t="s">
        <v>11</v>
      </c>
      <c r="D181" s="559">
        <f>124.03+7.22+5</f>
        <v>136.25</v>
      </c>
      <c r="E181" s="584">
        <f>194.7/1.2</f>
        <v>162.25</v>
      </c>
      <c r="F181" s="584">
        <f>E181*D181</f>
        <v>22106.5625</v>
      </c>
      <c r="G181" s="122" t="s">
        <v>86</v>
      </c>
      <c r="H181" s="123" t="s">
        <v>18</v>
      </c>
      <c r="I181" s="124">
        <v>1.1000000000000001</v>
      </c>
      <c r="J181" s="124">
        <f>D181*I181</f>
        <v>149.875</v>
      </c>
      <c r="K181" s="124">
        <v>61.53</v>
      </c>
      <c r="L181" s="124">
        <f t="shared" si="31"/>
        <v>9221.8087500000001</v>
      </c>
      <c r="M181" s="107"/>
      <c r="N181" s="5"/>
    </row>
    <row r="182" spans="1:14" s="30" customFormat="1" ht="15" customHeight="1">
      <c r="A182" s="582"/>
      <c r="B182" s="562"/>
      <c r="C182" s="563"/>
      <c r="D182" s="559"/>
      <c r="E182" s="584"/>
      <c r="F182" s="584"/>
      <c r="G182" s="27" t="s">
        <v>87</v>
      </c>
      <c r="H182" s="123" t="s">
        <v>88</v>
      </c>
      <c r="I182" s="124">
        <v>0.95</v>
      </c>
      <c r="J182" s="124">
        <f>D181*I182</f>
        <v>129.4375</v>
      </c>
      <c r="K182" s="124">
        <f>11.46/1.2</f>
        <v>9.5500000000000007</v>
      </c>
      <c r="L182" s="124">
        <f t="shared" si="31"/>
        <v>1236.1281250000002</v>
      </c>
      <c r="M182" s="107"/>
      <c r="N182" s="5"/>
    </row>
    <row r="183" spans="1:14" s="30" customFormat="1" ht="15" customHeight="1">
      <c r="A183" s="582"/>
      <c r="B183" s="562"/>
      <c r="C183" s="563"/>
      <c r="D183" s="559"/>
      <c r="E183" s="584"/>
      <c r="F183" s="584"/>
      <c r="G183" s="27" t="s">
        <v>89</v>
      </c>
      <c r="H183" s="123" t="s">
        <v>88</v>
      </c>
      <c r="I183" s="124">
        <v>0.95</v>
      </c>
      <c r="J183" s="124">
        <f>D181*I183</f>
        <v>129.4375</v>
      </c>
      <c r="K183" s="124">
        <f>68.52/1.2</f>
        <v>57.1</v>
      </c>
      <c r="L183" s="124">
        <f t="shared" si="31"/>
        <v>7390.8812500000004</v>
      </c>
      <c r="M183" s="107"/>
      <c r="N183" s="5"/>
    </row>
    <row r="184" spans="1:14" s="30" customFormat="1" ht="15" customHeight="1">
      <c r="A184" s="582"/>
      <c r="B184" s="562"/>
      <c r="C184" s="563"/>
      <c r="D184" s="559"/>
      <c r="E184" s="584"/>
      <c r="F184" s="584"/>
      <c r="G184" s="27" t="s">
        <v>90</v>
      </c>
      <c r="H184" s="123" t="s">
        <v>88</v>
      </c>
      <c r="I184" s="124">
        <v>1.9</v>
      </c>
      <c r="J184" s="124">
        <f>D181*I184</f>
        <v>258.875</v>
      </c>
      <c r="K184" s="124">
        <f>22.86/1.2</f>
        <v>19.05</v>
      </c>
      <c r="L184" s="124">
        <f t="shared" si="31"/>
        <v>4931.5687500000004</v>
      </c>
      <c r="M184" s="107"/>
      <c r="N184" s="5"/>
    </row>
    <row r="185" spans="1:14" s="30" customFormat="1" ht="15" customHeight="1">
      <c r="A185" s="582"/>
      <c r="B185" s="562"/>
      <c r="C185" s="563"/>
      <c r="D185" s="559"/>
      <c r="E185" s="584"/>
      <c r="F185" s="584"/>
      <c r="G185" s="27" t="s">
        <v>91</v>
      </c>
      <c r="H185" s="123" t="s">
        <v>92</v>
      </c>
      <c r="I185" s="124">
        <v>1.08</v>
      </c>
      <c r="J185" s="124">
        <f>I185*D181</f>
        <v>147.15</v>
      </c>
      <c r="K185" s="124">
        <f>40.86/1.2</f>
        <v>34.050000000000004</v>
      </c>
      <c r="L185" s="124">
        <f t="shared" si="31"/>
        <v>5010.4575000000004</v>
      </c>
      <c r="M185" s="107"/>
      <c r="N185" s="5"/>
    </row>
    <row r="186" spans="1:14" s="30" customFormat="1" ht="15" customHeight="1">
      <c r="A186" s="582"/>
      <c r="B186" s="562"/>
      <c r="C186" s="563"/>
      <c r="D186" s="559"/>
      <c r="E186" s="584"/>
      <c r="F186" s="584"/>
      <c r="G186" s="27" t="s">
        <v>93</v>
      </c>
      <c r="H186" s="123" t="s">
        <v>88</v>
      </c>
      <c r="I186" s="124">
        <v>1.5</v>
      </c>
      <c r="J186" s="124">
        <f>D181*I186</f>
        <v>204.375</v>
      </c>
      <c r="K186" s="124">
        <f>1.74/1.2</f>
        <v>1.45</v>
      </c>
      <c r="L186" s="124">
        <f t="shared" si="31"/>
        <v>296.34375</v>
      </c>
      <c r="M186" s="107"/>
      <c r="N186" s="5"/>
    </row>
    <row r="187" spans="1:14" s="30" customFormat="1" ht="15" customHeight="1">
      <c r="A187" s="582"/>
      <c r="B187" s="562"/>
      <c r="C187" s="563"/>
      <c r="D187" s="559"/>
      <c r="E187" s="584"/>
      <c r="F187" s="584"/>
      <c r="G187" s="27" t="s">
        <v>94</v>
      </c>
      <c r="H187" s="123" t="s">
        <v>88</v>
      </c>
      <c r="I187" s="124">
        <v>1.5</v>
      </c>
      <c r="J187" s="124">
        <f>D181*I187</f>
        <v>204.375</v>
      </c>
      <c r="K187" s="124">
        <f>1.02/1.2</f>
        <v>0.85000000000000009</v>
      </c>
      <c r="L187" s="124">
        <f t="shared" si="31"/>
        <v>173.71875000000003</v>
      </c>
      <c r="M187" s="107"/>
      <c r="N187" s="5"/>
    </row>
    <row r="188" spans="1:14" s="30" customFormat="1" ht="15" customHeight="1">
      <c r="A188" s="582"/>
      <c r="B188" s="562"/>
      <c r="C188" s="563"/>
      <c r="D188" s="559"/>
      <c r="E188" s="584"/>
      <c r="F188" s="584"/>
      <c r="G188" s="27" t="s">
        <v>95</v>
      </c>
      <c r="H188" s="123" t="s">
        <v>88</v>
      </c>
      <c r="I188" s="124">
        <v>1.5</v>
      </c>
      <c r="J188" s="124">
        <f>D181*I188</f>
        <v>204.375</v>
      </c>
      <c r="K188" s="124">
        <f>1.02/1.2</f>
        <v>0.85000000000000009</v>
      </c>
      <c r="L188" s="124">
        <f t="shared" si="31"/>
        <v>173.71875000000003</v>
      </c>
      <c r="M188" s="107"/>
      <c r="N188" s="5"/>
    </row>
    <row r="189" spans="1:14" s="30" customFormat="1" ht="15" customHeight="1">
      <c r="A189" s="582"/>
      <c r="B189" s="562"/>
      <c r="C189" s="563"/>
      <c r="D189" s="559"/>
      <c r="E189" s="584"/>
      <c r="F189" s="584"/>
      <c r="G189" s="27" t="s">
        <v>127</v>
      </c>
      <c r="H189" s="123" t="s">
        <v>88</v>
      </c>
      <c r="I189" s="124"/>
      <c r="J189" s="124">
        <f>203.25/3</f>
        <v>67.75</v>
      </c>
      <c r="K189" s="124">
        <f>6.06/1.2</f>
        <v>5.05</v>
      </c>
      <c r="L189" s="124">
        <f t="shared" si="31"/>
        <v>342.13749999999999</v>
      </c>
      <c r="M189" s="107"/>
      <c r="N189" s="5"/>
    </row>
    <row r="190" spans="1:14" s="30" customFormat="1" ht="15" customHeight="1">
      <c r="A190" s="582"/>
      <c r="B190" s="562"/>
      <c r="C190" s="563"/>
      <c r="D190" s="559"/>
      <c r="E190" s="584"/>
      <c r="F190" s="584"/>
      <c r="G190" s="27" t="s">
        <v>96</v>
      </c>
      <c r="H190" s="123" t="s">
        <v>88</v>
      </c>
      <c r="I190" s="124">
        <v>1.5</v>
      </c>
      <c r="J190" s="124">
        <f>D181*I190</f>
        <v>204.375</v>
      </c>
      <c r="K190" s="124">
        <f>103.5/100/1.2</f>
        <v>0.86249999999999993</v>
      </c>
      <c r="L190" s="124">
        <f t="shared" si="31"/>
        <v>176.2734375</v>
      </c>
      <c r="M190" s="107"/>
      <c r="N190" s="5"/>
    </row>
    <row r="191" spans="1:14" s="30" customFormat="1" ht="38.25">
      <c r="A191" s="582"/>
      <c r="B191" s="562"/>
      <c r="C191" s="563"/>
      <c r="D191" s="559"/>
      <c r="E191" s="584"/>
      <c r="F191" s="584"/>
      <c r="G191" s="27" t="s">
        <v>97</v>
      </c>
      <c r="H191" s="174" t="s">
        <v>98</v>
      </c>
      <c r="I191" s="124">
        <v>3</v>
      </c>
      <c r="J191" s="124">
        <f>I191*J189</f>
        <v>203.25</v>
      </c>
      <c r="K191" s="124">
        <f>14.17/100</f>
        <v>0.14169999999999999</v>
      </c>
      <c r="L191" s="124">
        <f t="shared" si="31"/>
        <v>28.800524999999997</v>
      </c>
      <c r="M191" s="107"/>
      <c r="N191" s="5"/>
    </row>
    <row r="192" spans="1:14" s="30" customFormat="1" ht="15" customHeight="1">
      <c r="A192" s="554">
        <f>IF(ISBLANK(D192),"",COUNTA(D$14:D192))</f>
        <v>59</v>
      </c>
      <c r="B192" s="618" t="s">
        <v>128</v>
      </c>
      <c r="C192" s="579" t="s">
        <v>11</v>
      </c>
      <c r="D192" s="580">
        <f>285.6+2835.49+159.47+4.68-D181</f>
        <v>3148.9899999999993</v>
      </c>
      <c r="E192" s="588">
        <f>240/1.2</f>
        <v>200</v>
      </c>
      <c r="F192" s="588">
        <f>E192*D192</f>
        <v>629797.99999999988</v>
      </c>
      <c r="G192" s="255" t="s">
        <v>12</v>
      </c>
      <c r="H192" s="175" t="s">
        <v>13</v>
      </c>
      <c r="I192" s="173">
        <v>0.2</v>
      </c>
      <c r="J192" s="173">
        <f>D192*I192</f>
        <v>629.79799999999989</v>
      </c>
      <c r="K192" s="124">
        <f>458.33/10</f>
        <v>45.832999999999998</v>
      </c>
      <c r="L192" s="270">
        <f>J192*K192</f>
        <v>28865.531733999993</v>
      </c>
      <c r="M192" s="271" t="s">
        <v>171</v>
      </c>
      <c r="N192" s="5"/>
    </row>
    <row r="193" spans="1:14" s="30" customFormat="1" ht="15" customHeight="1">
      <c r="A193" s="561"/>
      <c r="B193" s="562"/>
      <c r="C193" s="563"/>
      <c r="D193" s="559"/>
      <c r="E193" s="584"/>
      <c r="F193" s="584"/>
      <c r="G193" s="27" t="s">
        <v>14</v>
      </c>
      <c r="H193" s="123" t="s">
        <v>15</v>
      </c>
      <c r="I193" s="124">
        <v>3.2</v>
      </c>
      <c r="J193" s="124">
        <f>D192*I193</f>
        <v>10076.767999999998</v>
      </c>
      <c r="K193" s="28">
        <v>3</v>
      </c>
      <c r="L193" s="29">
        <f t="shared" ref="L193:L196" si="32">K193*J193</f>
        <v>30230.303999999996</v>
      </c>
      <c r="M193" s="105" t="s">
        <v>172</v>
      </c>
      <c r="N193" s="5"/>
    </row>
    <row r="194" spans="1:14" s="30" customFormat="1" ht="15" customHeight="1">
      <c r="A194" s="561"/>
      <c r="B194" s="562"/>
      <c r="C194" s="563"/>
      <c r="D194" s="559"/>
      <c r="E194" s="584"/>
      <c r="F194" s="584"/>
      <c r="G194" s="27" t="s">
        <v>16</v>
      </c>
      <c r="H194" s="123" t="s">
        <v>15</v>
      </c>
      <c r="I194" s="124">
        <v>1.8</v>
      </c>
      <c r="J194" s="124">
        <f>D192*I194</f>
        <v>5668.1819999999989</v>
      </c>
      <c r="K194" s="28">
        <f>152.5/25</f>
        <v>6.1</v>
      </c>
      <c r="L194" s="29">
        <f t="shared" si="32"/>
        <v>34575.910199999991</v>
      </c>
      <c r="M194" s="105" t="s">
        <v>173</v>
      </c>
      <c r="N194" s="5"/>
    </row>
    <row r="195" spans="1:14" s="30" customFormat="1" ht="15" customHeight="1">
      <c r="A195" s="554">
        <f>IF(ISBLANK(D195),"",COUNTA(D$14:D195))</f>
        <v>60</v>
      </c>
      <c r="B195" s="576" t="s">
        <v>35</v>
      </c>
      <c r="C195" s="563" t="s">
        <v>11</v>
      </c>
      <c r="D195" s="559">
        <f>D192</f>
        <v>3148.9899999999993</v>
      </c>
      <c r="E195" s="584">
        <f>87.12/1.2</f>
        <v>72.600000000000009</v>
      </c>
      <c r="F195" s="584">
        <f>E195*D195</f>
        <v>228616.67399999997</v>
      </c>
      <c r="G195" s="234" t="s">
        <v>17</v>
      </c>
      <c r="H195" s="123" t="s">
        <v>13</v>
      </c>
      <c r="I195" s="124">
        <v>0.2</v>
      </c>
      <c r="J195" s="124">
        <f>I195*D195</f>
        <v>629.79799999999989</v>
      </c>
      <c r="K195" s="272">
        <f>70/10</f>
        <v>7</v>
      </c>
      <c r="L195" s="29">
        <f t="shared" si="32"/>
        <v>4408.5859999999993</v>
      </c>
      <c r="M195" s="105" t="s">
        <v>174</v>
      </c>
      <c r="N195" s="5"/>
    </row>
    <row r="196" spans="1:14" s="30" customFormat="1" ht="15" customHeight="1" thickBot="1">
      <c r="A196" s="561"/>
      <c r="B196" s="587"/>
      <c r="C196" s="565"/>
      <c r="D196" s="560"/>
      <c r="E196" s="585"/>
      <c r="F196" s="585"/>
      <c r="G196" s="60" t="s">
        <v>46</v>
      </c>
      <c r="H196" s="128" t="s">
        <v>15</v>
      </c>
      <c r="I196" s="210">
        <v>0.3</v>
      </c>
      <c r="J196" s="134">
        <f>D195*I196</f>
        <v>944.69699999999978</v>
      </c>
      <c r="K196" s="280">
        <f>28.26/1.2*14/10</f>
        <v>32.97</v>
      </c>
      <c r="L196" s="29">
        <f t="shared" si="32"/>
        <v>31146.66008999999</v>
      </c>
      <c r="M196" s="105" t="s">
        <v>175</v>
      </c>
      <c r="N196" s="5"/>
    </row>
    <row r="197" spans="1:14" s="30" customFormat="1" ht="15" customHeight="1" thickBot="1">
      <c r="A197" s="20"/>
      <c r="B197" s="21" t="s">
        <v>20</v>
      </c>
      <c r="C197" s="22"/>
      <c r="D197" s="23"/>
      <c r="E197" s="141"/>
      <c r="F197" s="141"/>
      <c r="G197" s="22"/>
      <c r="H197" s="207"/>
      <c r="I197" s="142"/>
      <c r="J197" s="142"/>
      <c r="K197" s="142"/>
      <c r="L197" s="170"/>
      <c r="M197" s="107"/>
      <c r="N197" s="5"/>
    </row>
    <row r="198" spans="1:14" s="30" customFormat="1" ht="15" customHeight="1">
      <c r="A198" s="561">
        <f>IF(ISBLANK(D198),"",COUNTA(D$14:D198))</f>
        <v>61</v>
      </c>
      <c r="B198" s="586" t="s">
        <v>60</v>
      </c>
      <c r="C198" s="579" t="s">
        <v>11</v>
      </c>
      <c r="D198" s="580">
        <f>4942.95+137.44</f>
        <v>5080.3899999999994</v>
      </c>
      <c r="E198" s="588">
        <f>210.54/1.2</f>
        <v>175.45</v>
      </c>
      <c r="F198" s="588">
        <f>E198*D198</f>
        <v>891354.4254999999</v>
      </c>
      <c r="G198" s="203" t="s">
        <v>36</v>
      </c>
      <c r="H198" s="175" t="s">
        <v>15</v>
      </c>
      <c r="I198" s="173">
        <v>15</v>
      </c>
      <c r="J198" s="173">
        <f>D198*I198</f>
        <v>76205.849999999991</v>
      </c>
      <c r="K198" s="272">
        <f>98/30</f>
        <v>3.2666666666666666</v>
      </c>
      <c r="L198" s="29">
        <f>K198*J198</f>
        <v>248939.10999999996</v>
      </c>
      <c r="M198" s="105" t="s">
        <v>176</v>
      </c>
      <c r="N198" s="5"/>
    </row>
    <row r="199" spans="1:14" s="30" customFormat="1" ht="15" customHeight="1">
      <c r="A199" s="561"/>
      <c r="B199" s="576"/>
      <c r="C199" s="563"/>
      <c r="D199" s="559"/>
      <c r="E199" s="584"/>
      <c r="F199" s="584"/>
      <c r="G199" s="27" t="s">
        <v>12</v>
      </c>
      <c r="H199" s="123" t="s">
        <v>13</v>
      </c>
      <c r="I199" s="124">
        <v>0.35</v>
      </c>
      <c r="J199" s="124">
        <f>I199*D198</f>
        <v>1778.1364999999996</v>
      </c>
      <c r="K199" s="124">
        <f>458.33/10</f>
        <v>45.832999999999998</v>
      </c>
      <c r="L199" s="270">
        <f>J199*K199</f>
        <v>81497.330204499973</v>
      </c>
      <c r="M199" s="271" t="s">
        <v>171</v>
      </c>
      <c r="N199" s="5"/>
    </row>
    <row r="200" spans="1:14" s="30" customFormat="1" ht="15" customHeight="1">
      <c r="A200" s="561"/>
      <c r="B200" s="576"/>
      <c r="C200" s="563"/>
      <c r="D200" s="559"/>
      <c r="E200" s="584"/>
      <c r="F200" s="584"/>
      <c r="G200" s="27" t="s">
        <v>19</v>
      </c>
      <c r="H200" s="123" t="s">
        <v>18</v>
      </c>
      <c r="I200" s="124">
        <v>0.28999999999999998</v>
      </c>
      <c r="J200" s="124">
        <f>D198*I200</f>
        <v>1473.3130999999996</v>
      </c>
      <c r="K200" s="28">
        <f>433.35/50</f>
        <v>8.6669999999999998</v>
      </c>
      <c r="L200" s="29">
        <f>K200*J200</f>
        <v>12769.204637699997</v>
      </c>
      <c r="M200" s="105" t="s">
        <v>177</v>
      </c>
      <c r="N200" s="5"/>
    </row>
    <row r="201" spans="1:14" s="30" customFormat="1" ht="15" customHeight="1">
      <c r="A201" s="555"/>
      <c r="B201" s="587"/>
      <c r="C201" s="565"/>
      <c r="D201" s="560"/>
      <c r="E201" s="585"/>
      <c r="F201" s="585"/>
      <c r="G201" s="84" t="s">
        <v>25</v>
      </c>
      <c r="H201" s="128" t="s">
        <v>58</v>
      </c>
      <c r="I201" s="134">
        <v>0.7</v>
      </c>
      <c r="J201" s="124">
        <f>I201*D198</f>
        <v>3556.2729999999992</v>
      </c>
      <c r="K201" s="28">
        <f>19.17/3</f>
        <v>6.3900000000000006</v>
      </c>
      <c r="L201" s="29">
        <f>J201*K201</f>
        <v>22724.584469999998</v>
      </c>
      <c r="M201" s="105" t="s">
        <v>178</v>
      </c>
      <c r="N201" s="5"/>
    </row>
    <row r="202" spans="1:14" s="30" customFormat="1" ht="15" customHeight="1">
      <c r="A202" s="554">
        <f>IF(ISBLANK(D202),"",COUNTA(D$14:D202))</f>
        <v>62</v>
      </c>
      <c r="B202" s="576" t="s">
        <v>57</v>
      </c>
      <c r="C202" s="563" t="s">
        <v>11</v>
      </c>
      <c r="D202" s="559">
        <f>5016.95+66.69</f>
        <v>5083.6399999999994</v>
      </c>
      <c r="E202" s="584">
        <f>210.54/1.2</f>
        <v>175.45</v>
      </c>
      <c r="F202" s="584">
        <f>E202*D202</f>
        <v>891924.6379999998</v>
      </c>
      <c r="G202" s="27" t="s">
        <v>36</v>
      </c>
      <c r="H202" s="123" t="s">
        <v>15</v>
      </c>
      <c r="I202" s="124">
        <v>17.5</v>
      </c>
      <c r="J202" s="124">
        <f>D202*I202</f>
        <v>88963.699999999983</v>
      </c>
      <c r="K202" s="272">
        <f>98/30</f>
        <v>3.2666666666666666</v>
      </c>
      <c r="L202" s="29">
        <f>K202*J202</f>
        <v>290614.7533333333</v>
      </c>
      <c r="M202" s="105" t="s">
        <v>176</v>
      </c>
      <c r="N202" s="5"/>
    </row>
    <row r="203" spans="1:14" s="30" customFormat="1" ht="15" customHeight="1">
      <c r="A203" s="561"/>
      <c r="B203" s="576"/>
      <c r="C203" s="563"/>
      <c r="D203" s="559"/>
      <c r="E203" s="584"/>
      <c r="F203" s="584"/>
      <c r="G203" s="234" t="s">
        <v>17</v>
      </c>
      <c r="H203" s="123" t="s">
        <v>23</v>
      </c>
      <c r="I203" s="124">
        <v>0.2</v>
      </c>
      <c r="J203" s="124">
        <f>D202*I203</f>
        <v>1016.728</v>
      </c>
      <c r="K203" s="272">
        <f>70/10</f>
        <v>7</v>
      </c>
      <c r="L203" s="29">
        <f t="shared" ref="L203" si="33">K203*J203</f>
        <v>7117.0959999999995</v>
      </c>
      <c r="M203" s="105" t="s">
        <v>174</v>
      </c>
      <c r="N203" s="5"/>
    </row>
    <row r="204" spans="1:14" s="30" customFormat="1" ht="15" customHeight="1">
      <c r="A204" s="561"/>
      <c r="B204" s="576"/>
      <c r="C204" s="563"/>
      <c r="D204" s="559"/>
      <c r="E204" s="584"/>
      <c r="F204" s="584"/>
      <c r="G204" s="27" t="s">
        <v>19</v>
      </c>
      <c r="H204" s="123" t="s">
        <v>18</v>
      </c>
      <c r="I204" s="124">
        <v>0.28999999999999998</v>
      </c>
      <c r="J204" s="124">
        <f>D202*I204</f>
        <v>1474.2555999999997</v>
      </c>
      <c r="K204" s="28">
        <f>433.35/50</f>
        <v>8.6669999999999998</v>
      </c>
      <c r="L204" s="29">
        <f>K204*J204</f>
        <v>12777.373285199998</v>
      </c>
      <c r="M204" s="105" t="s">
        <v>177</v>
      </c>
      <c r="N204" s="5"/>
    </row>
    <row r="205" spans="1:14" s="30" customFormat="1" ht="15" customHeight="1">
      <c r="A205" s="555"/>
      <c r="B205" s="576"/>
      <c r="C205" s="563"/>
      <c r="D205" s="559"/>
      <c r="E205" s="584"/>
      <c r="F205" s="584"/>
      <c r="G205" s="27" t="s">
        <v>25</v>
      </c>
      <c r="H205" s="123" t="s">
        <v>58</v>
      </c>
      <c r="I205" s="124">
        <v>0.7</v>
      </c>
      <c r="J205" s="124">
        <f>I205*D202</f>
        <v>3558.5479999999993</v>
      </c>
      <c r="K205" s="28">
        <f>19.17/3</f>
        <v>6.3900000000000006</v>
      </c>
      <c r="L205" s="29">
        <f>J205*K205</f>
        <v>22739.121719999999</v>
      </c>
      <c r="M205" s="105" t="s">
        <v>178</v>
      </c>
      <c r="N205" s="5"/>
    </row>
    <row r="206" spans="1:14" s="30" customFormat="1" ht="15" customHeight="1">
      <c r="A206" s="619">
        <f>IF(ISBLANK(D206),"",COUNTA(D$14:D206))</f>
        <v>63</v>
      </c>
      <c r="B206" s="621" t="s">
        <v>129</v>
      </c>
      <c r="C206" s="622" t="s">
        <v>11</v>
      </c>
      <c r="D206" s="623">
        <f>125.58+6.08</f>
        <v>131.66</v>
      </c>
      <c r="E206" s="623">
        <f>174.24/1.2</f>
        <v>145.20000000000002</v>
      </c>
      <c r="F206" s="623">
        <f>E206*D206</f>
        <v>19117.032000000003</v>
      </c>
      <c r="G206" s="256" t="s">
        <v>17</v>
      </c>
      <c r="H206" s="123" t="s">
        <v>13</v>
      </c>
      <c r="I206" s="176">
        <v>0.2</v>
      </c>
      <c r="J206" s="176">
        <f>I206*D206</f>
        <v>26.332000000000001</v>
      </c>
      <c r="K206" s="272">
        <f>70/10</f>
        <v>7</v>
      </c>
      <c r="L206" s="29">
        <f t="shared" ref="L206" si="34">K206*J206</f>
        <v>184.32400000000001</v>
      </c>
      <c r="M206" s="105" t="s">
        <v>174</v>
      </c>
      <c r="N206" s="5"/>
    </row>
    <row r="207" spans="1:14" s="30" customFormat="1" ht="15" customHeight="1">
      <c r="A207" s="620"/>
      <c r="B207" s="621"/>
      <c r="C207" s="622"/>
      <c r="D207" s="623"/>
      <c r="E207" s="623"/>
      <c r="F207" s="623"/>
      <c r="G207" s="177" t="s">
        <v>130</v>
      </c>
      <c r="H207" s="178" t="s">
        <v>18</v>
      </c>
      <c r="I207" s="176">
        <v>1.05</v>
      </c>
      <c r="J207" s="176">
        <f>D206*I207</f>
        <v>138.24299999999999</v>
      </c>
      <c r="K207" s="176">
        <v>71.459999999999994</v>
      </c>
      <c r="L207" s="176">
        <f>J207*K207</f>
        <v>9878.8447799999994</v>
      </c>
      <c r="M207" s="107"/>
      <c r="N207" s="5"/>
    </row>
    <row r="208" spans="1:14" s="30" customFormat="1" ht="15" customHeight="1">
      <c r="A208" s="620"/>
      <c r="B208" s="621"/>
      <c r="C208" s="622"/>
      <c r="D208" s="623"/>
      <c r="E208" s="623"/>
      <c r="F208" s="623"/>
      <c r="G208" s="256" t="s">
        <v>131</v>
      </c>
      <c r="H208" s="178" t="s">
        <v>15</v>
      </c>
      <c r="I208" s="176">
        <v>6</v>
      </c>
      <c r="J208" s="176">
        <f>D206*I208</f>
        <v>789.96</v>
      </c>
      <c r="K208" s="176">
        <v>2.87</v>
      </c>
      <c r="L208" s="176">
        <f>J208*K208</f>
        <v>2267.1852000000003</v>
      </c>
      <c r="M208" s="107"/>
      <c r="N208" s="5"/>
    </row>
    <row r="209" spans="1:14" s="30" customFormat="1" ht="15" customHeight="1">
      <c r="A209" s="620"/>
      <c r="B209" s="621"/>
      <c r="C209" s="622"/>
      <c r="D209" s="623"/>
      <c r="E209" s="623"/>
      <c r="F209" s="623"/>
      <c r="G209" s="177" t="s">
        <v>132</v>
      </c>
      <c r="H209" s="178" t="s">
        <v>88</v>
      </c>
      <c r="I209" s="176">
        <v>5</v>
      </c>
      <c r="J209" s="176">
        <f>D206*I209</f>
        <v>658.3</v>
      </c>
      <c r="K209" s="124">
        <f>95.34/1.2/50</f>
        <v>1.589</v>
      </c>
      <c r="L209" s="125">
        <f>J209*K209</f>
        <v>1046.0386999999998</v>
      </c>
      <c r="M209" s="275" t="s">
        <v>185</v>
      </c>
      <c r="N209" s="5"/>
    </row>
    <row r="210" spans="1:14" s="30" customFormat="1" ht="15" customHeight="1">
      <c r="A210" s="620"/>
      <c r="B210" s="621"/>
      <c r="C210" s="622"/>
      <c r="D210" s="623"/>
      <c r="E210" s="623"/>
      <c r="F210" s="623"/>
      <c r="G210" s="177" t="s">
        <v>19</v>
      </c>
      <c r="H210" s="178" t="s">
        <v>18</v>
      </c>
      <c r="I210" s="176">
        <v>1.1000000000000001</v>
      </c>
      <c r="J210" s="176">
        <f>D206*I210</f>
        <v>144.82600000000002</v>
      </c>
      <c r="K210" s="28">
        <f>433.35/50</f>
        <v>8.6669999999999998</v>
      </c>
      <c r="L210" s="29">
        <f>K210*J210</f>
        <v>1255.2069420000003</v>
      </c>
      <c r="M210" s="105" t="s">
        <v>177</v>
      </c>
      <c r="N210" s="5"/>
    </row>
    <row r="211" spans="1:14" s="30" customFormat="1" ht="15" customHeight="1">
      <c r="A211" s="620"/>
      <c r="B211" s="621"/>
      <c r="C211" s="622"/>
      <c r="D211" s="623"/>
      <c r="E211" s="623"/>
      <c r="F211" s="623"/>
      <c r="G211" s="256" t="s">
        <v>133</v>
      </c>
      <c r="H211" s="178" t="s">
        <v>15</v>
      </c>
      <c r="I211" s="176">
        <v>5.5</v>
      </c>
      <c r="J211" s="176">
        <f>D206*I211</f>
        <v>724.13</v>
      </c>
      <c r="K211" s="176">
        <v>3.65</v>
      </c>
      <c r="L211" s="176">
        <f>J211*K211</f>
        <v>2643.0744999999997</v>
      </c>
      <c r="M211" s="107"/>
      <c r="N211" s="5"/>
    </row>
    <row r="212" spans="1:14" s="30" customFormat="1" ht="15" customHeight="1">
      <c r="A212" s="554">
        <f>IF(ISBLANK(D212),"",COUNTA(D$14:D212))</f>
        <v>64</v>
      </c>
      <c r="B212" s="576" t="s">
        <v>134</v>
      </c>
      <c r="C212" s="563" t="s">
        <v>11</v>
      </c>
      <c r="D212" s="559">
        <f>D206</f>
        <v>131.66</v>
      </c>
      <c r="E212" s="584">
        <f>159.72/1.2</f>
        <v>133.1</v>
      </c>
      <c r="F212" s="584">
        <f>E212*D212</f>
        <v>17523.946</v>
      </c>
      <c r="G212" s="234" t="s">
        <v>17</v>
      </c>
      <c r="H212" s="123" t="s">
        <v>13</v>
      </c>
      <c r="I212" s="124">
        <v>0.2</v>
      </c>
      <c r="J212" s="124">
        <f>I212*D212</f>
        <v>26.332000000000001</v>
      </c>
      <c r="K212" s="272">
        <f>70/10</f>
        <v>7</v>
      </c>
      <c r="L212" s="29">
        <f t="shared" ref="L212" si="35">K212*J212</f>
        <v>184.32400000000001</v>
      </c>
      <c r="M212" s="105" t="s">
        <v>174</v>
      </c>
      <c r="N212" s="5"/>
    </row>
    <row r="213" spans="1:14" s="30" customFormat="1" ht="15" customHeight="1">
      <c r="A213" s="561"/>
      <c r="B213" s="576"/>
      <c r="C213" s="563"/>
      <c r="D213" s="559"/>
      <c r="E213" s="584"/>
      <c r="F213" s="584"/>
      <c r="G213" s="27" t="s">
        <v>14</v>
      </c>
      <c r="H213" s="123" t="s">
        <v>15</v>
      </c>
      <c r="I213" s="124">
        <v>3.2</v>
      </c>
      <c r="J213" s="124">
        <f>D212*I213</f>
        <v>421.31200000000001</v>
      </c>
      <c r="K213" s="28">
        <v>3</v>
      </c>
      <c r="L213" s="29">
        <f t="shared" ref="L213:L216" si="36">K213*J213</f>
        <v>1263.9360000000001</v>
      </c>
      <c r="M213" s="105" t="s">
        <v>172</v>
      </c>
      <c r="N213" s="5"/>
    </row>
    <row r="214" spans="1:14" s="30" customFormat="1" ht="15" customHeight="1">
      <c r="A214" s="561"/>
      <c r="B214" s="576"/>
      <c r="C214" s="563"/>
      <c r="D214" s="559"/>
      <c r="E214" s="584"/>
      <c r="F214" s="584"/>
      <c r="G214" s="234" t="s">
        <v>17</v>
      </c>
      <c r="H214" s="123" t="s">
        <v>13</v>
      </c>
      <c r="I214" s="124">
        <v>0.2</v>
      </c>
      <c r="J214" s="124">
        <f>I214*D212</f>
        <v>26.332000000000001</v>
      </c>
      <c r="K214" s="272">
        <f>70/10</f>
        <v>7</v>
      </c>
      <c r="L214" s="29">
        <f t="shared" si="36"/>
        <v>184.32400000000001</v>
      </c>
      <c r="M214" s="105" t="s">
        <v>174</v>
      </c>
      <c r="N214" s="5"/>
    </row>
    <row r="215" spans="1:14" s="30" customFormat="1" ht="15" customHeight="1">
      <c r="A215" s="555"/>
      <c r="B215" s="576"/>
      <c r="C215" s="563"/>
      <c r="D215" s="559"/>
      <c r="E215" s="584"/>
      <c r="F215" s="584"/>
      <c r="G215" s="27" t="s">
        <v>16</v>
      </c>
      <c r="H215" s="123" t="s">
        <v>15</v>
      </c>
      <c r="I215" s="124">
        <v>1.8</v>
      </c>
      <c r="J215" s="124">
        <f>I215*D212</f>
        <v>236.988</v>
      </c>
      <c r="K215" s="28">
        <f>152.5/25</f>
        <v>6.1</v>
      </c>
      <c r="L215" s="29">
        <f t="shared" si="36"/>
        <v>1445.6268</v>
      </c>
      <c r="M215" s="105" t="s">
        <v>173</v>
      </c>
      <c r="N215" s="5"/>
    </row>
    <row r="216" spans="1:14" s="30" customFormat="1" ht="15" customHeight="1">
      <c r="A216" s="554">
        <f>IF(ISBLANK(D216),"",COUNTA(D$14:D216))</f>
        <v>65</v>
      </c>
      <c r="B216" s="576" t="s">
        <v>38</v>
      </c>
      <c r="C216" s="563" t="s">
        <v>11</v>
      </c>
      <c r="D216" s="559">
        <f>859.61+8155.75+787.43+25.21</f>
        <v>9828</v>
      </c>
      <c r="E216" s="584">
        <f>101.64/1.2</f>
        <v>84.7</v>
      </c>
      <c r="F216" s="584">
        <f>E216*D216</f>
        <v>832431.6</v>
      </c>
      <c r="G216" s="234" t="s">
        <v>17</v>
      </c>
      <c r="H216" s="123" t="s">
        <v>13</v>
      </c>
      <c r="I216" s="124">
        <v>0.2</v>
      </c>
      <c r="J216" s="124">
        <f>I216*D216</f>
        <v>1965.6000000000001</v>
      </c>
      <c r="K216" s="272">
        <f>70/10</f>
        <v>7</v>
      </c>
      <c r="L216" s="29">
        <f t="shared" si="36"/>
        <v>13759.2</v>
      </c>
      <c r="M216" s="105" t="s">
        <v>174</v>
      </c>
      <c r="N216" s="5"/>
    </row>
    <row r="217" spans="1:14" s="30" customFormat="1" ht="15" customHeight="1">
      <c r="A217" s="555"/>
      <c r="B217" s="576"/>
      <c r="C217" s="563"/>
      <c r="D217" s="559"/>
      <c r="E217" s="584"/>
      <c r="F217" s="584"/>
      <c r="G217" s="27" t="s">
        <v>16</v>
      </c>
      <c r="H217" s="123" t="s">
        <v>15</v>
      </c>
      <c r="I217" s="130">
        <v>1.8</v>
      </c>
      <c r="J217" s="124">
        <f>D216*I217</f>
        <v>17690.400000000001</v>
      </c>
      <c r="K217" s="28">
        <f>152.5/25</f>
        <v>6.1</v>
      </c>
      <c r="L217" s="29">
        <f t="shared" ref="L217" si="37">K217*J217</f>
        <v>107911.44</v>
      </c>
      <c r="M217" s="105" t="s">
        <v>173</v>
      </c>
      <c r="N217" s="5"/>
    </row>
    <row r="218" spans="1:14" s="30" customFormat="1" ht="15" customHeight="1">
      <c r="A218" s="554">
        <f>IF(ISBLANK(D218),"",COUNTA(D$14:D218))</f>
        <v>66</v>
      </c>
      <c r="B218" s="556" t="s">
        <v>66</v>
      </c>
      <c r="C218" s="557" t="s">
        <v>27</v>
      </c>
      <c r="D218" s="558">
        <f>119.83+5.11</f>
        <v>124.94</v>
      </c>
      <c r="E218" s="558">
        <f>130.68/1.2</f>
        <v>108.9</v>
      </c>
      <c r="F218" s="558">
        <f>D218*E218</f>
        <v>13605.966</v>
      </c>
      <c r="G218" s="111" t="s">
        <v>36</v>
      </c>
      <c r="H218" s="231" t="s">
        <v>24</v>
      </c>
      <c r="I218" s="131">
        <v>3</v>
      </c>
      <c r="J218" s="263">
        <f>D218*I218</f>
        <v>374.82</v>
      </c>
      <c r="K218" s="272">
        <f>98/30</f>
        <v>3.2666666666666666</v>
      </c>
      <c r="L218" s="29">
        <f>K218*J218</f>
        <v>1224.412</v>
      </c>
      <c r="M218" s="105" t="s">
        <v>176</v>
      </c>
      <c r="N218" s="5"/>
    </row>
    <row r="219" spans="1:14" s="30" customFormat="1" ht="15" customHeight="1">
      <c r="A219" s="561"/>
      <c r="B219" s="556"/>
      <c r="C219" s="557"/>
      <c r="D219" s="558"/>
      <c r="E219" s="558"/>
      <c r="F219" s="558"/>
      <c r="G219" s="261" t="s">
        <v>17</v>
      </c>
      <c r="H219" s="231" t="s">
        <v>23</v>
      </c>
      <c r="I219" s="131">
        <v>0.04</v>
      </c>
      <c r="J219" s="263">
        <f>D218*I219</f>
        <v>4.9976000000000003</v>
      </c>
      <c r="K219" s="272">
        <f>70/10</f>
        <v>7</v>
      </c>
      <c r="L219" s="29">
        <f t="shared" ref="L219:L225" si="38">K219*J219</f>
        <v>34.983200000000004</v>
      </c>
      <c r="M219" s="105" t="s">
        <v>174</v>
      </c>
      <c r="N219" s="5"/>
    </row>
    <row r="220" spans="1:14" s="30" customFormat="1" ht="15" customHeight="1">
      <c r="A220" s="561"/>
      <c r="B220" s="556"/>
      <c r="C220" s="557"/>
      <c r="D220" s="558"/>
      <c r="E220" s="558"/>
      <c r="F220" s="558"/>
      <c r="G220" s="111" t="s">
        <v>19</v>
      </c>
      <c r="H220" s="231" t="s">
        <v>28</v>
      </c>
      <c r="I220" s="131">
        <f>0.08*(200/250)</f>
        <v>6.4000000000000001E-2</v>
      </c>
      <c r="J220" s="263">
        <f>D218*I220</f>
        <v>7.9961599999999997</v>
      </c>
      <c r="K220" s="28">
        <f>433.35/50</f>
        <v>8.6669999999999998</v>
      </c>
      <c r="L220" s="29">
        <f>K220*J220</f>
        <v>69.302718720000001</v>
      </c>
      <c r="M220" s="105" t="s">
        <v>177</v>
      </c>
      <c r="N220" s="5"/>
    </row>
    <row r="221" spans="1:14" s="30" customFormat="1" ht="15" customHeight="1">
      <c r="A221" s="555"/>
      <c r="B221" s="556"/>
      <c r="C221" s="557"/>
      <c r="D221" s="558"/>
      <c r="E221" s="558"/>
      <c r="F221" s="558"/>
      <c r="G221" s="111" t="s">
        <v>25</v>
      </c>
      <c r="H221" s="231" t="s">
        <v>45</v>
      </c>
      <c r="I221" s="131">
        <v>1.02</v>
      </c>
      <c r="J221" s="263">
        <f>D218*I221</f>
        <v>127.4388</v>
      </c>
      <c r="K221" s="28">
        <f>19.17/3</f>
        <v>6.3900000000000006</v>
      </c>
      <c r="L221" s="29">
        <f>J221*K221</f>
        <v>814.33393200000012</v>
      </c>
      <c r="M221" s="105" t="s">
        <v>178</v>
      </c>
      <c r="N221" s="5"/>
    </row>
    <row r="222" spans="1:14" s="30" customFormat="1" ht="15" customHeight="1">
      <c r="A222" s="554">
        <f>IF(ISBLANK(D222),"",COUNTA(D$14:D222))</f>
        <v>67</v>
      </c>
      <c r="B222" s="556" t="s">
        <v>108</v>
      </c>
      <c r="C222" s="557" t="s">
        <v>27</v>
      </c>
      <c r="D222" s="558">
        <f>D218</f>
        <v>124.94</v>
      </c>
      <c r="E222" s="558">
        <f>101.64/1.2*0.2</f>
        <v>16.940000000000001</v>
      </c>
      <c r="F222" s="558">
        <f>E222*D222</f>
        <v>2116.4836</v>
      </c>
      <c r="G222" s="261" t="s">
        <v>17</v>
      </c>
      <c r="H222" s="231" t="s">
        <v>23</v>
      </c>
      <c r="I222" s="131">
        <v>0.05</v>
      </c>
      <c r="J222" s="263">
        <f>I222*D222</f>
        <v>6.2469999999999999</v>
      </c>
      <c r="K222" s="272">
        <f>70/10</f>
        <v>7</v>
      </c>
      <c r="L222" s="29">
        <f t="shared" si="38"/>
        <v>43.728999999999999</v>
      </c>
      <c r="M222" s="105" t="s">
        <v>174</v>
      </c>
      <c r="N222" s="5"/>
    </row>
    <row r="223" spans="1:14" s="30" customFormat="1" ht="15" customHeight="1">
      <c r="A223" s="555"/>
      <c r="B223" s="556"/>
      <c r="C223" s="557"/>
      <c r="D223" s="558"/>
      <c r="E223" s="558"/>
      <c r="F223" s="558"/>
      <c r="G223" s="111" t="s">
        <v>16</v>
      </c>
      <c r="H223" s="231" t="s">
        <v>24</v>
      </c>
      <c r="I223" s="131">
        <v>0.45</v>
      </c>
      <c r="J223" s="263">
        <f>I223*D222</f>
        <v>56.222999999999999</v>
      </c>
      <c r="K223" s="28">
        <f>152.5/25</f>
        <v>6.1</v>
      </c>
      <c r="L223" s="29">
        <f t="shared" si="38"/>
        <v>342.96029999999996</v>
      </c>
      <c r="M223" s="105" t="s">
        <v>173</v>
      </c>
      <c r="N223" s="5"/>
    </row>
    <row r="224" spans="1:14" s="30" customFormat="1" ht="15" customHeight="1">
      <c r="A224" s="554">
        <f>IF(ISBLANK(D224),"",COUNTA(D$14:D224))</f>
        <v>68</v>
      </c>
      <c r="B224" s="556" t="s">
        <v>65</v>
      </c>
      <c r="C224" s="557" t="s">
        <v>27</v>
      </c>
      <c r="D224" s="558">
        <f>D218</f>
        <v>124.94</v>
      </c>
      <c r="E224" s="558">
        <f>72.6/1.2*0.2</f>
        <v>12.100000000000001</v>
      </c>
      <c r="F224" s="558">
        <f>D224*E224</f>
        <v>1511.7740000000001</v>
      </c>
      <c r="G224" s="261" t="s">
        <v>17</v>
      </c>
      <c r="H224" s="231" t="s">
        <v>23</v>
      </c>
      <c r="I224" s="131">
        <v>0.05</v>
      </c>
      <c r="J224" s="263">
        <f>I224*D224</f>
        <v>6.2469999999999999</v>
      </c>
      <c r="K224" s="272">
        <f>70/10</f>
        <v>7</v>
      </c>
      <c r="L224" s="29">
        <f t="shared" si="38"/>
        <v>43.728999999999999</v>
      </c>
      <c r="M224" s="105" t="s">
        <v>174</v>
      </c>
      <c r="N224" s="5"/>
    </row>
    <row r="225" spans="1:14" s="30" customFormat="1" ht="15" customHeight="1">
      <c r="A225" s="555"/>
      <c r="B225" s="556"/>
      <c r="C225" s="557"/>
      <c r="D225" s="558"/>
      <c r="E225" s="558"/>
      <c r="F225" s="558"/>
      <c r="G225" s="33" t="s">
        <v>46</v>
      </c>
      <c r="H225" s="231" t="s">
        <v>23</v>
      </c>
      <c r="I225" s="132">
        <v>0.13</v>
      </c>
      <c r="J225" s="263">
        <f>I225*D224</f>
        <v>16.2422</v>
      </c>
      <c r="K225" s="273">
        <f>28.26/1.2*14/10</f>
        <v>32.97</v>
      </c>
      <c r="L225" s="29">
        <f t="shared" si="38"/>
        <v>535.50533399999995</v>
      </c>
      <c r="M225" s="105" t="s">
        <v>175</v>
      </c>
      <c r="N225" s="5"/>
    </row>
    <row r="226" spans="1:14" s="30" customFormat="1" ht="15" customHeight="1">
      <c r="A226" s="554">
        <f>IF(ISBLANK(D226),"",COUNTA(D$14:D226))</f>
        <v>69</v>
      </c>
      <c r="B226" s="556" t="s">
        <v>110</v>
      </c>
      <c r="C226" s="557" t="s">
        <v>27</v>
      </c>
      <c r="D226" s="558">
        <f>368.23+5.21</f>
        <v>373.44</v>
      </c>
      <c r="E226" s="558">
        <f>130.68/1.2</f>
        <v>108.9</v>
      </c>
      <c r="F226" s="558">
        <f>D226*E226</f>
        <v>40667.616000000002</v>
      </c>
      <c r="G226" s="111" t="s">
        <v>36</v>
      </c>
      <c r="H226" s="231" t="s">
        <v>24</v>
      </c>
      <c r="I226" s="131">
        <v>3</v>
      </c>
      <c r="J226" s="263">
        <f>D226*I226</f>
        <v>1120.32</v>
      </c>
      <c r="K226" s="276">
        <f>98/30</f>
        <v>3.2666666666666666</v>
      </c>
      <c r="L226" s="29">
        <f>K226*J226</f>
        <v>3659.7119999999995</v>
      </c>
      <c r="M226" s="105" t="s">
        <v>176</v>
      </c>
      <c r="N226" s="5"/>
    </row>
    <row r="227" spans="1:14" s="30" customFormat="1" ht="15" customHeight="1">
      <c r="A227" s="561"/>
      <c r="B227" s="556"/>
      <c r="C227" s="557"/>
      <c r="D227" s="558"/>
      <c r="E227" s="558"/>
      <c r="F227" s="558"/>
      <c r="G227" s="261" t="s">
        <v>17</v>
      </c>
      <c r="H227" s="231" t="s">
        <v>23</v>
      </c>
      <c r="I227" s="131">
        <v>0.04</v>
      </c>
      <c r="J227" s="263">
        <f>D226*I227</f>
        <v>14.9376</v>
      </c>
      <c r="K227" s="272">
        <f>70/10</f>
        <v>7</v>
      </c>
      <c r="L227" s="29">
        <f t="shared" ref="L227:L233" si="39">K227*J227</f>
        <v>104.56319999999999</v>
      </c>
      <c r="M227" s="105" t="s">
        <v>174</v>
      </c>
      <c r="N227" s="5"/>
    </row>
    <row r="228" spans="1:14" s="30" customFormat="1" ht="15" customHeight="1">
      <c r="A228" s="561"/>
      <c r="B228" s="556"/>
      <c r="C228" s="557"/>
      <c r="D228" s="558"/>
      <c r="E228" s="558"/>
      <c r="F228" s="558"/>
      <c r="G228" s="111" t="s">
        <v>19</v>
      </c>
      <c r="H228" s="231" t="s">
        <v>28</v>
      </c>
      <c r="I228" s="131">
        <f>0.08*(70/250)</f>
        <v>2.2400000000000003E-2</v>
      </c>
      <c r="J228" s="263">
        <f>D226*I228</f>
        <v>8.3650560000000009</v>
      </c>
      <c r="K228" s="28">
        <f>433.35/50</f>
        <v>8.6669999999999998</v>
      </c>
      <c r="L228" s="29">
        <f>K228*J228</f>
        <v>72.49994035200001</v>
      </c>
      <c r="M228" s="105" t="s">
        <v>177</v>
      </c>
      <c r="N228" s="5"/>
    </row>
    <row r="229" spans="1:14" s="30" customFormat="1" ht="15" customHeight="1">
      <c r="A229" s="555"/>
      <c r="B229" s="556"/>
      <c r="C229" s="557"/>
      <c r="D229" s="558"/>
      <c r="E229" s="558"/>
      <c r="F229" s="558"/>
      <c r="G229" s="111" t="s">
        <v>25</v>
      </c>
      <c r="H229" s="231" t="s">
        <v>45</v>
      </c>
      <c r="I229" s="131">
        <v>1.02</v>
      </c>
      <c r="J229" s="263">
        <f>D226*I229</f>
        <v>380.90879999999999</v>
      </c>
      <c r="K229" s="28">
        <f>19.17/3</f>
        <v>6.3900000000000006</v>
      </c>
      <c r="L229" s="29">
        <f>J229*K229</f>
        <v>2434.0072319999999</v>
      </c>
      <c r="M229" s="105" t="s">
        <v>178</v>
      </c>
      <c r="N229" s="5"/>
    </row>
    <row r="230" spans="1:14" s="30" customFormat="1" ht="15" customHeight="1">
      <c r="A230" s="554">
        <f>IF(ISBLANK(D230),"",COUNTA(D$14:D230))</f>
        <v>70</v>
      </c>
      <c r="B230" s="556" t="s">
        <v>111</v>
      </c>
      <c r="C230" s="557" t="s">
        <v>27</v>
      </c>
      <c r="D230" s="558">
        <f>D226</f>
        <v>373.44</v>
      </c>
      <c r="E230" s="558">
        <f>101.64/1.2*0.07</f>
        <v>5.9290000000000012</v>
      </c>
      <c r="F230" s="558">
        <f>E230*D230</f>
        <v>2214.1257600000004</v>
      </c>
      <c r="G230" s="261" t="s">
        <v>17</v>
      </c>
      <c r="H230" s="231" t="s">
        <v>23</v>
      </c>
      <c r="I230" s="131">
        <v>0.05</v>
      </c>
      <c r="J230" s="263">
        <f>I230*D230</f>
        <v>18.672000000000001</v>
      </c>
      <c r="K230" s="272">
        <f>70/10</f>
        <v>7</v>
      </c>
      <c r="L230" s="29">
        <f t="shared" si="39"/>
        <v>130.70400000000001</v>
      </c>
      <c r="M230" s="105" t="s">
        <v>174</v>
      </c>
      <c r="N230" s="5"/>
    </row>
    <row r="231" spans="1:14" s="30" customFormat="1" ht="15" customHeight="1">
      <c r="A231" s="555"/>
      <c r="B231" s="556"/>
      <c r="C231" s="557"/>
      <c r="D231" s="558"/>
      <c r="E231" s="558"/>
      <c r="F231" s="558"/>
      <c r="G231" s="27" t="s">
        <v>16</v>
      </c>
      <c r="H231" s="231" t="s">
        <v>24</v>
      </c>
      <c r="I231" s="131">
        <v>0.45</v>
      </c>
      <c r="J231" s="263">
        <f>I231*D230</f>
        <v>168.048</v>
      </c>
      <c r="K231" s="28">
        <f>152.5/25</f>
        <v>6.1</v>
      </c>
      <c r="L231" s="29">
        <f t="shared" si="39"/>
        <v>1025.0927999999999</v>
      </c>
      <c r="M231" s="105" t="s">
        <v>173</v>
      </c>
      <c r="N231" s="5"/>
    </row>
    <row r="232" spans="1:14" s="30" customFormat="1" ht="15" customHeight="1">
      <c r="A232" s="554">
        <f>IF(ISBLANK(D232),"",COUNTA(D$14:D232))</f>
        <v>71</v>
      </c>
      <c r="B232" s="556" t="s">
        <v>112</v>
      </c>
      <c r="C232" s="557" t="s">
        <v>27</v>
      </c>
      <c r="D232" s="558">
        <f>D226</f>
        <v>373.44</v>
      </c>
      <c r="E232" s="558">
        <f>72.6/1.2*0.07</f>
        <v>4.2350000000000003</v>
      </c>
      <c r="F232" s="558">
        <f>D232*E232</f>
        <v>1581.5184000000002</v>
      </c>
      <c r="G232" s="261" t="s">
        <v>17</v>
      </c>
      <c r="H232" s="231" t="s">
        <v>23</v>
      </c>
      <c r="I232" s="131">
        <v>0.05</v>
      </c>
      <c r="J232" s="263">
        <f>I232*D232</f>
        <v>18.672000000000001</v>
      </c>
      <c r="K232" s="272">
        <f>70/10</f>
        <v>7</v>
      </c>
      <c r="L232" s="29">
        <f t="shared" si="39"/>
        <v>130.70400000000001</v>
      </c>
      <c r="M232" s="105" t="s">
        <v>174</v>
      </c>
      <c r="N232" s="5"/>
    </row>
    <row r="233" spans="1:14" s="30" customFormat="1" ht="15" customHeight="1">
      <c r="A233" s="555"/>
      <c r="B233" s="556"/>
      <c r="C233" s="557"/>
      <c r="D233" s="558"/>
      <c r="E233" s="558"/>
      <c r="F233" s="558"/>
      <c r="G233" s="33" t="s">
        <v>46</v>
      </c>
      <c r="H233" s="231" t="s">
        <v>23</v>
      </c>
      <c r="I233" s="132">
        <v>0.13</v>
      </c>
      <c r="J233" s="263">
        <f>I233*D232</f>
        <v>48.547200000000004</v>
      </c>
      <c r="K233" s="273">
        <f>28.26/1.2*14/10</f>
        <v>32.97</v>
      </c>
      <c r="L233" s="29">
        <f t="shared" si="39"/>
        <v>1600.6011840000001</v>
      </c>
      <c r="M233" s="105" t="s">
        <v>175</v>
      </c>
      <c r="N233" s="5"/>
    </row>
    <row r="234" spans="1:14" s="30" customFormat="1" ht="15" customHeight="1">
      <c r="A234" s="554">
        <f>IF(ISBLANK(D234),"",COUNTA(D$14:D234))</f>
        <v>72</v>
      </c>
      <c r="B234" s="556" t="s">
        <v>114</v>
      </c>
      <c r="C234" s="557" t="s">
        <v>27</v>
      </c>
      <c r="D234" s="558">
        <f>493.12+10.72</f>
        <v>503.84000000000003</v>
      </c>
      <c r="E234" s="558">
        <f>130.68/1.2</f>
        <v>108.9</v>
      </c>
      <c r="F234" s="558">
        <f>D234*E234</f>
        <v>54868.176000000007</v>
      </c>
      <c r="G234" s="111" t="s">
        <v>36</v>
      </c>
      <c r="H234" s="231" t="s">
        <v>24</v>
      </c>
      <c r="I234" s="131">
        <f>15*0.15</f>
        <v>2.25</v>
      </c>
      <c r="J234" s="263">
        <f>D234*I234</f>
        <v>1133.6400000000001</v>
      </c>
      <c r="K234" s="276">
        <f>98/30</f>
        <v>3.2666666666666666</v>
      </c>
      <c r="L234" s="29">
        <f>K234*J234</f>
        <v>3703.2240000000002</v>
      </c>
      <c r="M234" s="105" t="s">
        <v>176</v>
      </c>
      <c r="N234" s="5"/>
    </row>
    <row r="235" spans="1:14" s="30" customFormat="1" ht="15" customHeight="1">
      <c r="A235" s="561"/>
      <c r="B235" s="556"/>
      <c r="C235" s="557"/>
      <c r="D235" s="558"/>
      <c r="E235" s="558"/>
      <c r="F235" s="558"/>
      <c r="G235" s="261" t="s">
        <v>12</v>
      </c>
      <c r="H235" s="231" t="s">
        <v>23</v>
      </c>
      <c r="I235" s="131">
        <v>2.8000000000000001E-2</v>
      </c>
      <c r="J235" s="263">
        <f>D234*I235</f>
        <v>14.107520000000001</v>
      </c>
      <c r="K235" s="124">
        <f>458.33/10</f>
        <v>45.832999999999998</v>
      </c>
      <c r="L235" s="270">
        <f>J235*K235</f>
        <v>646.58996416000002</v>
      </c>
      <c r="M235" s="271" t="s">
        <v>171</v>
      </c>
      <c r="N235" s="5"/>
    </row>
    <row r="236" spans="1:14" s="30" customFormat="1" ht="15" customHeight="1">
      <c r="A236" s="561"/>
      <c r="B236" s="556"/>
      <c r="C236" s="557"/>
      <c r="D236" s="558"/>
      <c r="E236" s="558"/>
      <c r="F236" s="558"/>
      <c r="G236" s="111" t="s">
        <v>19</v>
      </c>
      <c r="H236" s="231" t="s">
        <v>28</v>
      </c>
      <c r="I236" s="131">
        <f>0.08*(150/250)</f>
        <v>4.8000000000000001E-2</v>
      </c>
      <c r="J236" s="263">
        <f>D234*I236</f>
        <v>24.184320000000003</v>
      </c>
      <c r="K236" s="28">
        <f>433.35/50</f>
        <v>8.6669999999999998</v>
      </c>
      <c r="L236" s="29">
        <f>K236*J236</f>
        <v>209.60550144000001</v>
      </c>
      <c r="M236" s="105" t="s">
        <v>177</v>
      </c>
      <c r="N236" s="5"/>
    </row>
    <row r="237" spans="1:14" s="30" customFormat="1" ht="15" customHeight="1">
      <c r="A237" s="555"/>
      <c r="B237" s="556"/>
      <c r="C237" s="557"/>
      <c r="D237" s="558"/>
      <c r="E237" s="558"/>
      <c r="F237" s="558"/>
      <c r="G237" s="111" t="s">
        <v>25</v>
      </c>
      <c r="H237" s="231" t="s">
        <v>45</v>
      </c>
      <c r="I237" s="131">
        <v>1.02</v>
      </c>
      <c r="J237" s="263">
        <f>D234*I237</f>
        <v>513.91680000000008</v>
      </c>
      <c r="K237" s="28">
        <f>19.17/3</f>
        <v>6.3900000000000006</v>
      </c>
      <c r="L237" s="29">
        <f>J237*K237</f>
        <v>3283.9283520000008</v>
      </c>
      <c r="M237" s="105" t="s">
        <v>178</v>
      </c>
      <c r="N237" s="5"/>
    </row>
    <row r="238" spans="1:14" s="30" customFormat="1" ht="15" customHeight="1">
      <c r="A238" s="554">
        <f>IF(ISBLANK(D238),"",COUNTA(D$14:D238))</f>
        <v>73</v>
      </c>
      <c r="B238" s="556" t="s">
        <v>80</v>
      </c>
      <c r="C238" s="557" t="s">
        <v>27</v>
      </c>
      <c r="D238" s="558">
        <f>D234</f>
        <v>503.84000000000003</v>
      </c>
      <c r="E238" s="558">
        <f>101.64/1.2*0.15</f>
        <v>12.705</v>
      </c>
      <c r="F238" s="558">
        <f>E238*D238</f>
        <v>6401.2872000000007</v>
      </c>
      <c r="G238" s="261" t="s">
        <v>17</v>
      </c>
      <c r="H238" s="231" t="s">
        <v>23</v>
      </c>
      <c r="I238" s="131">
        <v>0.05</v>
      </c>
      <c r="J238" s="263">
        <f>I238*D238</f>
        <v>25.192000000000004</v>
      </c>
      <c r="K238" s="272">
        <f>70/10</f>
        <v>7</v>
      </c>
      <c r="L238" s="29">
        <f t="shared" ref="L238:L241" si="40">K238*J238</f>
        <v>176.34400000000002</v>
      </c>
      <c r="M238" s="105" t="s">
        <v>174</v>
      </c>
      <c r="N238" s="5"/>
    </row>
    <row r="239" spans="1:14" s="30" customFormat="1" ht="15" customHeight="1">
      <c r="A239" s="555"/>
      <c r="B239" s="556"/>
      <c r="C239" s="557"/>
      <c r="D239" s="558"/>
      <c r="E239" s="558"/>
      <c r="F239" s="558"/>
      <c r="G239" s="27" t="s">
        <v>16</v>
      </c>
      <c r="H239" s="231" t="s">
        <v>24</v>
      </c>
      <c r="I239" s="131">
        <v>0.45</v>
      </c>
      <c r="J239" s="263">
        <f>I239*D238</f>
        <v>226.72800000000001</v>
      </c>
      <c r="K239" s="28">
        <f>152.5/25</f>
        <v>6.1</v>
      </c>
      <c r="L239" s="29">
        <f t="shared" si="40"/>
        <v>1383.0408</v>
      </c>
      <c r="M239" s="105" t="s">
        <v>173</v>
      </c>
      <c r="N239" s="5"/>
    </row>
    <row r="240" spans="1:14" s="30" customFormat="1" ht="15" customHeight="1">
      <c r="A240" s="554">
        <f>IF(ISBLANK(D240),"",COUNTA(D$14:D240))</f>
        <v>74</v>
      </c>
      <c r="B240" s="556" t="s">
        <v>81</v>
      </c>
      <c r="C240" s="557" t="s">
        <v>27</v>
      </c>
      <c r="D240" s="558">
        <f>D234</f>
        <v>503.84000000000003</v>
      </c>
      <c r="E240" s="558">
        <f>72.6/1.2*0.15</f>
        <v>9.0749999999999993</v>
      </c>
      <c r="F240" s="558">
        <f>D240*E240</f>
        <v>4572.348</v>
      </c>
      <c r="G240" s="261" t="s">
        <v>17</v>
      </c>
      <c r="H240" s="231" t="s">
        <v>23</v>
      </c>
      <c r="I240" s="131">
        <v>0.05</v>
      </c>
      <c r="J240" s="263">
        <f>I240*D240</f>
        <v>25.192000000000004</v>
      </c>
      <c r="K240" s="272">
        <f>70/10</f>
        <v>7</v>
      </c>
      <c r="L240" s="29">
        <f t="shared" si="40"/>
        <v>176.34400000000002</v>
      </c>
      <c r="M240" s="105" t="s">
        <v>174</v>
      </c>
      <c r="N240" s="5"/>
    </row>
    <row r="241" spans="1:14" s="30" customFormat="1" ht="15" customHeight="1">
      <c r="A241" s="555"/>
      <c r="B241" s="556"/>
      <c r="C241" s="557"/>
      <c r="D241" s="558"/>
      <c r="E241" s="558"/>
      <c r="F241" s="558"/>
      <c r="G241" s="33" t="s">
        <v>46</v>
      </c>
      <c r="H241" s="231" t="s">
        <v>23</v>
      </c>
      <c r="I241" s="132">
        <v>0.13</v>
      </c>
      <c r="J241" s="263">
        <f>I241*D240</f>
        <v>65.499200000000002</v>
      </c>
      <c r="K241" s="273">
        <f>28.26/1.2*14/10</f>
        <v>32.97</v>
      </c>
      <c r="L241" s="29">
        <f t="shared" si="40"/>
        <v>2159.5086240000001</v>
      </c>
      <c r="M241" s="105" t="s">
        <v>175</v>
      </c>
      <c r="N241" s="5"/>
    </row>
    <row r="242" spans="1:14" s="30" customFormat="1" ht="15" customHeight="1">
      <c r="A242" s="554">
        <f>IF(ISBLANK(D242),"",COUNTA(D$14:D242))</f>
        <v>75</v>
      </c>
      <c r="B242" s="576" t="s">
        <v>39</v>
      </c>
      <c r="C242" s="563" t="s">
        <v>11</v>
      </c>
      <c r="D242" s="559">
        <f>D216-D244-D246</f>
        <v>7518.6</v>
      </c>
      <c r="E242" s="584">
        <f>72.6/1.2</f>
        <v>60.5</v>
      </c>
      <c r="F242" s="584">
        <f>E242*D242</f>
        <v>454875.30000000005</v>
      </c>
      <c r="G242" s="234" t="s">
        <v>17</v>
      </c>
      <c r="H242" s="123" t="s">
        <v>13</v>
      </c>
      <c r="I242" s="124">
        <v>0.2</v>
      </c>
      <c r="J242" s="124">
        <f>I242*D242</f>
        <v>1503.7200000000003</v>
      </c>
      <c r="K242" s="276">
        <f>70/10</f>
        <v>7</v>
      </c>
      <c r="L242" s="29">
        <f t="shared" ref="L242:L243" si="41">K242*J242</f>
        <v>10526.04</v>
      </c>
      <c r="M242" s="105" t="s">
        <v>174</v>
      </c>
      <c r="N242" s="5"/>
    </row>
    <row r="243" spans="1:14" s="30" customFormat="1" ht="15" customHeight="1">
      <c r="A243" s="555"/>
      <c r="B243" s="576"/>
      <c r="C243" s="563"/>
      <c r="D243" s="559"/>
      <c r="E243" s="584"/>
      <c r="F243" s="584"/>
      <c r="G243" s="33" t="s">
        <v>46</v>
      </c>
      <c r="H243" s="123" t="s">
        <v>15</v>
      </c>
      <c r="I243" s="130">
        <v>0.3</v>
      </c>
      <c r="J243" s="124">
        <f>D242*I243</f>
        <v>2255.58</v>
      </c>
      <c r="K243" s="273">
        <f>28.26/1.2*14/10</f>
        <v>32.97</v>
      </c>
      <c r="L243" s="29">
        <f t="shared" si="41"/>
        <v>74366.472599999994</v>
      </c>
      <c r="M243" s="105" t="s">
        <v>175</v>
      </c>
      <c r="N243" s="5"/>
    </row>
    <row r="244" spans="1:14" s="30" customFormat="1" ht="15" customHeight="1">
      <c r="A244" s="554">
        <f>IF(ISBLANK(D244),"",COUNTA(D$14:D244))</f>
        <v>76</v>
      </c>
      <c r="B244" s="576" t="s">
        <v>39</v>
      </c>
      <c r="C244" s="563" t="s">
        <v>11</v>
      </c>
      <c r="D244" s="559">
        <f>832.6+21.55</f>
        <v>854.15</v>
      </c>
      <c r="E244" s="584">
        <f>72.6/1.2</f>
        <v>60.5</v>
      </c>
      <c r="F244" s="584">
        <f>E244*D244</f>
        <v>51676.074999999997</v>
      </c>
      <c r="G244" s="234" t="s">
        <v>17</v>
      </c>
      <c r="H244" s="123" t="s">
        <v>13</v>
      </c>
      <c r="I244" s="124">
        <v>0.2</v>
      </c>
      <c r="J244" s="124">
        <f>I244*D244</f>
        <v>170.83</v>
      </c>
      <c r="K244" s="276">
        <f>70/10</f>
        <v>7</v>
      </c>
      <c r="L244" s="29">
        <f t="shared" ref="L244:L245" si="42">K244*J244</f>
        <v>1195.8100000000002</v>
      </c>
      <c r="M244" s="105" t="s">
        <v>174</v>
      </c>
      <c r="N244" s="5"/>
    </row>
    <row r="245" spans="1:14" s="30" customFormat="1" ht="15" customHeight="1">
      <c r="A245" s="555"/>
      <c r="B245" s="576"/>
      <c r="C245" s="563"/>
      <c r="D245" s="559"/>
      <c r="E245" s="584"/>
      <c r="F245" s="584"/>
      <c r="G245" s="33" t="s">
        <v>99</v>
      </c>
      <c r="H245" s="123" t="s">
        <v>15</v>
      </c>
      <c r="I245" s="130">
        <v>0.3</v>
      </c>
      <c r="J245" s="124">
        <f>D244*I245</f>
        <v>256.245</v>
      </c>
      <c r="K245" s="273">
        <f>28.26/1.2*14/10</f>
        <v>32.97</v>
      </c>
      <c r="L245" s="29">
        <f t="shared" si="42"/>
        <v>8448.397649999999</v>
      </c>
      <c r="M245" s="105" t="s">
        <v>175</v>
      </c>
      <c r="N245" s="5"/>
    </row>
    <row r="246" spans="1:14" s="30" customFormat="1" ht="15" customHeight="1">
      <c r="A246" s="554">
        <f>IF(ISBLANK(D246),"",COUNTA(D$14:D246))</f>
        <v>77</v>
      </c>
      <c r="B246" s="576" t="s">
        <v>39</v>
      </c>
      <c r="C246" s="563" t="s">
        <v>11</v>
      </c>
      <c r="D246" s="559">
        <f>1444.86+10.39</f>
        <v>1455.25</v>
      </c>
      <c r="E246" s="584">
        <f>72.6/1.2</f>
        <v>60.5</v>
      </c>
      <c r="F246" s="584">
        <f>E246*D246</f>
        <v>88042.625</v>
      </c>
      <c r="G246" s="234" t="s">
        <v>17</v>
      </c>
      <c r="H246" s="123" t="s">
        <v>13</v>
      </c>
      <c r="I246" s="124">
        <v>0.2</v>
      </c>
      <c r="J246" s="124">
        <f>I246*D246</f>
        <v>291.05</v>
      </c>
      <c r="K246" s="276">
        <f>70/10</f>
        <v>7</v>
      </c>
      <c r="L246" s="29">
        <f t="shared" ref="L246" si="43">K246*J246</f>
        <v>2037.3500000000001</v>
      </c>
      <c r="M246" s="105" t="s">
        <v>174</v>
      </c>
      <c r="N246" s="5"/>
    </row>
    <row r="247" spans="1:14" s="30" customFormat="1" ht="15" customHeight="1">
      <c r="A247" s="555"/>
      <c r="B247" s="576"/>
      <c r="C247" s="563"/>
      <c r="D247" s="559"/>
      <c r="E247" s="584"/>
      <c r="F247" s="584"/>
      <c r="G247" s="33" t="s">
        <v>21</v>
      </c>
      <c r="H247" s="123" t="s">
        <v>15</v>
      </c>
      <c r="I247" s="130">
        <v>0.3</v>
      </c>
      <c r="J247" s="124">
        <f>D246*I247</f>
        <v>436.57499999999999</v>
      </c>
      <c r="K247" s="28">
        <f>29.79/1.2*14/10</f>
        <v>34.755000000000003</v>
      </c>
      <c r="L247" s="29">
        <f>K247*J247</f>
        <v>15173.164125000001</v>
      </c>
      <c r="M247" s="105" t="s">
        <v>175</v>
      </c>
      <c r="N247" s="5"/>
    </row>
    <row r="248" spans="1:14" s="30" customFormat="1" ht="15" customHeight="1">
      <c r="A248" s="225">
        <f>IF(ISBLANK(D248),"",COUNTA(D$14:D248))</f>
        <v>78</v>
      </c>
      <c r="B248" s="242" t="s">
        <v>29</v>
      </c>
      <c r="C248" s="235" t="s">
        <v>22</v>
      </c>
      <c r="D248" s="232">
        <f>2511.6+43.2</f>
        <v>2554.7999999999997</v>
      </c>
      <c r="E248" s="249">
        <f>91.8/1.2</f>
        <v>76.5</v>
      </c>
      <c r="F248" s="249">
        <f>E248*D248</f>
        <v>195442.19999999998</v>
      </c>
      <c r="G248" s="33" t="s">
        <v>30</v>
      </c>
      <c r="H248" s="123" t="s">
        <v>45</v>
      </c>
      <c r="I248" s="124">
        <v>1.07</v>
      </c>
      <c r="J248" s="124">
        <f>D248*I248</f>
        <v>2733.636</v>
      </c>
      <c r="K248" s="42">
        <f>6.67/3</f>
        <v>2.2233333333333332</v>
      </c>
      <c r="L248" s="43">
        <f>K248*J248</f>
        <v>6077.7840399999995</v>
      </c>
      <c r="M248" s="105" t="s">
        <v>178</v>
      </c>
      <c r="N248" s="5"/>
    </row>
    <row r="249" spans="1:14" s="30" customFormat="1" ht="15" customHeight="1">
      <c r="A249" s="225">
        <f>IF(ISBLANK(D249),"",COUNTA(D$14:D249))</f>
        <v>79</v>
      </c>
      <c r="B249" s="57" t="s">
        <v>47</v>
      </c>
      <c r="C249" s="235" t="s">
        <v>22</v>
      </c>
      <c r="D249" s="58">
        <f>2.8*4*23</f>
        <v>257.59999999999997</v>
      </c>
      <c r="E249" s="179">
        <f>125/1.2</f>
        <v>104.16666666666667</v>
      </c>
      <c r="F249" s="249">
        <f>E249*D249</f>
        <v>26833.333333333332</v>
      </c>
      <c r="G249" s="41" t="s">
        <v>84</v>
      </c>
      <c r="H249" s="123" t="s">
        <v>45</v>
      </c>
      <c r="I249" s="124">
        <v>1.01</v>
      </c>
      <c r="J249" s="124">
        <f>I249*D249</f>
        <v>260.17599999999999</v>
      </c>
      <c r="K249" s="134">
        <v>463.95</v>
      </c>
      <c r="L249" s="125">
        <f t="shared" ref="L249" si="44">K249*J249</f>
        <v>120708.65519999999</v>
      </c>
      <c r="M249" s="107"/>
      <c r="N249" s="5"/>
    </row>
    <row r="250" spans="1:14" s="30" customFormat="1" ht="15" customHeight="1">
      <c r="A250" s="554">
        <f>IF(ISBLANK(D250),"",COUNTA(D$14:D250))</f>
        <v>80</v>
      </c>
      <c r="B250" s="624" t="s">
        <v>115</v>
      </c>
      <c r="C250" s="625" t="s">
        <v>56</v>
      </c>
      <c r="D250" s="625">
        <f>2211.91+37.75</f>
        <v>2249.66</v>
      </c>
      <c r="E250" s="626">
        <f>22/1.2</f>
        <v>18.333333333333336</v>
      </c>
      <c r="F250" s="567">
        <f>D250*E250</f>
        <v>41243.76666666667</v>
      </c>
      <c r="G250" s="177" t="s">
        <v>72</v>
      </c>
      <c r="H250" s="257" t="s">
        <v>13</v>
      </c>
      <c r="I250" s="180">
        <v>0.2</v>
      </c>
      <c r="J250" s="258">
        <f>I250*0.1*D250</f>
        <v>44.993200000000009</v>
      </c>
      <c r="K250" s="239">
        <v>3.27</v>
      </c>
      <c r="L250" s="277">
        <f>ROUND(J250*K250,2)</f>
        <v>147.13</v>
      </c>
      <c r="M250" s="105" t="str">
        <f>M242</f>
        <v>рах. 20094557 п. 1</v>
      </c>
      <c r="N250" s="5"/>
    </row>
    <row r="251" spans="1:14" s="30" customFormat="1" ht="15" customHeight="1" thickBot="1">
      <c r="A251" s="555"/>
      <c r="B251" s="600"/>
      <c r="C251" s="602"/>
      <c r="D251" s="602"/>
      <c r="E251" s="604"/>
      <c r="F251" s="606"/>
      <c r="G251" s="138" t="s">
        <v>70</v>
      </c>
      <c r="H251" s="139" t="s">
        <v>56</v>
      </c>
      <c r="I251" s="265">
        <v>1.0149999999999999</v>
      </c>
      <c r="J251" s="140">
        <f>D250*I251</f>
        <v>2283.4048999999995</v>
      </c>
      <c r="K251" s="94">
        <f>56/30</f>
        <v>1.8666666666666667</v>
      </c>
      <c r="L251" s="278">
        <f>J251*K251</f>
        <v>4262.3558133333327</v>
      </c>
      <c r="M251" s="105" t="s">
        <v>179</v>
      </c>
      <c r="N251" s="5"/>
    </row>
    <row r="252" spans="1:14" s="30" customFormat="1" ht="15" customHeight="1" thickBot="1">
      <c r="A252" s="20"/>
      <c r="B252" s="21" t="s">
        <v>31</v>
      </c>
      <c r="C252" s="22"/>
      <c r="D252" s="23"/>
      <c r="E252" s="141"/>
      <c r="F252" s="141"/>
      <c r="G252" s="22"/>
      <c r="H252" s="207"/>
      <c r="I252" s="142"/>
      <c r="J252" s="142"/>
      <c r="K252" s="142"/>
      <c r="L252" s="143"/>
      <c r="M252" s="107"/>
      <c r="N252" s="5"/>
    </row>
    <row r="253" spans="1:14" s="30" customFormat="1" ht="15" customHeight="1">
      <c r="A253" s="225">
        <f>IF(ISBLANK(D253),"",COUNTA(D$14:D253))</f>
        <v>81</v>
      </c>
      <c r="B253" s="61" t="s">
        <v>47</v>
      </c>
      <c r="C253" s="259" t="s">
        <v>22</v>
      </c>
      <c r="D253" s="62">
        <f>(1.64+1.02)*23</f>
        <v>61.180000000000007</v>
      </c>
      <c r="E253" s="118">
        <f>125/1.2</f>
        <v>104.16666666666667</v>
      </c>
      <c r="F253" s="118">
        <f>E253*D253</f>
        <v>6372.9166666666679</v>
      </c>
      <c r="G253" s="63" t="s">
        <v>116</v>
      </c>
      <c r="H253" s="119" t="s">
        <v>45</v>
      </c>
      <c r="I253" s="124">
        <v>1.0149999999999999</v>
      </c>
      <c r="J253" s="120">
        <f>I253*D253</f>
        <v>62.097700000000003</v>
      </c>
      <c r="K253" s="120">
        <v>1552</v>
      </c>
      <c r="L253" s="121">
        <f>K253*J253</f>
        <v>96375.630400000009</v>
      </c>
      <c r="M253" s="107"/>
      <c r="N253" s="5"/>
    </row>
    <row r="254" spans="1:14" s="30" customFormat="1" ht="15" customHeight="1">
      <c r="A254" s="554">
        <f>IF(ISBLANK(D254),"",COUNTA(D$14:D254))</f>
        <v>82</v>
      </c>
      <c r="B254" s="618" t="s">
        <v>165</v>
      </c>
      <c r="C254" s="579" t="s">
        <v>11</v>
      </c>
      <c r="D254" s="580">
        <f>3386.6</f>
        <v>3386.6</v>
      </c>
      <c r="E254" s="588">
        <f>316.8/1.2</f>
        <v>264</v>
      </c>
      <c r="F254" s="588">
        <f>E254*D254</f>
        <v>894062.4</v>
      </c>
      <c r="G254" s="255" t="s">
        <v>17</v>
      </c>
      <c r="H254" s="123" t="s">
        <v>13</v>
      </c>
      <c r="I254" s="173">
        <v>0.2</v>
      </c>
      <c r="J254" s="124">
        <f>I254*D254</f>
        <v>677.32</v>
      </c>
      <c r="K254" s="272">
        <f>70/10</f>
        <v>7</v>
      </c>
      <c r="L254" s="29">
        <f t="shared" ref="L254:L255" si="45">K254*J254</f>
        <v>4741.2400000000007</v>
      </c>
      <c r="M254" s="105" t="s">
        <v>174</v>
      </c>
      <c r="N254" s="5"/>
    </row>
    <row r="255" spans="1:14" s="30" customFormat="1" ht="25.5">
      <c r="A255" s="561"/>
      <c r="B255" s="562"/>
      <c r="C255" s="563"/>
      <c r="D255" s="559"/>
      <c r="E255" s="584"/>
      <c r="F255" s="584"/>
      <c r="G255" s="157" t="s">
        <v>135</v>
      </c>
      <c r="H255" s="123" t="s">
        <v>18</v>
      </c>
      <c r="I255" s="124">
        <v>1.03</v>
      </c>
      <c r="J255" s="124">
        <f>D254*I255</f>
        <v>3488.1979999999999</v>
      </c>
      <c r="K255" s="124">
        <f>266/1.2</f>
        <v>221.66666666666669</v>
      </c>
      <c r="L255" s="156">
        <f t="shared" si="45"/>
        <v>773217.22333333339</v>
      </c>
      <c r="M255" s="105" t="s">
        <v>183</v>
      </c>
      <c r="N255" s="5"/>
    </row>
    <row r="256" spans="1:14" s="30" customFormat="1" ht="15" customHeight="1">
      <c r="A256" s="561"/>
      <c r="B256" s="562"/>
      <c r="C256" s="563"/>
      <c r="D256" s="559"/>
      <c r="E256" s="584"/>
      <c r="F256" s="584"/>
      <c r="G256" s="27" t="s">
        <v>33</v>
      </c>
      <c r="H256" s="123" t="s">
        <v>15</v>
      </c>
      <c r="I256" s="124">
        <v>7.1</v>
      </c>
      <c r="J256" s="124">
        <f>D254*I256</f>
        <v>24044.859999999997</v>
      </c>
      <c r="K256" s="124">
        <f>77.1/25/1.2</f>
        <v>2.57</v>
      </c>
      <c r="L256" s="156">
        <f t="shared" ref="L256:L257" si="46">K256*J256</f>
        <v>61795.290199999989</v>
      </c>
      <c r="M256" s="105" t="s">
        <v>181</v>
      </c>
      <c r="N256" s="5"/>
    </row>
    <row r="257" spans="1:14" s="30" customFormat="1" ht="15" customHeight="1">
      <c r="A257" s="555"/>
      <c r="B257" s="562"/>
      <c r="C257" s="563"/>
      <c r="D257" s="559"/>
      <c r="E257" s="584"/>
      <c r="F257" s="584"/>
      <c r="G257" s="27" t="s">
        <v>34</v>
      </c>
      <c r="H257" s="123" t="s">
        <v>15</v>
      </c>
      <c r="I257" s="124">
        <v>0.40600000000000003</v>
      </c>
      <c r="J257" s="124">
        <f>D254*I257</f>
        <v>1374.9596000000001</v>
      </c>
      <c r="K257" s="124">
        <f>54.08/2</f>
        <v>27.04</v>
      </c>
      <c r="L257" s="156">
        <f t="shared" si="46"/>
        <v>37178.907584</v>
      </c>
      <c r="M257" s="105" t="s">
        <v>182</v>
      </c>
      <c r="N257" s="5"/>
    </row>
    <row r="258" spans="1:14" s="30" customFormat="1" ht="15" customHeight="1">
      <c r="A258" s="554">
        <f>IF(ISBLANK(D258),"",COUNTA(D$14:D258))</f>
        <v>83</v>
      </c>
      <c r="B258" s="562" t="s">
        <v>136</v>
      </c>
      <c r="C258" s="563" t="s">
        <v>27</v>
      </c>
      <c r="D258" s="559">
        <f>282.66+2892.77+292.22</f>
        <v>3467.6499999999996</v>
      </c>
      <c r="E258" s="584">
        <f>79.86/1.2</f>
        <v>66.55</v>
      </c>
      <c r="F258" s="584">
        <f>E258*D258</f>
        <v>230772.10749999995</v>
      </c>
      <c r="G258" s="234" t="s">
        <v>17</v>
      </c>
      <c r="H258" s="123" t="s">
        <v>23</v>
      </c>
      <c r="I258" s="124">
        <v>0.02</v>
      </c>
      <c r="J258" s="124">
        <f>I258*D258</f>
        <v>69.352999999999994</v>
      </c>
      <c r="K258" s="272">
        <f>70/10</f>
        <v>7</v>
      </c>
      <c r="L258" s="29">
        <f t="shared" ref="L258:L269" si="47">K258*J258</f>
        <v>485.47099999999995</v>
      </c>
      <c r="M258" s="105" t="s">
        <v>174</v>
      </c>
      <c r="N258" s="5"/>
    </row>
    <row r="259" spans="1:14" s="30" customFormat="1" ht="25.5">
      <c r="A259" s="561"/>
      <c r="B259" s="562"/>
      <c r="C259" s="563"/>
      <c r="D259" s="559"/>
      <c r="E259" s="584"/>
      <c r="F259" s="584"/>
      <c r="G259" s="157" t="s">
        <v>135</v>
      </c>
      <c r="H259" s="123" t="s">
        <v>28</v>
      </c>
      <c r="I259" s="126">
        <v>0.10299999999999999</v>
      </c>
      <c r="J259" s="124">
        <f>D258*I259</f>
        <v>357.16794999999996</v>
      </c>
      <c r="K259" s="124">
        <f>266/1.2</f>
        <v>221.66666666666669</v>
      </c>
      <c r="L259" s="156">
        <f t="shared" si="47"/>
        <v>79172.22891666666</v>
      </c>
      <c r="M259" s="105" t="s">
        <v>183</v>
      </c>
      <c r="N259" s="5"/>
    </row>
    <row r="260" spans="1:14" s="30" customFormat="1" ht="15" customHeight="1">
      <c r="A260" s="561"/>
      <c r="B260" s="562"/>
      <c r="C260" s="563"/>
      <c r="D260" s="559"/>
      <c r="E260" s="584"/>
      <c r="F260" s="584"/>
      <c r="G260" s="27" t="s">
        <v>33</v>
      </c>
      <c r="H260" s="123" t="s">
        <v>24</v>
      </c>
      <c r="I260" s="124">
        <v>0.71</v>
      </c>
      <c r="J260" s="124">
        <f>D258*I260</f>
        <v>2462.0314999999996</v>
      </c>
      <c r="K260" s="124">
        <f>77.1/25/1.2</f>
        <v>2.57</v>
      </c>
      <c r="L260" s="156">
        <f t="shared" si="47"/>
        <v>6327.4209549999987</v>
      </c>
      <c r="M260" s="105" t="s">
        <v>181</v>
      </c>
      <c r="N260" s="5"/>
    </row>
    <row r="261" spans="1:14" s="30" customFormat="1" ht="15" customHeight="1">
      <c r="A261" s="555"/>
      <c r="B261" s="562"/>
      <c r="C261" s="563"/>
      <c r="D261" s="559"/>
      <c r="E261" s="584"/>
      <c r="F261" s="584"/>
      <c r="G261" s="27" t="s">
        <v>34</v>
      </c>
      <c r="H261" s="123" t="s">
        <v>24</v>
      </c>
      <c r="I261" s="124">
        <v>0.04</v>
      </c>
      <c r="J261" s="124">
        <f>D258*I261</f>
        <v>138.70599999999999</v>
      </c>
      <c r="K261" s="124">
        <f>54.08/2</f>
        <v>27.04</v>
      </c>
      <c r="L261" s="156">
        <f t="shared" si="47"/>
        <v>3750.6102399999995</v>
      </c>
      <c r="M261" s="105" t="s">
        <v>182</v>
      </c>
      <c r="N261" s="5"/>
    </row>
    <row r="262" spans="1:14" s="30" customFormat="1" ht="15" customHeight="1">
      <c r="A262" s="554">
        <f>IF(ISBLANK(D262),"",COUNTA(D$14:D262))</f>
        <v>84</v>
      </c>
      <c r="B262" s="618" t="s">
        <v>32</v>
      </c>
      <c r="C262" s="579" t="s">
        <v>11</v>
      </c>
      <c r="D262" s="580">
        <v>4.99</v>
      </c>
      <c r="E262" s="588">
        <f>285.12/1.2</f>
        <v>237.60000000000002</v>
      </c>
      <c r="F262" s="588">
        <f>E262*D262</f>
        <v>1185.6240000000003</v>
      </c>
      <c r="G262" s="255" t="s">
        <v>17</v>
      </c>
      <c r="H262" s="123" t="s">
        <v>13</v>
      </c>
      <c r="I262" s="173">
        <v>0.2</v>
      </c>
      <c r="J262" s="173">
        <f>I262*D262</f>
        <v>0.99800000000000011</v>
      </c>
      <c r="K262" s="272">
        <f>70/10</f>
        <v>7</v>
      </c>
      <c r="L262" s="29">
        <f t="shared" si="47"/>
        <v>6.9860000000000007</v>
      </c>
      <c r="M262" s="105" t="s">
        <v>174</v>
      </c>
      <c r="N262" s="5"/>
    </row>
    <row r="263" spans="1:14" s="30" customFormat="1" ht="15" customHeight="1">
      <c r="A263" s="561"/>
      <c r="B263" s="562"/>
      <c r="C263" s="563"/>
      <c r="D263" s="559"/>
      <c r="E263" s="584"/>
      <c r="F263" s="584"/>
      <c r="G263" s="51" t="s">
        <v>53</v>
      </c>
      <c r="H263" s="123" t="s">
        <v>18</v>
      </c>
      <c r="I263" s="124">
        <v>1.03</v>
      </c>
      <c r="J263" s="124">
        <f>D262*I263</f>
        <v>5.1397000000000004</v>
      </c>
      <c r="K263" s="124">
        <f>99.5/1.2</f>
        <v>82.916666666666671</v>
      </c>
      <c r="L263" s="156">
        <f t="shared" si="47"/>
        <v>426.16679166666671</v>
      </c>
      <c r="M263" s="105" t="s">
        <v>186</v>
      </c>
      <c r="N263" s="5"/>
    </row>
    <row r="264" spans="1:14" s="30" customFormat="1" ht="15" customHeight="1">
      <c r="A264" s="561"/>
      <c r="B264" s="562"/>
      <c r="C264" s="563"/>
      <c r="D264" s="559"/>
      <c r="E264" s="584"/>
      <c r="F264" s="584"/>
      <c r="G264" s="27" t="s">
        <v>33</v>
      </c>
      <c r="H264" s="123" t="s">
        <v>15</v>
      </c>
      <c r="I264" s="124">
        <v>6.5</v>
      </c>
      <c r="J264" s="124">
        <f>D262*I264</f>
        <v>32.435000000000002</v>
      </c>
      <c r="K264" s="124">
        <f>77.1/25/1.2</f>
        <v>2.57</v>
      </c>
      <c r="L264" s="156">
        <f t="shared" si="47"/>
        <v>83.357950000000002</v>
      </c>
      <c r="M264" s="105" t="s">
        <v>181</v>
      </c>
      <c r="N264" s="5"/>
    </row>
    <row r="265" spans="1:14" s="30" customFormat="1" ht="15" customHeight="1">
      <c r="A265" s="555"/>
      <c r="B265" s="562"/>
      <c r="C265" s="563"/>
      <c r="D265" s="559"/>
      <c r="E265" s="584"/>
      <c r="F265" s="584"/>
      <c r="G265" s="27" t="s">
        <v>34</v>
      </c>
      <c r="H265" s="123" t="s">
        <v>15</v>
      </c>
      <c r="I265" s="124">
        <v>0.45400000000000001</v>
      </c>
      <c r="J265" s="124">
        <f>D262*I265</f>
        <v>2.26546</v>
      </c>
      <c r="K265" s="124">
        <f>54.08/2</f>
        <v>27.04</v>
      </c>
      <c r="L265" s="156">
        <f t="shared" si="47"/>
        <v>61.258038399999997</v>
      </c>
      <c r="M265" s="105" t="s">
        <v>182</v>
      </c>
      <c r="N265" s="5"/>
    </row>
    <row r="266" spans="1:14" s="30" customFormat="1" ht="15" customHeight="1">
      <c r="A266" s="554">
        <f>IF(ISBLANK(D266),"",COUNTA(D$14:D266))</f>
        <v>85</v>
      </c>
      <c r="B266" s="562" t="s">
        <v>137</v>
      </c>
      <c r="C266" s="579" t="s">
        <v>27</v>
      </c>
      <c r="D266" s="559">
        <v>8.5299999999999994</v>
      </c>
      <c r="E266" s="584">
        <f>79.86/1.2</f>
        <v>66.55</v>
      </c>
      <c r="F266" s="584">
        <f>E266*D266</f>
        <v>567.67149999999992</v>
      </c>
      <c r="G266" s="234" t="s">
        <v>17</v>
      </c>
      <c r="H266" s="123" t="s">
        <v>23</v>
      </c>
      <c r="I266" s="124">
        <v>0.02</v>
      </c>
      <c r="J266" s="124">
        <f>I266*D266</f>
        <v>0.1706</v>
      </c>
      <c r="K266" s="272">
        <f>70/10</f>
        <v>7</v>
      </c>
      <c r="L266" s="29">
        <f t="shared" si="47"/>
        <v>1.1941999999999999</v>
      </c>
      <c r="M266" s="105" t="s">
        <v>174</v>
      </c>
      <c r="N266" s="5"/>
    </row>
    <row r="267" spans="1:14" s="30" customFormat="1" ht="15" customHeight="1">
      <c r="A267" s="561"/>
      <c r="B267" s="562"/>
      <c r="C267" s="563"/>
      <c r="D267" s="559"/>
      <c r="E267" s="584"/>
      <c r="F267" s="584"/>
      <c r="G267" s="51" t="s">
        <v>53</v>
      </c>
      <c r="H267" s="123" t="s">
        <v>28</v>
      </c>
      <c r="I267" s="124">
        <v>0.11</v>
      </c>
      <c r="J267" s="124">
        <f>D266*I267</f>
        <v>0.93829999999999991</v>
      </c>
      <c r="K267" s="124">
        <f>99.5/1.2</f>
        <v>82.916666666666671</v>
      </c>
      <c r="L267" s="156">
        <f t="shared" si="47"/>
        <v>77.800708333333333</v>
      </c>
      <c r="M267" s="105" t="s">
        <v>186</v>
      </c>
      <c r="N267" s="5"/>
    </row>
    <row r="268" spans="1:14" s="30" customFormat="1" ht="15" customHeight="1">
      <c r="A268" s="561"/>
      <c r="B268" s="562"/>
      <c r="C268" s="563"/>
      <c r="D268" s="559"/>
      <c r="E268" s="584"/>
      <c r="F268" s="584"/>
      <c r="G268" s="27" t="s">
        <v>33</v>
      </c>
      <c r="H268" s="123" t="s">
        <v>24</v>
      </c>
      <c r="I268" s="124">
        <v>0.65</v>
      </c>
      <c r="J268" s="124">
        <f>D266*I268</f>
        <v>5.5445000000000002</v>
      </c>
      <c r="K268" s="124">
        <f>77.1/25/1.2</f>
        <v>2.57</v>
      </c>
      <c r="L268" s="156">
        <f t="shared" si="47"/>
        <v>14.249364999999999</v>
      </c>
      <c r="M268" s="105" t="s">
        <v>181</v>
      </c>
      <c r="N268" s="5"/>
    </row>
    <row r="269" spans="1:14" s="30" customFormat="1" ht="15" customHeight="1" thickBot="1">
      <c r="A269" s="555"/>
      <c r="B269" s="562"/>
      <c r="C269" s="563"/>
      <c r="D269" s="559"/>
      <c r="E269" s="584"/>
      <c r="F269" s="584"/>
      <c r="G269" s="27" t="s">
        <v>34</v>
      </c>
      <c r="H269" s="123" t="s">
        <v>24</v>
      </c>
      <c r="I269" s="124">
        <v>0.04</v>
      </c>
      <c r="J269" s="124">
        <f>D266*I269</f>
        <v>0.3412</v>
      </c>
      <c r="K269" s="124">
        <f>54.08/2</f>
        <v>27.04</v>
      </c>
      <c r="L269" s="156">
        <f t="shared" si="47"/>
        <v>9.2260480000000005</v>
      </c>
      <c r="M269" s="105" t="s">
        <v>182</v>
      </c>
      <c r="N269" s="5"/>
    </row>
    <row r="270" spans="1:14" s="30" customFormat="1" ht="15" customHeight="1" thickBot="1">
      <c r="A270" s="13"/>
      <c r="B270" s="14" t="s">
        <v>138</v>
      </c>
      <c r="C270" s="15"/>
      <c r="D270" s="15"/>
      <c r="E270" s="165"/>
      <c r="F270" s="181"/>
      <c r="G270" s="17"/>
      <c r="H270" s="182"/>
      <c r="I270" s="183"/>
      <c r="J270" s="184"/>
      <c r="K270" s="184"/>
      <c r="L270" s="185"/>
      <c r="M270" s="107"/>
      <c r="N270" s="5"/>
    </row>
    <row r="271" spans="1:14" s="30" customFormat="1" ht="15" customHeight="1" thickBot="1">
      <c r="A271" s="20"/>
      <c r="B271" s="21" t="s">
        <v>10</v>
      </c>
      <c r="C271" s="22"/>
      <c r="D271" s="23"/>
      <c r="E271" s="141"/>
      <c r="F271" s="141"/>
      <c r="G271" s="22"/>
      <c r="H271" s="207"/>
      <c r="I271" s="186"/>
      <c r="J271" s="187"/>
      <c r="K271" s="142"/>
      <c r="L271" s="188"/>
      <c r="M271" s="107"/>
      <c r="N271" s="5"/>
    </row>
    <row r="272" spans="1:14" s="30" customFormat="1" ht="15" customHeight="1">
      <c r="A272" s="554">
        <f>IF(ISBLANK(D272),"",COUNTA(D$14:D272))</f>
        <v>86</v>
      </c>
      <c r="B272" s="618" t="s">
        <v>128</v>
      </c>
      <c r="C272" s="579" t="s">
        <v>11</v>
      </c>
      <c r="D272" s="580">
        <f>26.94+3.07</f>
        <v>30.01</v>
      </c>
      <c r="E272" s="627">
        <f>240/1.2</f>
        <v>200</v>
      </c>
      <c r="F272" s="588">
        <f>E272*D272</f>
        <v>6002</v>
      </c>
      <c r="G272" s="234" t="s">
        <v>12</v>
      </c>
      <c r="H272" s="123" t="s">
        <v>13</v>
      </c>
      <c r="I272" s="124">
        <v>0.2</v>
      </c>
      <c r="J272" s="124">
        <f>D272*I272</f>
        <v>6.0020000000000007</v>
      </c>
      <c r="K272" s="124">
        <f>458.33/10</f>
        <v>45.832999999999998</v>
      </c>
      <c r="L272" s="270">
        <f>J272*K272</f>
        <v>275.08966600000002</v>
      </c>
      <c r="M272" s="271" t="s">
        <v>171</v>
      </c>
      <c r="N272" s="5"/>
    </row>
    <row r="273" spans="1:14" s="30" customFormat="1" ht="15" customHeight="1">
      <c r="A273" s="561"/>
      <c r="B273" s="562"/>
      <c r="C273" s="563"/>
      <c r="D273" s="559"/>
      <c r="E273" s="628"/>
      <c r="F273" s="584"/>
      <c r="G273" s="27" t="s">
        <v>14</v>
      </c>
      <c r="H273" s="123" t="s">
        <v>15</v>
      </c>
      <c r="I273" s="124">
        <v>3.2</v>
      </c>
      <c r="J273" s="124">
        <f>D272*I273</f>
        <v>96.032000000000011</v>
      </c>
      <c r="K273" s="28">
        <v>3</v>
      </c>
      <c r="L273" s="29">
        <f t="shared" ref="L273:L276" si="48">K273*J273</f>
        <v>288.096</v>
      </c>
      <c r="M273" s="105" t="s">
        <v>172</v>
      </c>
      <c r="N273" s="5"/>
    </row>
    <row r="274" spans="1:14" s="30" customFormat="1" ht="15" customHeight="1">
      <c r="A274" s="561"/>
      <c r="B274" s="562"/>
      <c r="C274" s="563"/>
      <c r="D274" s="559"/>
      <c r="E274" s="588"/>
      <c r="F274" s="584"/>
      <c r="G274" s="27" t="s">
        <v>16</v>
      </c>
      <c r="H274" s="123" t="s">
        <v>15</v>
      </c>
      <c r="I274" s="124">
        <v>1.8</v>
      </c>
      <c r="J274" s="124">
        <f>D272*I274</f>
        <v>54.018000000000001</v>
      </c>
      <c r="K274" s="28">
        <f>152.5/25</f>
        <v>6.1</v>
      </c>
      <c r="L274" s="29">
        <f t="shared" si="48"/>
        <v>329.50979999999998</v>
      </c>
      <c r="M274" s="105" t="s">
        <v>173</v>
      </c>
      <c r="N274" s="5"/>
    </row>
    <row r="275" spans="1:14" s="30" customFormat="1" ht="15" customHeight="1">
      <c r="A275" s="554">
        <f>IF(ISBLANK(D275),"",COUNTA(D$14:D275))</f>
        <v>87</v>
      </c>
      <c r="B275" s="576" t="s">
        <v>35</v>
      </c>
      <c r="C275" s="563" t="s">
        <v>11</v>
      </c>
      <c r="D275" s="559">
        <f>D272</f>
        <v>30.01</v>
      </c>
      <c r="E275" s="585">
        <f>87.12/1.2</f>
        <v>72.600000000000009</v>
      </c>
      <c r="F275" s="584">
        <f>E275*D275</f>
        <v>2178.7260000000006</v>
      </c>
      <c r="G275" s="234" t="s">
        <v>17</v>
      </c>
      <c r="H275" s="123" t="s">
        <v>13</v>
      </c>
      <c r="I275" s="124">
        <v>0.2</v>
      </c>
      <c r="J275" s="124">
        <f>I275*D275</f>
        <v>6.0020000000000007</v>
      </c>
      <c r="K275" s="272">
        <f>70/10</f>
        <v>7</v>
      </c>
      <c r="L275" s="29">
        <f t="shared" si="48"/>
        <v>42.014000000000003</v>
      </c>
      <c r="M275" s="105" t="s">
        <v>174</v>
      </c>
      <c r="N275" s="5"/>
    </row>
    <row r="276" spans="1:14" s="30" customFormat="1" ht="15" customHeight="1" thickBot="1">
      <c r="A276" s="555"/>
      <c r="B276" s="576"/>
      <c r="C276" s="563"/>
      <c r="D276" s="559"/>
      <c r="E276" s="588"/>
      <c r="F276" s="584"/>
      <c r="G276" s="33" t="s">
        <v>46</v>
      </c>
      <c r="H276" s="123" t="s">
        <v>15</v>
      </c>
      <c r="I276" s="130">
        <v>0.3</v>
      </c>
      <c r="J276" s="124">
        <f>D275*I276</f>
        <v>9.0030000000000001</v>
      </c>
      <c r="K276" s="280">
        <f>28.26/1.2*14/10</f>
        <v>32.97</v>
      </c>
      <c r="L276" s="29">
        <f t="shared" si="48"/>
        <v>296.82891000000001</v>
      </c>
      <c r="M276" s="105" t="s">
        <v>175</v>
      </c>
      <c r="N276" s="5"/>
    </row>
    <row r="277" spans="1:14" s="30" customFormat="1" ht="15" customHeight="1" thickBot="1">
      <c r="A277" s="20"/>
      <c r="B277" s="21" t="s">
        <v>20</v>
      </c>
      <c r="C277" s="22"/>
      <c r="D277" s="21"/>
      <c r="E277" s="189"/>
      <c r="F277" s="141"/>
      <c r="G277" s="22"/>
      <c r="H277" s="207"/>
      <c r="I277" s="142"/>
      <c r="J277" s="142"/>
      <c r="K277" s="142"/>
      <c r="L277" s="170"/>
      <c r="M277" s="107"/>
      <c r="N277" s="5"/>
    </row>
    <row r="278" spans="1:14" s="30" customFormat="1" ht="15" customHeight="1">
      <c r="A278" s="554">
        <f>IF(ISBLANK(D278),"",COUNTA(D$14:D278))</f>
        <v>88</v>
      </c>
      <c r="B278" s="629" t="s">
        <v>60</v>
      </c>
      <c r="C278" s="565" t="s">
        <v>11</v>
      </c>
      <c r="D278" s="560">
        <v>61.4</v>
      </c>
      <c r="E278" s="585">
        <f>210.54/1.2</f>
        <v>175.45</v>
      </c>
      <c r="F278" s="585">
        <f>E278*D278</f>
        <v>10772.63</v>
      </c>
      <c r="G278" s="127" t="s">
        <v>36</v>
      </c>
      <c r="H278" s="119" t="s">
        <v>15</v>
      </c>
      <c r="I278" s="120">
        <v>15</v>
      </c>
      <c r="J278" s="120">
        <f>D278*I278</f>
        <v>921</v>
      </c>
      <c r="K278" s="272">
        <f>98/30</f>
        <v>3.2666666666666666</v>
      </c>
      <c r="L278" s="29">
        <f>K278*J278</f>
        <v>3008.6</v>
      </c>
      <c r="M278" s="105" t="s">
        <v>176</v>
      </c>
      <c r="N278" s="5"/>
    </row>
    <row r="279" spans="1:14" s="30" customFormat="1" ht="15" customHeight="1">
      <c r="A279" s="561"/>
      <c r="B279" s="576"/>
      <c r="C279" s="630"/>
      <c r="D279" s="631"/>
      <c r="E279" s="628"/>
      <c r="F279" s="628"/>
      <c r="G279" s="27" t="s">
        <v>12</v>
      </c>
      <c r="H279" s="123" t="s">
        <v>13</v>
      </c>
      <c r="I279" s="124">
        <v>0.35</v>
      </c>
      <c r="J279" s="124">
        <f>I279*D278</f>
        <v>21.49</v>
      </c>
      <c r="K279" s="124">
        <f>458.33/10</f>
        <v>45.832999999999998</v>
      </c>
      <c r="L279" s="270">
        <f>J279*K279</f>
        <v>984.95116999999993</v>
      </c>
      <c r="M279" s="271" t="s">
        <v>171</v>
      </c>
      <c r="N279" s="5"/>
    </row>
    <row r="280" spans="1:14" s="30" customFormat="1" ht="15" customHeight="1">
      <c r="A280" s="561"/>
      <c r="B280" s="576"/>
      <c r="C280" s="630"/>
      <c r="D280" s="631"/>
      <c r="E280" s="628"/>
      <c r="F280" s="628"/>
      <c r="G280" s="27" t="s">
        <v>19</v>
      </c>
      <c r="H280" s="123" t="s">
        <v>18</v>
      </c>
      <c r="I280" s="124">
        <v>0.28999999999999998</v>
      </c>
      <c r="J280" s="124">
        <f>D278*I280</f>
        <v>17.805999999999997</v>
      </c>
      <c r="K280" s="28">
        <f>433.35/50</f>
        <v>8.6669999999999998</v>
      </c>
      <c r="L280" s="29">
        <f>K280*J280</f>
        <v>154.32460199999997</v>
      </c>
      <c r="M280" s="105" t="s">
        <v>177</v>
      </c>
      <c r="N280" s="5"/>
    </row>
    <row r="281" spans="1:14" s="30" customFormat="1" ht="15" customHeight="1">
      <c r="A281" s="555"/>
      <c r="B281" s="587"/>
      <c r="C281" s="579"/>
      <c r="D281" s="580"/>
      <c r="E281" s="588"/>
      <c r="F281" s="588"/>
      <c r="G281" s="84" t="s">
        <v>25</v>
      </c>
      <c r="H281" s="128" t="s">
        <v>58</v>
      </c>
      <c r="I281" s="134">
        <v>0.7</v>
      </c>
      <c r="J281" s="124">
        <f>I281*D278</f>
        <v>42.98</v>
      </c>
      <c r="K281" s="28">
        <f>19.17/3</f>
        <v>6.3900000000000006</v>
      </c>
      <c r="L281" s="29">
        <f>J281*K281</f>
        <v>274.6422</v>
      </c>
      <c r="M281" s="105" t="s">
        <v>178</v>
      </c>
      <c r="N281" s="5"/>
    </row>
    <row r="282" spans="1:14" s="30" customFormat="1" ht="15" customHeight="1">
      <c r="A282" s="554">
        <f>IF(ISBLANK(D282),"",COUNTA(D$14:D282))</f>
        <v>89</v>
      </c>
      <c r="B282" s="576" t="s">
        <v>57</v>
      </c>
      <c r="C282" s="565" t="s">
        <v>11</v>
      </c>
      <c r="D282" s="560">
        <v>71.930000000000007</v>
      </c>
      <c r="E282" s="585">
        <f>210.54/1.2</f>
        <v>175.45</v>
      </c>
      <c r="F282" s="585">
        <f>E282*D282</f>
        <v>12620.1185</v>
      </c>
      <c r="G282" s="27" t="s">
        <v>36</v>
      </c>
      <c r="H282" s="123" t="s">
        <v>15</v>
      </c>
      <c r="I282" s="124">
        <v>17.5</v>
      </c>
      <c r="J282" s="124">
        <f>D282*I282</f>
        <v>1258.7750000000001</v>
      </c>
      <c r="K282" s="272">
        <f>98/30</f>
        <v>3.2666666666666666</v>
      </c>
      <c r="L282" s="29">
        <f>K282*J282</f>
        <v>4111.9983333333339</v>
      </c>
      <c r="M282" s="105" t="s">
        <v>176</v>
      </c>
      <c r="N282" s="5"/>
    </row>
    <row r="283" spans="1:14" s="30" customFormat="1" ht="15" customHeight="1">
      <c r="A283" s="561"/>
      <c r="B283" s="576"/>
      <c r="C283" s="630"/>
      <c r="D283" s="631"/>
      <c r="E283" s="628"/>
      <c r="F283" s="628"/>
      <c r="G283" s="234" t="s">
        <v>17</v>
      </c>
      <c r="H283" s="123" t="s">
        <v>23</v>
      </c>
      <c r="I283" s="124">
        <v>0.2</v>
      </c>
      <c r="J283" s="124">
        <f>D282*I283</f>
        <v>14.386000000000003</v>
      </c>
      <c r="K283" s="272">
        <f>70/10</f>
        <v>7</v>
      </c>
      <c r="L283" s="29">
        <f t="shared" ref="L283" si="49">K283*J283</f>
        <v>100.70200000000003</v>
      </c>
      <c r="M283" s="105" t="s">
        <v>174</v>
      </c>
      <c r="N283" s="5"/>
    </row>
    <row r="284" spans="1:14" s="30" customFormat="1" ht="15" customHeight="1">
      <c r="A284" s="561"/>
      <c r="B284" s="576"/>
      <c r="C284" s="630"/>
      <c r="D284" s="631"/>
      <c r="E284" s="628"/>
      <c r="F284" s="628"/>
      <c r="G284" s="27" t="s">
        <v>19</v>
      </c>
      <c r="H284" s="123" t="s">
        <v>18</v>
      </c>
      <c r="I284" s="124">
        <v>0.28999999999999998</v>
      </c>
      <c r="J284" s="124">
        <f>D282*I284</f>
        <v>20.8597</v>
      </c>
      <c r="K284" s="28">
        <f>433.35/50</f>
        <v>8.6669999999999998</v>
      </c>
      <c r="L284" s="29">
        <f>K284*J284</f>
        <v>180.79101990000001</v>
      </c>
      <c r="M284" s="105" t="s">
        <v>177</v>
      </c>
      <c r="N284" s="5"/>
    </row>
    <row r="285" spans="1:14" s="30" customFormat="1" ht="15" customHeight="1">
      <c r="A285" s="555"/>
      <c r="B285" s="576"/>
      <c r="C285" s="579"/>
      <c r="D285" s="580"/>
      <c r="E285" s="588"/>
      <c r="F285" s="588"/>
      <c r="G285" s="27" t="s">
        <v>25</v>
      </c>
      <c r="H285" s="123" t="s">
        <v>58</v>
      </c>
      <c r="I285" s="124">
        <v>0.7</v>
      </c>
      <c r="J285" s="124">
        <f>I285*D282</f>
        <v>50.350999999999999</v>
      </c>
      <c r="K285" s="28">
        <f>19.17/3</f>
        <v>6.3900000000000006</v>
      </c>
      <c r="L285" s="29">
        <f>J285*K285</f>
        <v>321.74289000000005</v>
      </c>
      <c r="M285" s="105" t="s">
        <v>178</v>
      </c>
      <c r="N285" s="5"/>
    </row>
    <row r="286" spans="1:14" s="30" customFormat="1" ht="15" customHeight="1">
      <c r="A286" s="619">
        <f>IF(ISBLANK(D286),"",COUNTA(D$14:D286))</f>
        <v>90</v>
      </c>
      <c r="B286" s="621" t="s">
        <v>129</v>
      </c>
      <c r="C286" s="622" t="s">
        <v>11</v>
      </c>
      <c r="D286" s="623">
        <v>6.08</v>
      </c>
      <c r="E286" s="623">
        <f>174.24/1.2</f>
        <v>145.20000000000002</v>
      </c>
      <c r="F286" s="623">
        <f>E286*D286</f>
        <v>882.81600000000014</v>
      </c>
      <c r="G286" s="256" t="s">
        <v>17</v>
      </c>
      <c r="H286" s="123" t="s">
        <v>13</v>
      </c>
      <c r="I286" s="176">
        <v>0.2</v>
      </c>
      <c r="J286" s="176">
        <f>I286*D286</f>
        <v>1.2160000000000002</v>
      </c>
      <c r="K286" s="272">
        <f>70/10</f>
        <v>7</v>
      </c>
      <c r="L286" s="29">
        <f t="shared" ref="L286" si="50">K286*J286</f>
        <v>8.5120000000000005</v>
      </c>
      <c r="M286" s="105" t="s">
        <v>174</v>
      </c>
      <c r="N286" s="5"/>
    </row>
    <row r="287" spans="1:14" s="30" customFormat="1" ht="15" customHeight="1">
      <c r="A287" s="620"/>
      <c r="B287" s="621"/>
      <c r="C287" s="622"/>
      <c r="D287" s="623"/>
      <c r="E287" s="623"/>
      <c r="F287" s="623"/>
      <c r="G287" s="177" t="s">
        <v>130</v>
      </c>
      <c r="H287" s="178" t="s">
        <v>18</v>
      </c>
      <c r="I287" s="176">
        <v>1.05</v>
      </c>
      <c r="J287" s="176">
        <f>D286*I287</f>
        <v>6.3840000000000003</v>
      </c>
      <c r="K287" s="176">
        <v>71.459999999999994</v>
      </c>
      <c r="L287" s="176">
        <f>J287*K287</f>
        <v>456.20063999999996</v>
      </c>
      <c r="M287" s="107"/>
      <c r="N287" s="5"/>
    </row>
    <row r="288" spans="1:14" s="30" customFormat="1" ht="15" customHeight="1">
      <c r="A288" s="620"/>
      <c r="B288" s="621"/>
      <c r="C288" s="622"/>
      <c r="D288" s="623"/>
      <c r="E288" s="623"/>
      <c r="F288" s="623"/>
      <c r="G288" s="256" t="s">
        <v>131</v>
      </c>
      <c r="H288" s="178" t="s">
        <v>15</v>
      </c>
      <c r="I288" s="176">
        <v>6</v>
      </c>
      <c r="J288" s="176">
        <f>D286*I288</f>
        <v>36.480000000000004</v>
      </c>
      <c r="K288" s="176">
        <v>2.87</v>
      </c>
      <c r="L288" s="176">
        <f>J288*K288</f>
        <v>104.69760000000001</v>
      </c>
      <c r="M288" s="107"/>
      <c r="N288" s="5"/>
    </row>
    <row r="289" spans="1:14" s="30" customFormat="1" ht="15" customHeight="1">
      <c r="A289" s="620"/>
      <c r="B289" s="621"/>
      <c r="C289" s="622"/>
      <c r="D289" s="623"/>
      <c r="E289" s="623"/>
      <c r="F289" s="623"/>
      <c r="G289" s="177" t="s">
        <v>132</v>
      </c>
      <c r="H289" s="178" t="s">
        <v>88</v>
      </c>
      <c r="I289" s="176">
        <v>5</v>
      </c>
      <c r="J289" s="176">
        <f>D286*I289</f>
        <v>30.4</v>
      </c>
      <c r="K289" s="124">
        <f>95.34/1.2/50</f>
        <v>1.589</v>
      </c>
      <c r="L289" s="125">
        <f>J289*K289</f>
        <v>48.305599999999998</v>
      </c>
      <c r="M289" s="275" t="s">
        <v>185</v>
      </c>
      <c r="N289" s="5"/>
    </row>
    <row r="290" spans="1:14" s="30" customFormat="1" ht="15" customHeight="1">
      <c r="A290" s="620"/>
      <c r="B290" s="621"/>
      <c r="C290" s="622"/>
      <c r="D290" s="623"/>
      <c r="E290" s="623"/>
      <c r="F290" s="623"/>
      <c r="G290" s="177" t="s">
        <v>19</v>
      </c>
      <c r="H290" s="178" t="s">
        <v>18</v>
      </c>
      <c r="I290" s="176">
        <v>1.1000000000000001</v>
      </c>
      <c r="J290" s="176">
        <f>D286*I290</f>
        <v>6.6880000000000006</v>
      </c>
      <c r="K290" s="28">
        <f>433.35/50</f>
        <v>8.6669999999999998</v>
      </c>
      <c r="L290" s="29">
        <f>K290*J290</f>
        <v>57.964896000000003</v>
      </c>
      <c r="M290" s="105" t="s">
        <v>177</v>
      </c>
      <c r="N290" s="5"/>
    </row>
    <row r="291" spans="1:14" s="30" customFormat="1" ht="15" customHeight="1">
      <c r="A291" s="620"/>
      <c r="B291" s="621"/>
      <c r="C291" s="622"/>
      <c r="D291" s="623"/>
      <c r="E291" s="623"/>
      <c r="F291" s="623"/>
      <c r="G291" s="256" t="s">
        <v>133</v>
      </c>
      <c r="H291" s="178" t="s">
        <v>15</v>
      </c>
      <c r="I291" s="176">
        <v>5.5</v>
      </c>
      <c r="J291" s="176">
        <f>D286*I291</f>
        <v>33.44</v>
      </c>
      <c r="K291" s="176">
        <v>3.65</v>
      </c>
      <c r="L291" s="176">
        <f>J291*K291</f>
        <v>122.05599999999998</v>
      </c>
      <c r="M291" s="107"/>
      <c r="N291" s="5"/>
    </row>
    <row r="292" spans="1:14" s="30" customFormat="1" ht="15" customHeight="1">
      <c r="A292" s="554">
        <f>IF(ISBLANK(D292),"",COUNTA(D$14:D292))</f>
        <v>91</v>
      </c>
      <c r="B292" s="576" t="s">
        <v>134</v>
      </c>
      <c r="C292" s="563" t="s">
        <v>11</v>
      </c>
      <c r="D292" s="559">
        <f>D286</f>
        <v>6.08</v>
      </c>
      <c r="E292" s="584">
        <f>159.72/1.2</f>
        <v>133.1</v>
      </c>
      <c r="F292" s="584">
        <f>E292*D292</f>
        <v>809.24799999999993</v>
      </c>
      <c r="G292" s="234" t="s">
        <v>17</v>
      </c>
      <c r="H292" s="123" t="s">
        <v>13</v>
      </c>
      <c r="I292" s="124">
        <v>0.2</v>
      </c>
      <c r="J292" s="124">
        <f>I292*D292</f>
        <v>1.2160000000000002</v>
      </c>
      <c r="K292" s="272">
        <f>70/10</f>
        <v>7</v>
      </c>
      <c r="L292" s="29">
        <f t="shared" ref="L292" si="51">K292*J292</f>
        <v>8.5120000000000005</v>
      </c>
      <c r="M292" s="105" t="s">
        <v>174</v>
      </c>
      <c r="N292" s="5"/>
    </row>
    <row r="293" spans="1:14" s="30" customFormat="1" ht="15" customHeight="1">
      <c r="A293" s="561"/>
      <c r="B293" s="576"/>
      <c r="C293" s="563"/>
      <c r="D293" s="559"/>
      <c r="E293" s="584"/>
      <c r="F293" s="584"/>
      <c r="G293" s="27" t="s">
        <v>14</v>
      </c>
      <c r="H293" s="123" t="s">
        <v>15</v>
      </c>
      <c r="I293" s="124">
        <v>3.2</v>
      </c>
      <c r="J293" s="124">
        <f>D292*I293</f>
        <v>19.456000000000003</v>
      </c>
      <c r="K293" s="28">
        <v>3</v>
      </c>
      <c r="L293" s="29">
        <f t="shared" ref="L293:L299" si="52">K293*J293</f>
        <v>58.368000000000009</v>
      </c>
      <c r="M293" s="105" t="s">
        <v>172</v>
      </c>
      <c r="N293" s="5"/>
    </row>
    <row r="294" spans="1:14" s="30" customFormat="1" ht="15" customHeight="1">
      <c r="A294" s="561"/>
      <c r="B294" s="576"/>
      <c r="C294" s="563"/>
      <c r="D294" s="559"/>
      <c r="E294" s="584"/>
      <c r="F294" s="584"/>
      <c r="G294" s="234" t="s">
        <v>17</v>
      </c>
      <c r="H294" s="123" t="s">
        <v>13</v>
      </c>
      <c r="I294" s="124">
        <v>0.2</v>
      </c>
      <c r="J294" s="124">
        <f>I294*D292</f>
        <v>1.2160000000000002</v>
      </c>
      <c r="K294" s="272">
        <f>70/10</f>
        <v>7</v>
      </c>
      <c r="L294" s="29">
        <f t="shared" si="52"/>
        <v>8.5120000000000005</v>
      </c>
      <c r="M294" s="105" t="s">
        <v>174</v>
      </c>
      <c r="N294" s="5"/>
    </row>
    <row r="295" spans="1:14" s="30" customFormat="1" ht="15" customHeight="1">
      <c r="A295" s="555"/>
      <c r="B295" s="576"/>
      <c r="C295" s="563"/>
      <c r="D295" s="559"/>
      <c r="E295" s="584"/>
      <c r="F295" s="584"/>
      <c r="G295" s="27" t="s">
        <v>16</v>
      </c>
      <c r="H295" s="123" t="s">
        <v>15</v>
      </c>
      <c r="I295" s="124">
        <v>1.8</v>
      </c>
      <c r="J295" s="124">
        <f>I295*D292</f>
        <v>10.944000000000001</v>
      </c>
      <c r="K295" s="28">
        <f>152.5/25</f>
        <v>6.1</v>
      </c>
      <c r="L295" s="29">
        <f t="shared" si="52"/>
        <v>66.758399999999995</v>
      </c>
      <c r="M295" s="105" t="s">
        <v>173</v>
      </c>
      <c r="N295" s="5"/>
    </row>
    <row r="296" spans="1:14" s="30" customFormat="1" ht="15" customHeight="1">
      <c r="A296" s="554">
        <f>IF(ISBLANK(D296),"",COUNTA(D$14:D296))</f>
        <v>92</v>
      </c>
      <c r="B296" s="576" t="s">
        <v>38</v>
      </c>
      <c r="C296" s="563" t="s">
        <v>11</v>
      </c>
      <c r="D296" s="559">
        <f>119.78+16.88</f>
        <v>136.66</v>
      </c>
      <c r="E296" s="584">
        <f>101.64/1.2</f>
        <v>84.7</v>
      </c>
      <c r="F296" s="584">
        <f>E296*D296</f>
        <v>11575.102000000001</v>
      </c>
      <c r="G296" s="234" t="s">
        <v>17</v>
      </c>
      <c r="H296" s="123" t="s">
        <v>13</v>
      </c>
      <c r="I296" s="124">
        <v>0.2</v>
      </c>
      <c r="J296" s="124">
        <f>I296*D296</f>
        <v>27.332000000000001</v>
      </c>
      <c r="K296" s="272">
        <f>70/10</f>
        <v>7</v>
      </c>
      <c r="L296" s="29">
        <f t="shared" si="52"/>
        <v>191.32400000000001</v>
      </c>
      <c r="M296" s="105" t="s">
        <v>174</v>
      </c>
      <c r="N296" s="5"/>
    </row>
    <row r="297" spans="1:14" s="30" customFormat="1" ht="15" customHeight="1">
      <c r="A297" s="555"/>
      <c r="B297" s="576"/>
      <c r="C297" s="563"/>
      <c r="D297" s="559"/>
      <c r="E297" s="584"/>
      <c r="F297" s="584"/>
      <c r="G297" s="27" t="s">
        <v>16</v>
      </c>
      <c r="H297" s="123" t="s">
        <v>15</v>
      </c>
      <c r="I297" s="124">
        <v>1.8</v>
      </c>
      <c r="J297" s="124">
        <f>I297*D296</f>
        <v>245.988</v>
      </c>
      <c r="K297" s="28">
        <f>152.5/25</f>
        <v>6.1</v>
      </c>
      <c r="L297" s="29">
        <f t="shared" si="52"/>
        <v>1500.5267999999999</v>
      </c>
      <c r="M297" s="105" t="s">
        <v>173</v>
      </c>
      <c r="N297" s="5"/>
    </row>
    <row r="298" spans="1:14" s="30" customFormat="1" ht="15" customHeight="1">
      <c r="A298" s="554">
        <f>IF(ISBLANK(D298),"",COUNTA(D$14:D298))</f>
        <v>93</v>
      </c>
      <c r="B298" s="576" t="s">
        <v>39</v>
      </c>
      <c r="C298" s="563" t="s">
        <v>11</v>
      </c>
      <c r="D298" s="559">
        <f>D296</f>
        <v>136.66</v>
      </c>
      <c r="E298" s="584">
        <f>72.6/1.2</f>
        <v>60.5</v>
      </c>
      <c r="F298" s="584">
        <f>E298*D298</f>
        <v>8267.93</v>
      </c>
      <c r="G298" s="234" t="s">
        <v>17</v>
      </c>
      <c r="H298" s="123" t="s">
        <v>13</v>
      </c>
      <c r="I298" s="124">
        <v>0.2</v>
      </c>
      <c r="J298" s="124">
        <f>I298*D298</f>
        <v>27.332000000000001</v>
      </c>
      <c r="K298" s="272">
        <f>70/10</f>
        <v>7</v>
      </c>
      <c r="L298" s="29">
        <f t="shared" si="52"/>
        <v>191.32400000000001</v>
      </c>
      <c r="M298" s="105" t="s">
        <v>174</v>
      </c>
      <c r="N298" s="5"/>
    </row>
    <row r="299" spans="1:14" s="30" customFormat="1" ht="15" customHeight="1">
      <c r="A299" s="555"/>
      <c r="B299" s="576"/>
      <c r="C299" s="563"/>
      <c r="D299" s="559"/>
      <c r="E299" s="584"/>
      <c r="F299" s="584"/>
      <c r="G299" s="33" t="s">
        <v>46</v>
      </c>
      <c r="H299" s="123" t="s">
        <v>15</v>
      </c>
      <c r="I299" s="130">
        <v>0.3</v>
      </c>
      <c r="J299" s="124">
        <f>D298*I299</f>
        <v>40.997999999999998</v>
      </c>
      <c r="K299" s="273">
        <f>28.26/1.2*14/10</f>
        <v>32.97</v>
      </c>
      <c r="L299" s="29">
        <f t="shared" si="52"/>
        <v>1351.7040599999998</v>
      </c>
      <c r="M299" s="105" t="s">
        <v>175</v>
      </c>
      <c r="N299" s="5"/>
    </row>
    <row r="300" spans="1:14" s="30" customFormat="1" ht="15" customHeight="1">
      <c r="A300" s="554">
        <f>IF(ISBLANK(D300),"",COUNTA(D$14:D300))</f>
        <v>94</v>
      </c>
      <c r="B300" s="556" t="s">
        <v>110</v>
      </c>
      <c r="C300" s="557" t="s">
        <v>27</v>
      </c>
      <c r="D300" s="558">
        <v>5.21</v>
      </c>
      <c r="E300" s="558">
        <f>130.68/1.2</f>
        <v>108.9</v>
      </c>
      <c r="F300" s="558">
        <f>D300*E300</f>
        <v>567.36900000000003</v>
      </c>
      <c r="G300" s="111" t="s">
        <v>36</v>
      </c>
      <c r="H300" s="231" t="s">
        <v>24</v>
      </c>
      <c r="I300" s="131">
        <v>3</v>
      </c>
      <c r="J300" s="263">
        <f>D300*I300</f>
        <v>15.629999999999999</v>
      </c>
      <c r="K300" s="276">
        <f>98/30</f>
        <v>3.2666666666666666</v>
      </c>
      <c r="L300" s="29">
        <f>K300*J300</f>
        <v>51.057999999999993</v>
      </c>
      <c r="M300" s="105" t="s">
        <v>176</v>
      </c>
      <c r="N300" s="5"/>
    </row>
    <row r="301" spans="1:14" s="30" customFormat="1" ht="15" customHeight="1">
      <c r="A301" s="561"/>
      <c r="B301" s="556"/>
      <c r="C301" s="557"/>
      <c r="D301" s="558"/>
      <c r="E301" s="558"/>
      <c r="F301" s="558"/>
      <c r="G301" s="261" t="s">
        <v>17</v>
      </c>
      <c r="H301" s="231" t="s">
        <v>23</v>
      </c>
      <c r="I301" s="131">
        <v>0.04</v>
      </c>
      <c r="J301" s="263">
        <f>D300*I301</f>
        <v>0.2084</v>
      </c>
      <c r="K301" s="272">
        <f>70/10</f>
        <v>7</v>
      </c>
      <c r="L301" s="29">
        <f t="shared" ref="L301:L307" si="53">K301*J301</f>
        <v>1.4588000000000001</v>
      </c>
      <c r="M301" s="105" t="s">
        <v>174</v>
      </c>
      <c r="N301" s="5"/>
    </row>
    <row r="302" spans="1:14" s="30" customFormat="1" ht="15" customHeight="1">
      <c r="A302" s="561"/>
      <c r="B302" s="556"/>
      <c r="C302" s="557"/>
      <c r="D302" s="558"/>
      <c r="E302" s="558"/>
      <c r="F302" s="558"/>
      <c r="G302" s="111" t="s">
        <v>19</v>
      </c>
      <c r="H302" s="231" t="s">
        <v>28</v>
      </c>
      <c r="I302" s="131">
        <f>0.08*(70/250)</f>
        <v>2.2400000000000003E-2</v>
      </c>
      <c r="J302" s="263">
        <f>D300*I302</f>
        <v>0.11670400000000002</v>
      </c>
      <c r="K302" s="28">
        <f>433.35/50</f>
        <v>8.6669999999999998</v>
      </c>
      <c r="L302" s="29">
        <f>K302*J302</f>
        <v>1.0114735680000002</v>
      </c>
      <c r="M302" s="105" t="s">
        <v>177</v>
      </c>
      <c r="N302" s="5"/>
    </row>
    <row r="303" spans="1:14" s="30" customFormat="1" ht="15" customHeight="1">
      <c r="A303" s="555"/>
      <c r="B303" s="556"/>
      <c r="C303" s="557"/>
      <c r="D303" s="558"/>
      <c r="E303" s="558"/>
      <c r="F303" s="558"/>
      <c r="G303" s="111" t="s">
        <v>25</v>
      </c>
      <c r="H303" s="231" t="s">
        <v>45</v>
      </c>
      <c r="I303" s="131">
        <v>1.02</v>
      </c>
      <c r="J303" s="263">
        <f>D300*I303</f>
        <v>5.3142000000000005</v>
      </c>
      <c r="K303" s="28">
        <f>19.17/3</f>
        <v>6.3900000000000006</v>
      </c>
      <c r="L303" s="29">
        <f>J303*K303</f>
        <v>33.957738000000006</v>
      </c>
      <c r="M303" s="105" t="s">
        <v>178</v>
      </c>
      <c r="N303" s="5"/>
    </row>
    <row r="304" spans="1:14" s="30" customFormat="1" ht="15" customHeight="1">
      <c r="A304" s="554">
        <f>IF(ISBLANK(D304),"",COUNTA(D$14:D304))</f>
        <v>95</v>
      </c>
      <c r="B304" s="556" t="s">
        <v>111</v>
      </c>
      <c r="C304" s="557" t="s">
        <v>27</v>
      </c>
      <c r="D304" s="558">
        <f>D300</f>
        <v>5.21</v>
      </c>
      <c r="E304" s="558">
        <f>101.64/1.2*0.07</f>
        <v>5.9290000000000012</v>
      </c>
      <c r="F304" s="558">
        <f>E304*D304</f>
        <v>30.890090000000004</v>
      </c>
      <c r="G304" s="261" t="s">
        <v>17</v>
      </c>
      <c r="H304" s="231" t="s">
        <v>23</v>
      </c>
      <c r="I304" s="131">
        <v>0.05</v>
      </c>
      <c r="J304" s="263">
        <f>I304*D304</f>
        <v>0.26050000000000001</v>
      </c>
      <c r="K304" s="272">
        <f>70/10</f>
        <v>7</v>
      </c>
      <c r="L304" s="29">
        <f t="shared" si="53"/>
        <v>1.8235000000000001</v>
      </c>
      <c r="M304" s="105" t="s">
        <v>174</v>
      </c>
      <c r="N304" s="5"/>
    </row>
    <row r="305" spans="1:14" s="30" customFormat="1" ht="15" customHeight="1">
      <c r="A305" s="555"/>
      <c r="B305" s="556"/>
      <c r="C305" s="557"/>
      <c r="D305" s="558"/>
      <c r="E305" s="558"/>
      <c r="F305" s="558"/>
      <c r="G305" s="27" t="s">
        <v>16</v>
      </c>
      <c r="H305" s="231" t="s">
        <v>24</v>
      </c>
      <c r="I305" s="131">
        <v>0.45</v>
      </c>
      <c r="J305" s="263">
        <f>I305*D304</f>
        <v>2.3445</v>
      </c>
      <c r="K305" s="28">
        <f>152.5/25</f>
        <v>6.1</v>
      </c>
      <c r="L305" s="29">
        <f t="shared" si="53"/>
        <v>14.301449999999999</v>
      </c>
      <c r="M305" s="105" t="s">
        <v>173</v>
      </c>
      <c r="N305" s="5"/>
    </row>
    <row r="306" spans="1:14" s="30" customFormat="1" ht="15" customHeight="1">
      <c r="A306" s="554">
        <f>IF(ISBLANK(D306),"",COUNTA(D$14:D306))</f>
        <v>96</v>
      </c>
      <c r="B306" s="556" t="s">
        <v>112</v>
      </c>
      <c r="C306" s="557" t="s">
        <v>27</v>
      </c>
      <c r="D306" s="558">
        <f>D300</f>
        <v>5.21</v>
      </c>
      <c r="E306" s="558">
        <f>72.6/1.2*0.07</f>
        <v>4.2350000000000003</v>
      </c>
      <c r="F306" s="558">
        <f>D306*E306</f>
        <v>22.064350000000001</v>
      </c>
      <c r="G306" s="261" t="s">
        <v>17</v>
      </c>
      <c r="H306" s="231" t="s">
        <v>23</v>
      </c>
      <c r="I306" s="131">
        <v>0.05</v>
      </c>
      <c r="J306" s="263">
        <f>I306*D306</f>
        <v>0.26050000000000001</v>
      </c>
      <c r="K306" s="272">
        <f>70/10</f>
        <v>7</v>
      </c>
      <c r="L306" s="29">
        <f t="shared" si="53"/>
        <v>1.8235000000000001</v>
      </c>
      <c r="M306" s="105" t="s">
        <v>174</v>
      </c>
      <c r="N306" s="5"/>
    </row>
    <row r="307" spans="1:14" s="30" customFormat="1" ht="15" customHeight="1">
      <c r="A307" s="555"/>
      <c r="B307" s="556"/>
      <c r="C307" s="557"/>
      <c r="D307" s="558"/>
      <c r="E307" s="558"/>
      <c r="F307" s="558"/>
      <c r="G307" s="33" t="s">
        <v>46</v>
      </c>
      <c r="H307" s="231" t="s">
        <v>23</v>
      </c>
      <c r="I307" s="132">
        <v>0.13</v>
      </c>
      <c r="J307" s="263">
        <f>I307*D306</f>
        <v>0.67730000000000001</v>
      </c>
      <c r="K307" s="273">
        <f>28.26/1.2*14/10</f>
        <v>32.97</v>
      </c>
      <c r="L307" s="29">
        <f t="shared" si="53"/>
        <v>22.330580999999999</v>
      </c>
      <c r="M307" s="105" t="s">
        <v>175</v>
      </c>
      <c r="N307" s="5"/>
    </row>
    <row r="308" spans="1:14" s="30" customFormat="1" ht="15" customHeight="1">
      <c r="A308" s="554">
        <f>IF(ISBLANK(D308),"",COUNTA(D$14:D308))</f>
        <v>97</v>
      </c>
      <c r="B308" s="556" t="s">
        <v>114</v>
      </c>
      <c r="C308" s="557" t="s">
        <v>27</v>
      </c>
      <c r="D308" s="558">
        <v>5.21</v>
      </c>
      <c r="E308" s="558">
        <f>130.68/1.2</f>
        <v>108.9</v>
      </c>
      <c r="F308" s="558">
        <f>D308*E308</f>
        <v>567.36900000000003</v>
      </c>
      <c r="G308" s="111" t="s">
        <v>36</v>
      </c>
      <c r="H308" s="231" t="s">
        <v>24</v>
      </c>
      <c r="I308" s="131">
        <f>15*0.15</f>
        <v>2.25</v>
      </c>
      <c r="J308" s="263">
        <f>D308*I308</f>
        <v>11.7225</v>
      </c>
      <c r="K308" s="276">
        <f>98/30</f>
        <v>3.2666666666666666</v>
      </c>
      <c r="L308" s="29">
        <f>K308*J308</f>
        <v>38.293500000000002</v>
      </c>
      <c r="M308" s="105" t="s">
        <v>176</v>
      </c>
      <c r="N308" s="5"/>
    </row>
    <row r="309" spans="1:14" s="30" customFormat="1" ht="15" customHeight="1">
      <c r="A309" s="561"/>
      <c r="B309" s="556"/>
      <c r="C309" s="557"/>
      <c r="D309" s="558"/>
      <c r="E309" s="558"/>
      <c r="F309" s="558"/>
      <c r="G309" s="261" t="s">
        <v>12</v>
      </c>
      <c r="H309" s="231" t="s">
        <v>23</v>
      </c>
      <c r="I309" s="131">
        <v>2.8000000000000001E-2</v>
      </c>
      <c r="J309" s="263">
        <f>D308*I309</f>
        <v>0.14588000000000001</v>
      </c>
      <c r="K309" s="124">
        <f>458.33/10</f>
        <v>45.832999999999998</v>
      </c>
      <c r="L309" s="270">
        <f>J309*K309</f>
        <v>6.6861180400000002</v>
      </c>
      <c r="M309" s="271" t="s">
        <v>171</v>
      </c>
      <c r="N309" s="5"/>
    </row>
    <row r="310" spans="1:14" s="30" customFormat="1" ht="15" customHeight="1">
      <c r="A310" s="561"/>
      <c r="B310" s="556"/>
      <c r="C310" s="557"/>
      <c r="D310" s="558"/>
      <c r="E310" s="558"/>
      <c r="F310" s="558"/>
      <c r="G310" s="111" t="s">
        <v>19</v>
      </c>
      <c r="H310" s="231" t="s">
        <v>28</v>
      </c>
      <c r="I310" s="131">
        <f>0.08*(150/250)</f>
        <v>4.8000000000000001E-2</v>
      </c>
      <c r="J310" s="263">
        <f>D308*I310</f>
        <v>0.25008000000000002</v>
      </c>
      <c r="K310" s="28">
        <f>433.35/50</f>
        <v>8.6669999999999998</v>
      </c>
      <c r="L310" s="29">
        <f>K310*J310</f>
        <v>2.16744336</v>
      </c>
      <c r="M310" s="105" t="s">
        <v>177</v>
      </c>
      <c r="N310" s="5"/>
    </row>
    <row r="311" spans="1:14" s="30" customFormat="1" ht="15" customHeight="1">
      <c r="A311" s="555"/>
      <c r="B311" s="556"/>
      <c r="C311" s="557"/>
      <c r="D311" s="558"/>
      <c r="E311" s="558"/>
      <c r="F311" s="558"/>
      <c r="G311" s="111" t="s">
        <v>25</v>
      </c>
      <c r="H311" s="231" t="s">
        <v>45</v>
      </c>
      <c r="I311" s="131">
        <v>1.02</v>
      </c>
      <c r="J311" s="263">
        <f>D308*I311</f>
        <v>5.3142000000000005</v>
      </c>
      <c r="K311" s="28">
        <f>19.17/3</f>
        <v>6.3900000000000006</v>
      </c>
      <c r="L311" s="29">
        <f>J311*K311</f>
        <v>33.957738000000006</v>
      </c>
      <c r="M311" s="105" t="s">
        <v>178</v>
      </c>
      <c r="N311" s="5"/>
    </row>
    <row r="312" spans="1:14" s="30" customFormat="1" ht="15" customHeight="1">
      <c r="A312" s="554">
        <f>IF(ISBLANK(D312),"",COUNTA(D$14:D312))</f>
        <v>98</v>
      </c>
      <c r="B312" s="556" t="s">
        <v>80</v>
      </c>
      <c r="C312" s="557" t="s">
        <v>27</v>
      </c>
      <c r="D312" s="558">
        <f>D308</f>
        <v>5.21</v>
      </c>
      <c r="E312" s="558">
        <f>101.64/1.2*0.15</f>
        <v>12.705</v>
      </c>
      <c r="F312" s="558">
        <f>E312*D312</f>
        <v>66.193049999999999</v>
      </c>
      <c r="G312" s="261" t="s">
        <v>17</v>
      </c>
      <c r="H312" s="231" t="s">
        <v>23</v>
      </c>
      <c r="I312" s="131">
        <v>0.05</v>
      </c>
      <c r="J312" s="263">
        <f>I312*D312</f>
        <v>0.26050000000000001</v>
      </c>
      <c r="K312" s="272">
        <f>70/10</f>
        <v>7</v>
      </c>
      <c r="L312" s="29">
        <f t="shared" ref="L312:L315" si="54">K312*J312</f>
        <v>1.8235000000000001</v>
      </c>
      <c r="M312" s="105" t="s">
        <v>174</v>
      </c>
      <c r="N312" s="5"/>
    </row>
    <row r="313" spans="1:14" s="30" customFormat="1" ht="15" customHeight="1">
      <c r="A313" s="555"/>
      <c r="B313" s="556"/>
      <c r="C313" s="557"/>
      <c r="D313" s="558"/>
      <c r="E313" s="558"/>
      <c r="F313" s="558"/>
      <c r="G313" s="27" t="s">
        <v>16</v>
      </c>
      <c r="H313" s="231" t="s">
        <v>24</v>
      </c>
      <c r="I313" s="131">
        <v>0.45</v>
      </c>
      <c r="J313" s="263">
        <f>I313*D312</f>
        <v>2.3445</v>
      </c>
      <c r="K313" s="28">
        <f>152.5/25</f>
        <v>6.1</v>
      </c>
      <c r="L313" s="29">
        <f t="shared" si="54"/>
        <v>14.301449999999999</v>
      </c>
      <c r="M313" s="105" t="s">
        <v>173</v>
      </c>
      <c r="N313" s="5"/>
    </row>
    <row r="314" spans="1:14" s="30" customFormat="1" ht="15" customHeight="1">
      <c r="A314" s="554">
        <f>IF(ISBLANK(D314),"",COUNTA(D$14:D314))</f>
        <v>99</v>
      </c>
      <c r="B314" s="556" t="s">
        <v>81</v>
      </c>
      <c r="C314" s="557" t="s">
        <v>27</v>
      </c>
      <c r="D314" s="558">
        <f>D308</f>
        <v>5.21</v>
      </c>
      <c r="E314" s="558">
        <f>72.6/1.2*0.15</f>
        <v>9.0749999999999993</v>
      </c>
      <c r="F314" s="558">
        <f>D314*E314</f>
        <v>47.280749999999998</v>
      </c>
      <c r="G314" s="261" t="s">
        <v>17</v>
      </c>
      <c r="H314" s="231" t="s">
        <v>23</v>
      </c>
      <c r="I314" s="131">
        <v>0.05</v>
      </c>
      <c r="J314" s="263">
        <f>I314*D314</f>
        <v>0.26050000000000001</v>
      </c>
      <c r="K314" s="272">
        <f>70/10</f>
        <v>7</v>
      </c>
      <c r="L314" s="29">
        <f t="shared" si="54"/>
        <v>1.8235000000000001</v>
      </c>
      <c r="M314" s="105" t="s">
        <v>174</v>
      </c>
      <c r="N314" s="5"/>
    </row>
    <row r="315" spans="1:14" s="30" customFormat="1" ht="15" customHeight="1">
      <c r="A315" s="555"/>
      <c r="B315" s="556"/>
      <c r="C315" s="557"/>
      <c r="D315" s="558"/>
      <c r="E315" s="558"/>
      <c r="F315" s="558"/>
      <c r="G315" s="33" t="s">
        <v>46</v>
      </c>
      <c r="H315" s="231" t="s">
        <v>23</v>
      </c>
      <c r="I315" s="132">
        <v>0.13</v>
      </c>
      <c r="J315" s="263">
        <f>I315*D314</f>
        <v>0.67730000000000001</v>
      </c>
      <c r="K315" s="273">
        <f>28.26/1.2*14/10</f>
        <v>32.97</v>
      </c>
      <c r="L315" s="29">
        <f t="shared" si="54"/>
        <v>22.330580999999999</v>
      </c>
      <c r="M315" s="105" t="s">
        <v>175</v>
      </c>
      <c r="N315" s="5"/>
    </row>
    <row r="316" spans="1:14" s="30" customFormat="1" ht="15" customHeight="1">
      <c r="A316" s="225">
        <f>IF(ISBLANK(D316),"",COUNTA(D$14:D316))</f>
        <v>100</v>
      </c>
      <c r="B316" s="242" t="s">
        <v>29</v>
      </c>
      <c r="C316" s="235" t="s">
        <v>27</v>
      </c>
      <c r="D316" s="232">
        <v>31.2</v>
      </c>
      <c r="E316" s="249">
        <f>91.8/1.2</f>
        <v>76.5</v>
      </c>
      <c r="F316" s="249">
        <f>E316*D316</f>
        <v>2386.7999999999997</v>
      </c>
      <c r="G316" s="33" t="s">
        <v>30</v>
      </c>
      <c r="H316" s="123" t="s">
        <v>45</v>
      </c>
      <c r="I316" s="124">
        <v>1.07</v>
      </c>
      <c r="J316" s="124">
        <f>D316*I316</f>
        <v>33.384</v>
      </c>
      <c r="K316" s="281">
        <f>6.67/3</f>
        <v>2.2233333333333332</v>
      </c>
      <c r="L316" s="43">
        <f>K316*J316</f>
        <v>74.223759999999999</v>
      </c>
      <c r="M316" s="105" t="s">
        <v>178</v>
      </c>
      <c r="N316" s="5"/>
    </row>
    <row r="317" spans="1:14" s="30" customFormat="1" ht="15" customHeight="1">
      <c r="A317" s="554">
        <f>IF(ISBLANK(D317),"",COUNTA(D$14:D317))</f>
        <v>101</v>
      </c>
      <c r="B317" s="600" t="s">
        <v>115</v>
      </c>
      <c r="C317" s="602" t="s">
        <v>56</v>
      </c>
      <c r="D317" s="602">
        <v>30.66</v>
      </c>
      <c r="E317" s="604">
        <f>22/1.2</f>
        <v>18.333333333333336</v>
      </c>
      <c r="F317" s="606">
        <f>D317*E317</f>
        <v>562.1</v>
      </c>
      <c r="G317" s="177" t="s">
        <v>72</v>
      </c>
      <c r="H317" s="257" t="s">
        <v>13</v>
      </c>
      <c r="I317" s="180">
        <v>0.2</v>
      </c>
      <c r="J317" s="258">
        <f>I317*0.1*D317</f>
        <v>0.61320000000000008</v>
      </c>
      <c r="K317" s="239">
        <v>3.27</v>
      </c>
      <c r="L317" s="277">
        <f>ROUND(J317*K317,2)</f>
        <v>2.0099999999999998</v>
      </c>
      <c r="M317" s="105" t="str">
        <f>M309</f>
        <v>рах. 0011607 п. 1</v>
      </c>
      <c r="N317" s="5"/>
    </row>
    <row r="318" spans="1:14" s="30" customFormat="1" ht="15" customHeight="1" thickBot="1">
      <c r="A318" s="555"/>
      <c r="B318" s="632"/>
      <c r="C318" s="633"/>
      <c r="D318" s="633"/>
      <c r="E318" s="634"/>
      <c r="F318" s="635"/>
      <c r="G318" s="138" t="s">
        <v>70</v>
      </c>
      <c r="H318" s="139" t="s">
        <v>56</v>
      </c>
      <c r="I318" s="265">
        <v>1.0149999999999999</v>
      </c>
      <c r="J318" s="140">
        <f>D317*I318</f>
        <v>31.119899999999998</v>
      </c>
      <c r="K318" s="94">
        <f>56/30</f>
        <v>1.8666666666666667</v>
      </c>
      <c r="L318" s="278">
        <f>J318*K318</f>
        <v>58.090479999999999</v>
      </c>
      <c r="M318" s="105" t="s">
        <v>179</v>
      </c>
      <c r="N318" s="5"/>
    </row>
    <row r="319" spans="1:14" s="30" customFormat="1" ht="15" customHeight="1" thickBot="1">
      <c r="A319" s="20"/>
      <c r="B319" s="21" t="s">
        <v>31</v>
      </c>
      <c r="C319" s="22"/>
      <c r="D319" s="21"/>
      <c r="E319" s="189"/>
      <c r="F319" s="141"/>
      <c r="G319" s="22"/>
      <c r="H319" s="207"/>
      <c r="I319" s="142"/>
      <c r="J319" s="142"/>
      <c r="K319" s="142"/>
      <c r="L319" s="170"/>
      <c r="M319" s="107"/>
      <c r="N319" s="5"/>
    </row>
    <row r="320" spans="1:14" s="30" customFormat="1" ht="15" customHeight="1">
      <c r="A320" s="554">
        <f>IF(ISBLANK(D320),"",COUNTA(D$14:D320))</f>
        <v>102</v>
      </c>
      <c r="B320" s="618" t="s">
        <v>32</v>
      </c>
      <c r="C320" s="579" t="s">
        <v>11</v>
      </c>
      <c r="D320" s="580">
        <f>27.32+3.3</f>
        <v>30.62</v>
      </c>
      <c r="E320" s="588">
        <f>285.12/1.2</f>
        <v>237.60000000000002</v>
      </c>
      <c r="F320" s="588">
        <f>E320*D320</f>
        <v>7275.3120000000008</v>
      </c>
      <c r="G320" s="255" t="s">
        <v>17</v>
      </c>
      <c r="H320" s="123" t="s">
        <v>13</v>
      </c>
      <c r="I320" s="173">
        <v>0.2</v>
      </c>
      <c r="J320" s="173">
        <f>I320*D320</f>
        <v>6.1240000000000006</v>
      </c>
      <c r="K320" s="272">
        <f>70/10</f>
        <v>7</v>
      </c>
      <c r="L320" s="29">
        <f t="shared" ref="L320:L321" si="55">K320*J320</f>
        <v>42.868000000000002</v>
      </c>
      <c r="M320" s="105" t="s">
        <v>174</v>
      </c>
      <c r="N320" s="5"/>
    </row>
    <row r="321" spans="1:14" s="30" customFormat="1" ht="15" customHeight="1">
      <c r="A321" s="561"/>
      <c r="B321" s="562"/>
      <c r="C321" s="563"/>
      <c r="D321" s="559"/>
      <c r="E321" s="584"/>
      <c r="F321" s="584"/>
      <c r="G321" s="51" t="s">
        <v>53</v>
      </c>
      <c r="H321" s="123" t="s">
        <v>18</v>
      </c>
      <c r="I321" s="124">
        <v>1.03</v>
      </c>
      <c r="J321" s="124">
        <f>D320*I321</f>
        <v>31.538600000000002</v>
      </c>
      <c r="K321" s="124">
        <f>99.5/1.2</f>
        <v>82.916666666666671</v>
      </c>
      <c r="L321" s="156">
        <f t="shared" si="55"/>
        <v>2615.0755833333337</v>
      </c>
      <c r="M321" s="105" t="s">
        <v>186</v>
      </c>
      <c r="N321" s="5"/>
    </row>
    <row r="322" spans="1:14" s="30" customFormat="1" ht="15" customHeight="1">
      <c r="A322" s="561"/>
      <c r="B322" s="562"/>
      <c r="C322" s="563"/>
      <c r="D322" s="559"/>
      <c r="E322" s="584"/>
      <c r="F322" s="584"/>
      <c r="G322" s="27" t="s">
        <v>33</v>
      </c>
      <c r="H322" s="123" t="s">
        <v>15</v>
      </c>
      <c r="I322" s="124">
        <v>6.5</v>
      </c>
      <c r="J322" s="124">
        <f>D320*I322</f>
        <v>199.03</v>
      </c>
      <c r="K322" s="124">
        <f>77.1/25/1.2</f>
        <v>2.57</v>
      </c>
      <c r="L322" s="156">
        <f t="shared" ref="L322:L327" si="56">K322*J322</f>
        <v>511.50709999999998</v>
      </c>
      <c r="M322" s="105" t="s">
        <v>181</v>
      </c>
      <c r="N322" s="5"/>
    </row>
    <row r="323" spans="1:14" s="30" customFormat="1" ht="15" customHeight="1">
      <c r="A323" s="555"/>
      <c r="B323" s="562"/>
      <c r="C323" s="563"/>
      <c r="D323" s="559"/>
      <c r="E323" s="584"/>
      <c r="F323" s="584"/>
      <c r="G323" s="27" t="s">
        <v>34</v>
      </c>
      <c r="H323" s="123" t="s">
        <v>15</v>
      </c>
      <c r="I323" s="124">
        <v>0.45400000000000001</v>
      </c>
      <c r="J323" s="124">
        <f>D320*I323</f>
        <v>13.901480000000001</v>
      </c>
      <c r="K323" s="124">
        <f>54.08/2</f>
        <v>27.04</v>
      </c>
      <c r="L323" s="156">
        <f t="shared" si="56"/>
        <v>375.89601920000001</v>
      </c>
      <c r="M323" s="105" t="s">
        <v>182</v>
      </c>
      <c r="N323" s="5"/>
    </row>
    <row r="324" spans="1:14" s="30" customFormat="1" ht="15" customHeight="1">
      <c r="A324" s="554">
        <f>IF(ISBLANK(D324),"",COUNTA(D$14:D324))</f>
        <v>103</v>
      </c>
      <c r="B324" s="562" t="s">
        <v>137</v>
      </c>
      <c r="C324" s="579" t="s">
        <v>27</v>
      </c>
      <c r="D324" s="559">
        <f>38.52+5.46</f>
        <v>43.980000000000004</v>
      </c>
      <c r="E324" s="584">
        <f>79.86/1.2</f>
        <v>66.55</v>
      </c>
      <c r="F324" s="584">
        <f>E324*D324</f>
        <v>2926.8690000000001</v>
      </c>
      <c r="G324" s="234" t="s">
        <v>17</v>
      </c>
      <c r="H324" s="123" t="s">
        <v>23</v>
      </c>
      <c r="I324" s="124">
        <v>0.02</v>
      </c>
      <c r="J324" s="124">
        <f>I324*D324</f>
        <v>0.87960000000000005</v>
      </c>
      <c r="K324" s="272">
        <f>70/10</f>
        <v>7</v>
      </c>
      <c r="L324" s="29">
        <f t="shared" si="56"/>
        <v>6.1572000000000005</v>
      </c>
      <c r="M324" s="105" t="s">
        <v>174</v>
      </c>
      <c r="N324" s="5"/>
    </row>
    <row r="325" spans="1:14" s="30" customFormat="1" ht="15" customHeight="1">
      <c r="A325" s="561"/>
      <c r="B325" s="562"/>
      <c r="C325" s="563"/>
      <c r="D325" s="559"/>
      <c r="E325" s="584"/>
      <c r="F325" s="584"/>
      <c r="G325" s="51" t="s">
        <v>53</v>
      </c>
      <c r="H325" s="123" t="s">
        <v>28</v>
      </c>
      <c r="I325" s="124">
        <v>0.11</v>
      </c>
      <c r="J325" s="124">
        <f>D324*I325</f>
        <v>4.8378000000000005</v>
      </c>
      <c r="K325" s="124">
        <f>99.5/1.2</f>
        <v>82.916666666666671</v>
      </c>
      <c r="L325" s="156">
        <f t="shared" si="56"/>
        <v>401.13425000000007</v>
      </c>
      <c r="M325" s="105" t="s">
        <v>186</v>
      </c>
      <c r="N325" s="5"/>
    </row>
    <row r="326" spans="1:14" s="30" customFormat="1" ht="15" customHeight="1">
      <c r="A326" s="561"/>
      <c r="B326" s="562"/>
      <c r="C326" s="563"/>
      <c r="D326" s="559"/>
      <c r="E326" s="584"/>
      <c r="F326" s="584"/>
      <c r="G326" s="27" t="s">
        <v>33</v>
      </c>
      <c r="H326" s="123" t="s">
        <v>24</v>
      </c>
      <c r="I326" s="124">
        <v>0.65</v>
      </c>
      <c r="J326" s="124">
        <f>D324*I326</f>
        <v>28.587000000000003</v>
      </c>
      <c r="K326" s="124">
        <f>77.1/25/1.2</f>
        <v>2.57</v>
      </c>
      <c r="L326" s="156">
        <f t="shared" si="56"/>
        <v>73.468590000000006</v>
      </c>
      <c r="M326" s="105" t="s">
        <v>181</v>
      </c>
      <c r="N326" s="5"/>
    </row>
    <row r="327" spans="1:14" s="30" customFormat="1" ht="15" customHeight="1" thickBot="1">
      <c r="A327" s="555"/>
      <c r="B327" s="562"/>
      <c r="C327" s="563"/>
      <c r="D327" s="559"/>
      <c r="E327" s="584"/>
      <c r="F327" s="584"/>
      <c r="G327" s="27" t="s">
        <v>34</v>
      </c>
      <c r="H327" s="123" t="s">
        <v>24</v>
      </c>
      <c r="I327" s="124">
        <v>0.04</v>
      </c>
      <c r="J327" s="124">
        <f>D324*I327</f>
        <v>1.7592000000000001</v>
      </c>
      <c r="K327" s="124">
        <f>54.08/2</f>
        <v>27.04</v>
      </c>
      <c r="L327" s="156">
        <f t="shared" si="56"/>
        <v>47.568767999999999</v>
      </c>
      <c r="M327" s="105" t="s">
        <v>182</v>
      </c>
      <c r="N327" s="5"/>
    </row>
    <row r="328" spans="1:14" s="30" customFormat="1" ht="15" customHeight="1" thickBot="1">
      <c r="A328" s="13"/>
      <c r="B328" s="14" t="s">
        <v>168</v>
      </c>
      <c r="C328" s="15"/>
      <c r="D328" s="14"/>
      <c r="E328" s="165"/>
      <c r="F328" s="166"/>
      <c r="G328" s="14"/>
      <c r="H328" s="167"/>
      <c r="I328" s="168"/>
      <c r="J328" s="168"/>
      <c r="K328" s="168"/>
      <c r="L328" s="169"/>
      <c r="M328" s="107"/>
      <c r="N328" s="5"/>
    </row>
    <row r="329" spans="1:14" s="30" customFormat="1" ht="15" customHeight="1" thickBot="1">
      <c r="A329" s="20"/>
      <c r="B329" s="21" t="s">
        <v>10</v>
      </c>
      <c r="C329" s="22"/>
      <c r="D329" s="23"/>
      <c r="E329" s="141"/>
      <c r="F329" s="141"/>
      <c r="G329" s="22"/>
      <c r="H329" s="207"/>
      <c r="I329" s="142"/>
      <c r="J329" s="142"/>
      <c r="K329" s="142"/>
      <c r="L329" s="170"/>
      <c r="M329" s="107"/>
      <c r="N329" s="5"/>
    </row>
    <row r="330" spans="1:14" s="30" customFormat="1" ht="15" customHeight="1">
      <c r="A330" s="554">
        <f>IF(ISBLANK(D330),"",COUNTA(D$14:D330))</f>
        <v>104</v>
      </c>
      <c r="B330" s="636" t="s">
        <v>139</v>
      </c>
      <c r="C330" s="638" t="s">
        <v>11</v>
      </c>
      <c r="D330" s="639">
        <f>6.81+1.71</f>
        <v>8.52</v>
      </c>
      <c r="E330" s="640">
        <f>240/1.2</f>
        <v>200</v>
      </c>
      <c r="F330" s="640">
        <f>E330*D330</f>
        <v>1704</v>
      </c>
      <c r="G330" s="190" t="s">
        <v>12</v>
      </c>
      <c r="H330" s="119" t="s">
        <v>13</v>
      </c>
      <c r="I330" s="120">
        <v>0.2</v>
      </c>
      <c r="J330" s="120">
        <f>D330*I330</f>
        <v>1.704</v>
      </c>
      <c r="K330" s="124">
        <f>458.33/10</f>
        <v>45.832999999999998</v>
      </c>
      <c r="L330" s="270">
        <f>J330*K330</f>
        <v>78.099431999999993</v>
      </c>
      <c r="M330" s="271" t="s">
        <v>171</v>
      </c>
      <c r="N330" s="5"/>
    </row>
    <row r="331" spans="1:14" s="30" customFormat="1" ht="15" customHeight="1">
      <c r="A331" s="561"/>
      <c r="B331" s="637"/>
      <c r="C331" s="563"/>
      <c r="D331" s="559"/>
      <c r="E331" s="584"/>
      <c r="F331" s="584"/>
      <c r="G331" s="27" t="s">
        <v>14</v>
      </c>
      <c r="H331" s="123" t="s">
        <v>15</v>
      </c>
      <c r="I331" s="124">
        <v>3.2</v>
      </c>
      <c r="J331" s="124">
        <f>D330*I331</f>
        <v>27.263999999999999</v>
      </c>
      <c r="K331" s="28">
        <v>3</v>
      </c>
      <c r="L331" s="29">
        <f t="shared" ref="L331:L334" si="57">K331*J331</f>
        <v>81.792000000000002</v>
      </c>
      <c r="M331" s="105" t="s">
        <v>172</v>
      </c>
      <c r="N331" s="5"/>
    </row>
    <row r="332" spans="1:14" s="30" customFormat="1" ht="15" customHeight="1">
      <c r="A332" s="561"/>
      <c r="B332" s="618"/>
      <c r="C332" s="563"/>
      <c r="D332" s="559"/>
      <c r="E332" s="584"/>
      <c r="F332" s="584"/>
      <c r="G332" s="27" t="s">
        <v>16</v>
      </c>
      <c r="H332" s="123" t="s">
        <v>15</v>
      </c>
      <c r="I332" s="124">
        <v>1.8</v>
      </c>
      <c r="J332" s="124">
        <f>D330*I332</f>
        <v>15.336</v>
      </c>
      <c r="K332" s="28">
        <f>152.5/25</f>
        <v>6.1</v>
      </c>
      <c r="L332" s="29">
        <f t="shared" si="57"/>
        <v>93.549599999999998</v>
      </c>
      <c r="M332" s="105" t="s">
        <v>173</v>
      </c>
      <c r="N332" s="5"/>
    </row>
    <row r="333" spans="1:14" s="30" customFormat="1" ht="15" customHeight="1">
      <c r="A333" s="554">
        <f>IF(ISBLANK(D333),"",COUNTA(D$14:D333))</f>
        <v>105</v>
      </c>
      <c r="B333" s="576" t="s">
        <v>140</v>
      </c>
      <c r="C333" s="563" t="s">
        <v>11</v>
      </c>
      <c r="D333" s="559">
        <f>D330</f>
        <v>8.52</v>
      </c>
      <c r="E333" s="584">
        <f>87.12/1.2</f>
        <v>72.600000000000009</v>
      </c>
      <c r="F333" s="584">
        <f>E333*D333</f>
        <v>618.55200000000002</v>
      </c>
      <c r="G333" s="234" t="s">
        <v>17</v>
      </c>
      <c r="H333" s="123" t="s">
        <v>13</v>
      </c>
      <c r="I333" s="124">
        <v>0.2</v>
      </c>
      <c r="J333" s="124">
        <f>I333*D333</f>
        <v>1.704</v>
      </c>
      <c r="K333" s="272">
        <f>70/10</f>
        <v>7</v>
      </c>
      <c r="L333" s="29">
        <f t="shared" si="57"/>
        <v>11.927999999999999</v>
      </c>
      <c r="M333" s="105" t="s">
        <v>174</v>
      </c>
      <c r="N333" s="5"/>
    </row>
    <row r="334" spans="1:14" s="30" customFormat="1" ht="15" customHeight="1">
      <c r="A334" s="555"/>
      <c r="B334" s="576"/>
      <c r="C334" s="563"/>
      <c r="D334" s="559"/>
      <c r="E334" s="584"/>
      <c r="F334" s="584"/>
      <c r="G334" s="33" t="s">
        <v>46</v>
      </c>
      <c r="H334" s="123" t="s">
        <v>15</v>
      </c>
      <c r="I334" s="130">
        <v>0.3</v>
      </c>
      <c r="J334" s="124">
        <f>D333*I334</f>
        <v>2.5559999999999996</v>
      </c>
      <c r="K334" s="273">
        <f>28.26/1.2*14/10</f>
        <v>32.97</v>
      </c>
      <c r="L334" s="29">
        <f t="shared" si="57"/>
        <v>84.271319999999989</v>
      </c>
      <c r="M334" s="105" t="s">
        <v>175</v>
      </c>
      <c r="N334" s="5"/>
    </row>
    <row r="335" spans="1:14" s="30" customFormat="1" ht="15" customHeight="1">
      <c r="A335" s="641">
        <f>IF(ISBLANK(D335),"",COUNTA(D$14:D335))</f>
        <v>106</v>
      </c>
      <c r="B335" s="644" t="s">
        <v>141</v>
      </c>
      <c r="C335" s="647" t="s">
        <v>11</v>
      </c>
      <c r="D335" s="647">
        <v>54.02</v>
      </c>
      <c r="E335" s="649">
        <f>363/1.2</f>
        <v>302.5</v>
      </c>
      <c r="F335" s="649">
        <f>E335*D335</f>
        <v>16341.050000000001</v>
      </c>
      <c r="G335" s="191" t="s">
        <v>142</v>
      </c>
      <c r="H335" s="192" t="s">
        <v>143</v>
      </c>
      <c r="I335" s="193">
        <v>2.7</v>
      </c>
      <c r="J335" s="262">
        <f>I335*D335</f>
        <v>145.85400000000001</v>
      </c>
      <c r="K335" s="262">
        <f>29.32/3</f>
        <v>9.7733333333333334</v>
      </c>
      <c r="L335" s="194">
        <f t="shared" ref="L335:L339" si="58">K335*J335</f>
        <v>1425.4797600000002</v>
      </c>
      <c r="M335" s="107"/>
      <c r="N335" s="5"/>
    </row>
    <row r="336" spans="1:14" s="30" customFormat="1" ht="15" customHeight="1">
      <c r="A336" s="642"/>
      <c r="B336" s="645"/>
      <c r="C336" s="557"/>
      <c r="D336" s="557"/>
      <c r="E336" s="650"/>
      <c r="F336" s="650"/>
      <c r="G336" s="195" t="s">
        <v>144</v>
      </c>
      <c r="H336" s="196" t="s">
        <v>145</v>
      </c>
      <c r="I336" s="197">
        <v>1.36</v>
      </c>
      <c r="J336" s="263">
        <f>D335*I336</f>
        <v>73.467200000000005</v>
      </c>
      <c r="K336" s="263">
        <f>17.86/3</f>
        <v>5.9533333333333331</v>
      </c>
      <c r="L336" s="198">
        <f t="shared" si="58"/>
        <v>437.37473066666666</v>
      </c>
      <c r="M336" s="107"/>
      <c r="N336" s="5"/>
    </row>
    <row r="337" spans="1:14" s="30" customFormat="1" ht="15" customHeight="1">
      <c r="A337" s="642"/>
      <c r="B337" s="645"/>
      <c r="C337" s="557"/>
      <c r="D337" s="557"/>
      <c r="E337" s="650"/>
      <c r="F337" s="650"/>
      <c r="G337" s="195" t="s">
        <v>146</v>
      </c>
      <c r="H337" s="196" t="s">
        <v>147</v>
      </c>
      <c r="I337" s="197">
        <v>1.03</v>
      </c>
      <c r="J337" s="263">
        <f>I337*D335</f>
        <v>55.640600000000006</v>
      </c>
      <c r="K337" s="263">
        <v>240.47</v>
      </c>
      <c r="L337" s="198">
        <f t="shared" si="58"/>
        <v>13379.895082000001</v>
      </c>
      <c r="M337" s="107"/>
      <c r="N337" s="5"/>
    </row>
    <row r="338" spans="1:14" s="30" customFormat="1" ht="25.5">
      <c r="A338" s="642"/>
      <c r="B338" s="645"/>
      <c r="C338" s="557"/>
      <c r="D338" s="557"/>
      <c r="E338" s="650"/>
      <c r="F338" s="650"/>
      <c r="G338" s="248" t="s">
        <v>148</v>
      </c>
      <c r="H338" s="196" t="s">
        <v>149</v>
      </c>
      <c r="I338" s="197">
        <v>1.1100000000000001</v>
      </c>
      <c r="J338" s="263">
        <f>I338*D335</f>
        <v>59.96220000000001</v>
      </c>
      <c r="K338" s="263">
        <v>230</v>
      </c>
      <c r="L338" s="198">
        <f t="shared" si="58"/>
        <v>13791.306000000002</v>
      </c>
      <c r="M338" s="107"/>
      <c r="N338" s="5"/>
    </row>
    <row r="339" spans="1:14" s="30" customFormat="1" ht="15" customHeight="1" thickBot="1">
      <c r="A339" s="643"/>
      <c r="B339" s="646"/>
      <c r="C339" s="648"/>
      <c r="D339" s="648"/>
      <c r="E339" s="651"/>
      <c r="F339" s="651"/>
      <c r="G339" s="199" t="s">
        <v>150</v>
      </c>
      <c r="H339" s="200" t="s">
        <v>151</v>
      </c>
      <c r="I339" s="201">
        <v>3</v>
      </c>
      <c r="J339" s="264">
        <f>I339*D335</f>
        <v>162.06</v>
      </c>
      <c r="K339" s="264">
        <v>1.29</v>
      </c>
      <c r="L339" s="202">
        <f t="shared" si="58"/>
        <v>209.0574</v>
      </c>
      <c r="M339" s="107"/>
      <c r="N339" s="5"/>
    </row>
    <row r="340" spans="1:14" s="30" customFormat="1" ht="15" customHeight="1" thickBot="1">
      <c r="A340" s="20"/>
      <c r="B340" s="21" t="s">
        <v>20</v>
      </c>
      <c r="C340" s="22"/>
      <c r="D340" s="23"/>
      <c r="E340" s="141"/>
      <c r="F340" s="141"/>
      <c r="G340" s="22"/>
      <c r="H340" s="207"/>
      <c r="I340" s="142"/>
      <c r="J340" s="142"/>
      <c r="K340" s="142"/>
      <c r="L340" s="170"/>
      <c r="M340" s="107"/>
      <c r="N340" s="5"/>
    </row>
    <row r="341" spans="1:14" s="30" customFormat="1" ht="15" customHeight="1">
      <c r="A341" s="641">
        <f>IF(ISBLANK(D341),"",COUNTA(D$14:D341))</f>
        <v>107</v>
      </c>
      <c r="B341" s="556" t="s">
        <v>152</v>
      </c>
      <c r="C341" s="557" t="s">
        <v>11</v>
      </c>
      <c r="D341" s="653">
        <v>60.27</v>
      </c>
      <c r="E341" s="654">
        <f>290.4/1.2</f>
        <v>242</v>
      </c>
      <c r="F341" s="654">
        <f>E341*D341</f>
        <v>14585.34</v>
      </c>
      <c r="G341" s="195" t="s">
        <v>153</v>
      </c>
      <c r="H341" s="196" t="s">
        <v>145</v>
      </c>
      <c r="I341" s="197">
        <v>0.82</v>
      </c>
      <c r="J341" s="263">
        <f>D341*I341</f>
        <v>49.421399999999998</v>
      </c>
      <c r="K341" s="263">
        <f>43.01/3</f>
        <v>14.336666666666666</v>
      </c>
      <c r="L341" s="198">
        <f t="shared" ref="L341:L345" si="59">K341*J341</f>
        <v>708.53813799999989</v>
      </c>
      <c r="M341" s="107"/>
      <c r="N341" s="5"/>
    </row>
    <row r="342" spans="1:14" s="30" customFormat="1" ht="15" customHeight="1">
      <c r="A342" s="642"/>
      <c r="B342" s="556"/>
      <c r="C342" s="557"/>
      <c r="D342" s="653"/>
      <c r="E342" s="654"/>
      <c r="F342" s="654"/>
      <c r="G342" s="195" t="s">
        <v>142</v>
      </c>
      <c r="H342" s="196" t="s">
        <v>145</v>
      </c>
      <c r="I342" s="197">
        <v>1.8</v>
      </c>
      <c r="J342" s="263">
        <f>D341*I342</f>
        <v>108.486</v>
      </c>
      <c r="K342" s="263">
        <f>29.32/3</f>
        <v>9.7733333333333334</v>
      </c>
      <c r="L342" s="198">
        <f t="shared" si="59"/>
        <v>1060.2698400000002</v>
      </c>
      <c r="M342" s="107"/>
      <c r="N342" s="5"/>
    </row>
    <row r="343" spans="1:14" s="30" customFormat="1" ht="15" customHeight="1">
      <c r="A343" s="642"/>
      <c r="B343" s="556"/>
      <c r="C343" s="557"/>
      <c r="D343" s="653"/>
      <c r="E343" s="654"/>
      <c r="F343" s="654"/>
      <c r="G343" s="195" t="s">
        <v>146</v>
      </c>
      <c r="H343" s="196" t="s">
        <v>147</v>
      </c>
      <c r="I343" s="197">
        <v>1.03</v>
      </c>
      <c r="J343" s="263">
        <f>I343*D341</f>
        <v>62.078100000000006</v>
      </c>
      <c r="K343" s="263">
        <v>240.47</v>
      </c>
      <c r="L343" s="198">
        <f t="shared" si="59"/>
        <v>14927.920707000001</v>
      </c>
      <c r="M343" s="107"/>
      <c r="N343" s="5"/>
    </row>
    <row r="344" spans="1:14" s="30" customFormat="1" ht="25.5">
      <c r="A344" s="642"/>
      <c r="B344" s="556"/>
      <c r="C344" s="557"/>
      <c r="D344" s="653"/>
      <c r="E344" s="654"/>
      <c r="F344" s="654"/>
      <c r="G344" s="248" t="s">
        <v>148</v>
      </c>
      <c r="H344" s="196" t="s">
        <v>149</v>
      </c>
      <c r="I344" s="197">
        <v>1.1100000000000001</v>
      </c>
      <c r="J344" s="263">
        <f>I344*D341</f>
        <v>66.89970000000001</v>
      </c>
      <c r="K344" s="263">
        <v>230</v>
      </c>
      <c r="L344" s="198">
        <f t="shared" si="59"/>
        <v>15386.931000000002</v>
      </c>
      <c r="M344" s="107"/>
      <c r="N344" s="5"/>
    </row>
    <row r="345" spans="1:14" s="30" customFormat="1" ht="15" customHeight="1" thickBot="1">
      <c r="A345" s="643"/>
      <c r="B345" s="652"/>
      <c r="C345" s="557"/>
      <c r="D345" s="653"/>
      <c r="E345" s="654"/>
      <c r="F345" s="654"/>
      <c r="G345" s="195" t="s">
        <v>150</v>
      </c>
      <c r="H345" s="196" t="s">
        <v>151</v>
      </c>
      <c r="I345" s="197">
        <v>3</v>
      </c>
      <c r="J345" s="263">
        <f>I345*D341</f>
        <v>180.81</v>
      </c>
      <c r="K345" s="263">
        <v>1.29</v>
      </c>
      <c r="L345" s="198">
        <f t="shared" si="59"/>
        <v>233.2449</v>
      </c>
      <c r="M345" s="107"/>
      <c r="N345" s="5"/>
    </row>
    <row r="346" spans="1:14" s="30" customFormat="1" ht="15" customHeight="1">
      <c r="A346" s="554">
        <f>IF(ISBLANK(D346),"",COUNTA(D$14:D346))</f>
        <v>108</v>
      </c>
      <c r="B346" s="576" t="s">
        <v>154</v>
      </c>
      <c r="C346" s="630" t="s">
        <v>11</v>
      </c>
      <c r="D346" s="631">
        <v>93.67</v>
      </c>
      <c r="E346" s="628">
        <f>210.54/1.2</f>
        <v>175.45</v>
      </c>
      <c r="F346" s="628">
        <f>E346*D346</f>
        <v>16434.4015</v>
      </c>
      <c r="G346" s="27" t="s">
        <v>36</v>
      </c>
      <c r="H346" s="123" t="s">
        <v>15</v>
      </c>
      <c r="I346" s="124">
        <v>17.5</v>
      </c>
      <c r="J346" s="124">
        <f>D346*I346</f>
        <v>1639.2250000000001</v>
      </c>
      <c r="K346" s="272">
        <f>98/30</f>
        <v>3.2666666666666666</v>
      </c>
      <c r="L346" s="29">
        <f>K346*J346</f>
        <v>5354.8016666666672</v>
      </c>
      <c r="M346" s="105" t="s">
        <v>176</v>
      </c>
      <c r="N346" s="5"/>
    </row>
    <row r="347" spans="1:14" s="30" customFormat="1" ht="15" customHeight="1">
      <c r="A347" s="561"/>
      <c r="B347" s="576"/>
      <c r="C347" s="630"/>
      <c r="D347" s="631"/>
      <c r="E347" s="628"/>
      <c r="F347" s="628"/>
      <c r="G347" s="234" t="s">
        <v>17</v>
      </c>
      <c r="H347" s="123" t="s">
        <v>23</v>
      </c>
      <c r="I347" s="124">
        <v>0.2</v>
      </c>
      <c r="J347" s="124">
        <f>D346*I347</f>
        <v>18.734000000000002</v>
      </c>
      <c r="K347" s="272">
        <f>70/10</f>
        <v>7</v>
      </c>
      <c r="L347" s="29">
        <f t="shared" ref="L347" si="60">K347*J347</f>
        <v>131.13800000000001</v>
      </c>
      <c r="M347" s="105" t="s">
        <v>174</v>
      </c>
      <c r="N347" s="5"/>
    </row>
    <row r="348" spans="1:14" s="30" customFormat="1" ht="15" customHeight="1">
      <c r="A348" s="561"/>
      <c r="B348" s="576"/>
      <c r="C348" s="630"/>
      <c r="D348" s="631"/>
      <c r="E348" s="628"/>
      <c r="F348" s="628"/>
      <c r="G348" s="27" t="s">
        <v>19</v>
      </c>
      <c r="H348" s="123" t="s">
        <v>18</v>
      </c>
      <c r="I348" s="124">
        <v>0.28999999999999998</v>
      </c>
      <c r="J348" s="124">
        <f>D346*I348</f>
        <v>27.164299999999997</v>
      </c>
      <c r="K348" s="28">
        <f>433.35/50</f>
        <v>8.6669999999999998</v>
      </c>
      <c r="L348" s="29">
        <f>K348*J348</f>
        <v>235.43298809999996</v>
      </c>
      <c r="M348" s="105" t="s">
        <v>177</v>
      </c>
      <c r="N348" s="5"/>
    </row>
    <row r="349" spans="1:14" s="30" customFormat="1" ht="15" customHeight="1">
      <c r="A349" s="555"/>
      <c r="B349" s="576"/>
      <c r="C349" s="579"/>
      <c r="D349" s="580"/>
      <c r="E349" s="588"/>
      <c r="F349" s="588"/>
      <c r="G349" s="27" t="s">
        <v>25</v>
      </c>
      <c r="H349" s="123" t="s">
        <v>58</v>
      </c>
      <c r="I349" s="124">
        <v>0.7</v>
      </c>
      <c r="J349" s="124">
        <f>I349*D346</f>
        <v>65.569000000000003</v>
      </c>
      <c r="K349" s="28">
        <f>19.17/3</f>
        <v>6.3900000000000006</v>
      </c>
      <c r="L349" s="29">
        <f>J349*K349</f>
        <v>418.98591000000005</v>
      </c>
      <c r="M349" s="105" t="s">
        <v>178</v>
      </c>
      <c r="N349" s="5"/>
    </row>
    <row r="350" spans="1:14" s="30" customFormat="1" ht="15" customHeight="1">
      <c r="A350" s="554">
        <f>IF(ISBLANK(D350),"",COUNTA(D$14:D350))</f>
        <v>109</v>
      </c>
      <c r="B350" s="576" t="s">
        <v>60</v>
      </c>
      <c r="C350" s="565" t="s">
        <v>11</v>
      </c>
      <c r="D350" s="560">
        <v>66.760000000000005</v>
      </c>
      <c r="E350" s="585">
        <f>210.54/1.2</f>
        <v>175.45</v>
      </c>
      <c r="F350" s="585">
        <f>E350*D350</f>
        <v>11713.041999999999</v>
      </c>
      <c r="G350" s="203" t="s">
        <v>36</v>
      </c>
      <c r="H350" s="175" t="s">
        <v>15</v>
      </c>
      <c r="I350" s="173">
        <v>15</v>
      </c>
      <c r="J350" s="124">
        <f>D350*I350</f>
        <v>1001.4000000000001</v>
      </c>
      <c r="K350" s="272">
        <f>98/30</f>
        <v>3.2666666666666666</v>
      </c>
      <c r="L350" s="29">
        <f>K350*J350</f>
        <v>3271.2400000000002</v>
      </c>
      <c r="M350" s="105" t="s">
        <v>176</v>
      </c>
      <c r="N350" s="5"/>
    </row>
    <row r="351" spans="1:14" s="30" customFormat="1" ht="15" customHeight="1">
      <c r="A351" s="561"/>
      <c r="B351" s="576"/>
      <c r="C351" s="630"/>
      <c r="D351" s="631"/>
      <c r="E351" s="628"/>
      <c r="F351" s="628"/>
      <c r="G351" s="27" t="s">
        <v>12</v>
      </c>
      <c r="H351" s="123" t="s">
        <v>13</v>
      </c>
      <c r="I351" s="124">
        <v>0.35</v>
      </c>
      <c r="J351" s="124">
        <f>I351*D350</f>
        <v>23.366</v>
      </c>
      <c r="K351" s="124">
        <f>458.33/10</f>
        <v>45.832999999999998</v>
      </c>
      <c r="L351" s="270">
        <f>J351*K351</f>
        <v>1070.933878</v>
      </c>
      <c r="M351" s="271" t="s">
        <v>171</v>
      </c>
      <c r="N351" s="5"/>
    </row>
    <row r="352" spans="1:14" s="30" customFormat="1" ht="15" customHeight="1">
      <c r="A352" s="561"/>
      <c r="B352" s="576"/>
      <c r="C352" s="630"/>
      <c r="D352" s="631"/>
      <c r="E352" s="628"/>
      <c r="F352" s="628"/>
      <c r="G352" s="27" t="s">
        <v>19</v>
      </c>
      <c r="H352" s="123" t="s">
        <v>18</v>
      </c>
      <c r="I352" s="124">
        <v>0.28999999999999998</v>
      </c>
      <c r="J352" s="124">
        <f>D350*I352</f>
        <v>19.360399999999998</v>
      </c>
      <c r="K352" s="28">
        <f>433.35/50</f>
        <v>8.6669999999999998</v>
      </c>
      <c r="L352" s="29">
        <f>K352*J352</f>
        <v>167.79658679999997</v>
      </c>
      <c r="M352" s="105" t="s">
        <v>177</v>
      </c>
      <c r="N352" s="5"/>
    </row>
    <row r="353" spans="1:14" s="30" customFormat="1" ht="15" customHeight="1">
      <c r="A353" s="555"/>
      <c r="B353" s="576"/>
      <c r="C353" s="579"/>
      <c r="D353" s="580"/>
      <c r="E353" s="588"/>
      <c r="F353" s="588"/>
      <c r="G353" s="84" t="s">
        <v>25</v>
      </c>
      <c r="H353" s="128" t="s">
        <v>58</v>
      </c>
      <c r="I353" s="134">
        <v>0.7</v>
      </c>
      <c r="J353" s="124">
        <f>I353*D350</f>
        <v>46.731999999999999</v>
      </c>
      <c r="K353" s="28">
        <f>19.17/3</f>
        <v>6.3900000000000006</v>
      </c>
      <c r="L353" s="29">
        <f>J353*K353</f>
        <v>298.61748</v>
      </c>
      <c r="M353" s="105" t="s">
        <v>178</v>
      </c>
      <c r="N353" s="5"/>
    </row>
    <row r="354" spans="1:14" s="30" customFormat="1" ht="15" customHeight="1">
      <c r="A354" s="554">
        <f>IF(ISBLANK(D354),"",COUNTA(D$14:D354))</f>
        <v>110</v>
      </c>
      <c r="B354" s="576" t="s">
        <v>155</v>
      </c>
      <c r="C354" s="563" t="s">
        <v>11</v>
      </c>
      <c r="D354" s="559">
        <f>31.34+157.47+16.45-D341</f>
        <v>144.98999999999998</v>
      </c>
      <c r="E354" s="584">
        <f>101.64/1.2</f>
        <v>84.7</v>
      </c>
      <c r="F354" s="584">
        <f>E354*D354</f>
        <v>12280.652999999998</v>
      </c>
      <c r="G354" s="234" t="s">
        <v>17</v>
      </c>
      <c r="H354" s="123" t="s">
        <v>13</v>
      </c>
      <c r="I354" s="124">
        <v>0.2</v>
      </c>
      <c r="J354" s="124">
        <f>I354*D354</f>
        <v>28.997999999999998</v>
      </c>
      <c r="K354" s="272">
        <f>70/10</f>
        <v>7</v>
      </c>
      <c r="L354" s="29">
        <f t="shared" ref="L354" si="61">K354*J354</f>
        <v>202.98599999999999</v>
      </c>
      <c r="M354" s="105" t="s">
        <v>174</v>
      </c>
      <c r="N354" s="5"/>
    </row>
    <row r="355" spans="1:14" s="30" customFormat="1" ht="15" customHeight="1">
      <c r="A355" s="555"/>
      <c r="B355" s="576"/>
      <c r="C355" s="563"/>
      <c r="D355" s="559"/>
      <c r="E355" s="584"/>
      <c r="F355" s="584"/>
      <c r="G355" s="27" t="s">
        <v>16</v>
      </c>
      <c r="H355" s="123" t="s">
        <v>15</v>
      </c>
      <c r="I355" s="130">
        <v>1.8</v>
      </c>
      <c r="J355" s="124">
        <f>D354*I355</f>
        <v>260.98199999999997</v>
      </c>
      <c r="K355" s="28">
        <f>152.5/25</f>
        <v>6.1</v>
      </c>
      <c r="L355" s="29">
        <f t="shared" ref="L355:L357" si="62">K355*J355</f>
        <v>1591.9901999999997</v>
      </c>
      <c r="M355" s="105" t="s">
        <v>173</v>
      </c>
      <c r="N355" s="5"/>
    </row>
    <row r="356" spans="1:14" s="30" customFormat="1" ht="15" customHeight="1">
      <c r="A356" s="554">
        <f>IF(ISBLANK(D356),"",COUNTA(D$14:D356))</f>
        <v>111</v>
      </c>
      <c r="B356" s="576" t="s">
        <v>39</v>
      </c>
      <c r="C356" s="563" t="s">
        <v>11</v>
      </c>
      <c r="D356" s="559">
        <f>D354</f>
        <v>144.98999999999998</v>
      </c>
      <c r="E356" s="584">
        <f>72.6/1.2</f>
        <v>60.5</v>
      </c>
      <c r="F356" s="584">
        <f>E356*D356</f>
        <v>8771.8949999999986</v>
      </c>
      <c r="G356" s="234" t="s">
        <v>17</v>
      </c>
      <c r="H356" s="123" t="s">
        <v>13</v>
      </c>
      <c r="I356" s="124">
        <v>0.2</v>
      </c>
      <c r="J356" s="124">
        <f>I356*D356</f>
        <v>28.997999999999998</v>
      </c>
      <c r="K356" s="272">
        <f>70/10</f>
        <v>7</v>
      </c>
      <c r="L356" s="29">
        <f t="shared" si="62"/>
        <v>202.98599999999999</v>
      </c>
      <c r="M356" s="105" t="s">
        <v>174</v>
      </c>
      <c r="N356" s="5"/>
    </row>
    <row r="357" spans="1:14" s="30" customFormat="1" ht="15" customHeight="1">
      <c r="A357" s="555"/>
      <c r="B357" s="576"/>
      <c r="C357" s="563"/>
      <c r="D357" s="559"/>
      <c r="E357" s="584"/>
      <c r="F357" s="584"/>
      <c r="G357" s="33" t="s">
        <v>46</v>
      </c>
      <c r="H357" s="123" t="s">
        <v>15</v>
      </c>
      <c r="I357" s="130">
        <v>0.3</v>
      </c>
      <c r="J357" s="124">
        <f>D356*I357</f>
        <v>43.496999999999993</v>
      </c>
      <c r="K357" s="273">
        <f>28.26/1.2*14/10</f>
        <v>32.97</v>
      </c>
      <c r="L357" s="29">
        <f t="shared" si="62"/>
        <v>1434.0960899999998</v>
      </c>
      <c r="M357" s="105" t="s">
        <v>175</v>
      </c>
      <c r="N357" s="5"/>
    </row>
    <row r="358" spans="1:14" s="30" customFormat="1" ht="15" customHeight="1">
      <c r="A358" s="554">
        <f>IF(ISBLANK(D358),"",COUNTA(D$14:D358))</f>
        <v>112</v>
      </c>
      <c r="B358" s="556" t="s">
        <v>66</v>
      </c>
      <c r="C358" s="557" t="s">
        <v>27</v>
      </c>
      <c r="D358" s="558">
        <v>5.21</v>
      </c>
      <c r="E358" s="558">
        <f>130.68/1.2</f>
        <v>108.9</v>
      </c>
      <c r="F358" s="558">
        <f>D358*E358</f>
        <v>567.36900000000003</v>
      </c>
      <c r="G358" s="111" t="s">
        <v>36</v>
      </c>
      <c r="H358" s="231" t="s">
        <v>24</v>
      </c>
      <c r="I358" s="131">
        <v>3</v>
      </c>
      <c r="J358" s="263">
        <f>D358*I358</f>
        <v>15.629999999999999</v>
      </c>
      <c r="K358" s="276">
        <f>98/30</f>
        <v>3.2666666666666666</v>
      </c>
      <c r="L358" s="29">
        <f>K358*J358</f>
        <v>51.057999999999993</v>
      </c>
      <c r="M358" s="105" t="s">
        <v>176</v>
      </c>
      <c r="N358" s="5"/>
    </row>
    <row r="359" spans="1:14" s="30" customFormat="1" ht="15" customHeight="1">
      <c r="A359" s="561"/>
      <c r="B359" s="556"/>
      <c r="C359" s="557"/>
      <c r="D359" s="558"/>
      <c r="E359" s="558"/>
      <c r="F359" s="558"/>
      <c r="G359" s="261" t="s">
        <v>17</v>
      </c>
      <c r="H359" s="231" t="s">
        <v>23</v>
      </c>
      <c r="I359" s="131">
        <v>0.04</v>
      </c>
      <c r="J359" s="263">
        <f>D358*I359</f>
        <v>0.2084</v>
      </c>
      <c r="K359" s="272">
        <f>70/10</f>
        <v>7</v>
      </c>
      <c r="L359" s="29">
        <f t="shared" ref="L359:L365" si="63">K359*J359</f>
        <v>1.4588000000000001</v>
      </c>
      <c r="M359" s="105" t="s">
        <v>174</v>
      </c>
      <c r="N359" s="5"/>
    </row>
    <row r="360" spans="1:14" s="30" customFormat="1" ht="15" customHeight="1">
      <c r="A360" s="561"/>
      <c r="B360" s="556"/>
      <c r="C360" s="557"/>
      <c r="D360" s="558"/>
      <c r="E360" s="558"/>
      <c r="F360" s="558"/>
      <c r="G360" s="111" t="s">
        <v>19</v>
      </c>
      <c r="H360" s="231" t="s">
        <v>28</v>
      </c>
      <c r="I360" s="131">
        <f>0.08*(200/250)</f>
        <v>6.4000000000000001E-2</v>
      </c>
      <c r="J360" s="263">
        <f>D358*I360</f>
        <v>0.33344000000000001</v>
      </c>
      <c r="K360" s="28">
        <f>433.35/50</f>
        <v>8.6669999999999998</v>
      </c>
      <c r="L360" s="29">
        <f>K360*J360</f>
        <v>2.8899244799999999</v>
      </c>
      <c r="M360" s="105" t="s">
        <v>177</v>
      </c>
      <c r="N360" s="5"/>
    </row>
    <row r="361" spans="1:14" s="30" customFormat="1" ht="15" customHeight="1">
      <c r="A361" s="555"/>
      <c r="B361" s="556"/>
      <c r="C361" s="557"/>
      <c r="D361" s="558"/>
      <c r="E361" s="558"/>
      <c r="F361" s="558"/>
      <c r="G361" s="111" t="s">
        <v>25</v>
      </c>
      <c r="H361" s="231" t="s">
        <v>45</v>
      </c>
      <c r="I361" s="131">
        <v>1.02</v>
      </c>
      <c r="J361" s="263">
        <f>D358*I361</f>
        <v>5.3142000000000005</v>
      </c>
      <c r="K361" s="28">
        <f>19.17/3</f>
        <v>6.3900000000000006</v>
      </c>
      <c r="L361" s="29">
        <f>J361*K361</f>
        <v>33.957738000000006</v>
      </c>
      <c r="M361" s="105" t="s">
        <v>178</v>
      </c>
      <c r="N361" s="5"/>
    </row>
    <row r="362" spans="1:14" s="30" customFormat="1" ht="15" customHeight="1">
      <c r="A362" s="554">
        <f>IF(ISBLANK(D362),"",COUNTA(D$14:D362))</f>
        <v>113</v>
      </c>
      <c r="B362" s="556" t="s">
        <v>108</v>
      </c>
      <c r="C362" s="557" t="s">
        <v>27</v>
      </c>
      <c r="D362" s="558">
        <f>D358</f>
        <v>5.21</v>
      </c>
      <c r="E362" s="558">
        <f>101.64/1.2*0.2</f>
        <v>16.940000000000001</v>
      </c>
      <c r="F362" s="558">
        <f>E362*D362</f>
        <v>88.257400000000004</v>
      </c>
      <c r="G362" s="261" t="s">
        <v>17</v>
      </c>
      <c r="H362" s="231" t="s">
        <v>23</v>
      </c>
      <c r="I362" s="131">
        <v>0.05</v>
      </c>
      <c r="J362" s="263">
        <f>I362*D362</f>
        <v>0.26050000000000001</v>
      </c>
      <c r="K362" s="272">
        <f>70/10</f>
        <v>7</v>
      </c>
      <c r="L362" s="29">
        <f t="shared" si="63"/>
        <v>1.8235000000000001</v>
      </c>
      <c r="M362" s="105" t="s">
        <v>174</v>
      </c>
      <c r="N362" s="5"/>
    </row>
    <row r="363" spans="1:14" s="30" customFormat="1" ht="15" customHeight="1">
      <c r="A363" s="555"/>
      <c r="B363" s="556"/>
      <c r="C363" s="557"/>
      <c r="D363" s="558"/>
      <c r="E363" s="558"/>
      <c r="F363" s="558"/>
      <c r="G363" s="27" t="s">
        <v>16</v>
      </c>
      <c r="H363" s="231" t="s">
        <v>24</v>
      </c>
      <c r="I363" s="131">
        <v>0.45</v>
      </c>
      <c r="J363" s="263">
        <f>I363*D362</f>
        <v>2.3445</v>
      </c>
      <c r="K363" s="28">
        <f>152.5/25</f>
        <v>6.1</v>
      </c>
      <c r="L363" s="29">
        <f t="shared" si="63"/>
        <v>14.301449999999999</v>
      </c>
      <c r="M363" s="105" t="s">
        <v>173</v>
      </c>
      <c r="N363" s="5"/>
    </row>
    <row r="364" spans="1:14" s="30" customFormat="1" ht="15" customHeight="1">
      <c r="A364" s="554">
        <f>IF(ISBLANK(D364),"",COUNTA(D$14:D364))</f>
        <v>114</v>
      </c>
      <c r="B364" s="556" t="s">
        <v>65</v>
      </c>
      <c r="C364" s="557" t="s">
        <v>27</v>
      </c>
      <c r="D364" s="558">
        <f>D358</f>
        <v>5.21</v>
      </c>
      <c r="E364" s="558">
        <f>72.6/1.2*0.2</f>
        <v>12.100000000000001</v>
      </c>
      <c r="F364" s="558">
        <f>D364*E364</f>
        <v>63.041000000000004</v>
      </c>
      <c r="G364" s="261" t="s">
        <v>17</v>
      </c>
      <c r="H364" s="231" t="s">
        <v>23</v>
      </c>
      <c r="I364" s="131">
        <v>0.05</v>
      </c>
      <c r="J364" s="263">
        <f>I364*D364</f>
        <v>0.26050000000000001</v>
      </c>
      <c r="K364" s="272">
        <f>70/10</f>
        <v>7</v>
      </c>
      <c r="L364" s="29">
        <f t="shared" si="63"/>
        <v>1.8235000000000001</v>
      </c>
      <c r="M364" s="105" t="s">
        <v>174</v>
      </c>
      <c r="N364" s="5"/>
    </row>
    <row r="365" spans="1:14" s="30" customFormat="1" ht="15" customHeight="1">
      <c r="A365" s="555"/>
      <c r="B365" s="556"/>
      <c r="C365" s="557"/>
      <c r="D365" s="558"/>
      <c r="E365" s="558"/>
      <c r="F365" s="558"/>
      <c r="G365" s="33" t="s">
        <v>46</v>
      </c>
      <c r="H365" s="231" t="s">
        <v>23</v>
      </c>
      <c r="I365" s="132">
        <v>0.13</v>
      </c>
      <c r="J365" s="263">
        <f>I365*D364</f>
        <v>0.67730000000000001</v>
      </c>
      <c r="K365" s="273">
        <f>28.26/1.2*14/10</f>
        <v>32.97</v>
      </c>
      <c r="L365" s="29">
        <f t="shared" si="63"/>
        <v>22.330580999999999</v>
      </c>
      <c r="M365" s="105" t="s">
        <v>175</v>
      </c>
      <c r="N365" s="5"/>
    </row>
    <row r="366" spans="1:14" s="30" customFormat="1" ht="15" customHeight="1">
      <c r="A366" s="554">
        <f>IF(ISBLANK(D366),"",COUNTA(D$14:D366))</f>
        <v>115</v>
      </c>
      <c r="B366" s="556" t="s">
        <v>110</v>
      </c>
      <c r="C366" s="557" t="s">
        <v>27</v>
      </c>
      <c r="D366" s="558">
        <v>10.220000000000001</v>
      </c>
      <c r="E366" s="558">
        <f>130.68/1.2</f>
        <v>108.9</v>
      </c>
      <c r="F366" s="558">
        <f>D366*E366</f>
        <v>1112.9580000000001</v>
      </c>
      <c r="G366" s="111" t="s">
        <v>36</v>
      </c>
      <c r="H366" s="231" t="s">
        <v>24</v>
      </c>
      <c r="I366" s="131">
        <v>3</v>
      </c>
      <c r="J366" s="263">
        <f>D366*I366</f>
        <v>30.660000000000004</v>
      </c>
      <c r="K366" s="276">
        <f>98/30</f>
        <v>3.2666666666666666</v>
      </c>
      <c r="L366" s="29">
        <f>K366*J366</f>
        <v>100.15600000000001</v>
      </c>
      <c r="M366" s="105" t="s">
        <v>176</v>
      </c>
      <c r="N366" s="5"/>
    </row>
    <row r="367" spans="1:14" s="30" customFormat="1" ht="15" customHeight="1">
      <c r="A367" s="561"/>
      <c r="B367" s="556"/>
      <c r="C367" s="557"/>
      <c r="D367" s="558"/>
      <c r="E367" s="558"/>
      <c r="F367" s="558"/>
      <c r="G367" s="261" t="s">
        <v>17</v>
      </c>
      <c r="H367" s="231" t="s">
        <v>23</v>
      </c>
      <c r="I367" s="131">
        <v>0.04</v>
      </c>
      <c r="J367" s="263">
        <f>D366*I367</f>
        <v>0.40880000000000005</v>
      </c>
      <c r="K367" s="272">
        <f>70/10</f>
        <v>7</v>
      </c>
      <c r="L367" s="29">
        <f t="shared" ref="L367:L373" si="64">K367*J367</f>
        <v>2.8616000000000001</v>
      </c>
      <c r="M367" s="105" t="s">
        <v>174</v>
      </c>
      <c r="N367" s="5"/>
    </row>
    <row r="368" spans="1:14" s="30" customFormat="1" ht="15" customHeight="1">
      <c r="A368" s="561"/>
      <c r="B368" s="556"/>
      <c r="C368" s="557"/>
      <c r="D368" s="558"/>
      <c r="E368" s="558"/>
      <c r="F368" s="558"/>
      <c r="G368" s="111" t="s">
        <v>19</v>
      </c>
      <c r="H368" s="231" t="s">
        <v>28</v>
      </c>
      <c r="I368" s="131">
        <f>0.08*(70/250)</f>
        <v>2.2400000000000003E-2</v>
      </c>
      <c r="J368" s="263">
        <f>D366*I368</f>
        <v>0.22892800000000005</v>
      </c>
      <c r="K368" s="28">
        <f>433.35/50</f>
        <v>8.6669999999999998</v>
      </c>
      <c r="L368" s="29">
        <f>K368*J368</f>
        <v>1.9841189760000004</v>
      </c>
      <c r="M368" s="105" t="s">
        <v>177</v>
      </c>
      <c r="N368" s="5"/>
    </row>
    <row r="369" spans="1:14" s="30" customFormat="1" ht="15" customHeight="1">
      <c r="A369" s="555"/>
      <c r="B369" s="556"/>
      <c r="C369" s="557"/>
      <c r="D369" s="558"/>
      <c r="E369" s="558"/>
      <c r="F369" s="558"/>
      <c r="G369" s="111" t="s">
        <v>25</v>
      </c>
      <c r="H369" s="231" t="s">
        <v>45</v>
      </c>
      <c r="I369" s="131">
        <v>1.02</v>
      </c>
      <c r="J369" s="263">
        <f>D366*I369</f>
        <v>10.4244</v>
      </c>
      <c r="K369" s="28">
        <f>19.17/3</f>
        <v>6.3900000000000006</v>
      </c>
      <c r="L369" s="29">
        <f>J369*K369</f>
        <v>66.611916000000008</v>
      </c>
      <c r="M369" s="105" t="s">
        <v>178</v>
      </c>
      <c r="N369" s="5"/>
    </row>
    <row r="370" spans="1:14" s="30" customFormat="1" ht="15" customHeight="1">
      <c r="A370" s="554">
        <f>IF(ISBLANK(D370),"",COUNTA(D$14:D370))</f>
        <v>116</v>
      </c>
      <c r="B370" s="556" t="s">
        <v>111</v>
      </c>
      <c r="C370" s="557" t="s">
        <v>27</v>
      </c>
      <c r="D370" s="558">
        <f>D366</f>
        <v>10.220000000000001</v>
      </c>
      <c r="E370" s="558">
        <f>101.64/1.2*0.07</f>
        <v>5.9290000000000012</v>
      </c>
      <c r="F370" s="558">
        <f>E370*D370</f>
        <v>60.594380000000015</v>
      </c>
      <c r="G370" s="261" t="s">
        <v>17</v>
      </c>
      <c r="H370" s="231" t="s">
        <v>23</v>
      </c>
      <c r="I370" s="131">
        <v>0.05</v>
      </c>
      <c r="J370" s="263">
        <f>I370*D370</f>
        <v>0.51100000000000001</v>
      </c>
      <c r="K370" s="272">
        <f>70/10</f>
        <v>7</v>
      </c>
      <c r="L370" s="29">
        <f t="shared" si="64"/>
        <v>3.577</v>
      </c>
      <c r="M370" s="105" t="s">
        <v>174</v>
      </c>
      <c r="N370" s="5"/>
    </row>
    <row r="371" spans="1:14" s="30" customFormat="1" ht="15" customHeight="1">
      <c r="A371" s="555"/>
      <c r="B371" s="556"/>
      <c r="C371" s="557"/>
      <c r="D371" s="558"/>
      <c r="E371" s="558"/>
      <c r="F371" s="558"/>
      <c r="G371" s="27" t="s">
        <v>16</v>
      </c>
      <c r="H371" s="231" t="s">
        <v>24</v>
      </c>
      <c r="I371" s="131">
        <v>0.45</v>
      </c>
      <c r="J371" s="263">
        <f>I371*D370</f>
        <v>4.5990000000000002</v>
      </c>
      <c r="K371" s="28">
        <f>152.5/25</f>
        <v>6.1</v>
      </c>
      <c r="L371" s="29">
        <f t="shared" si="64"/>
        <v>28.053899999999999</v>
      </c>
      <c r="M371" s="105" t="s">
        <v>173</v>
      </c>
      <c r="N371" s="5"/>
    </row>
    <row r="372" spans="1:14" s="30" customFormat="1" ht="15" customHeight="1">
      <c r="A372" s="554">
        <f>IF(ISBLANK(D372),"",COUNTA(D$14:D372))</f>
        <v>117</v>
      </c>
      <c r="B372" s="556" t="s">
        <v>112</v>
      </c>
      <c r="C372" s="557" t="s">
        <v>27</v>
      </c>
      <c r="D372" s="558">
        <f>D366</f>
        <v>10.220000000000001</v>
      </c>
      <c r="E372" s="558">
        <f>72.6/1.2*0.07</f>
        <v>4.2350000000000003</v>
      </c>
      <c r="F372" s="558">
        <f>D372*E372</f>
        <v>43.281700000000008</v>
      </c>
      <c r="G372" s="261" t="s">
        <v>17</v>
      </c>
      <c r="H372" s="231" t="s">
        <v>23</v>
      </c>
      <c r="I372" s="131">
        <v>0.05</v>
      </c>
      <c r="J372" s="263">
        <f>I372*D372</f>
        <v>0.51100000000000001</v>
      </c>
      <c r="K372" s="272">
        <f>70/10</f>
        <v>7</v>
      </c>
      <c r="L372" s="29">
        <f t="shared" si="64"/>
        <v>3.577</v>
      </c>
      <c r="M372" s="105" t="s">
        <v>174</v>
      </c>
      <c r="N372" s="5"/>
    </row>
    <row r="373" spans="1:14" s="30" customFormat="1" ht="15" customHeight="1">
      <c r="A373" s="555"/>
      <c r="B373" s="556"/>
      <c r="C373" s="557"/>
      <c r="D373" s="558"/>
      <c r="E373" s="558"/>
      <c r="F373" s="558"/>
      <c r="G373" s="33" t="s">
        <v>46</v>
      </c>
      <c r="H373" s="231" t="s">
        <v>23</v>
      </c>
      <c r="I373" s="132">
        <v>0.13</v>
      </c>
      <c r="J373" s="263">
        <f>I373*D372</f>
        <v>1.3286000000000002</v>
      </c>
      <c r="K373" s="273">
        <f>28.26/1.2*14/10</f>
        <v>32.97</v>
      </c>
      <c r="L373" s="29">
        <f t="shared" si="64"/>
        <v>43.803942000000006</v>
      </c>
      <c r="M373" s="105" t="s">
        <v>175</v>
      </c>
      <c r="N373" s="5"/>
    </row>
    <row r="374" spans="1:14" s="30" customFormat="1" ht="15" customHeight="1">
      <c r="A374" s="554">
        <f>IF(ISBLANK(D374),"",COUNTA(D$14:D374))</f>
        <v>118</v>
      </c>
      <c r="B374" s="556" t="s">
        <v>114</v>
      </c>
      <c r="C374" s="557" t="s">
        <v>27</v>
      </c>
      <c r="D374" s="558">
        <v>5.21</v>
      </c>
      <c r="E374" s="558">
        <f>130.68/1.2</f>
        <v>108.9</v>
      </c>
      <c r="F374" s="558">
        <f>D374*E374</f>
        <v>567.36900000000003</v>
      </c>
      <c r="G374" s="111" t="s">
        <v>36</v>
      </c>
      <c r="H374" s="231" t="s">
        <v>24</v>
      </c>
      <c r="I374" s="131">
        <f>15*0.15</f>
        <v>2.25</v>
      </c>
      <c r="J374" s="263">
        <f>D374*I374</f>
        <v>11.7225</v>
      </c>
      <c r="K374" s="276">
        <f>98/30</f>
        <v>3.2666666666666666</v>
      </c>
      <c r="L374" s="29">
        <f>K374*J374</f>
        <v>38.293500000000002</v>
      </c>
      <c r="M374" s="105" t="s">
        <v>176</v>
      </c>
      <c r="N374" s="5"/>
    </row>
    <row r="375" spans="1:14" s="30" customFormat="1" ht="15" customHeight="1">
      <c r="A375" s="561"/>
      <c r="B375" s="556"/>
      <c r="C375" s="557"/>
      <c r="D375" s="558"/>
      <c r="E375" s="558"/>
      <c r="F375" s="558"/>
      <c r="G375" s="261" t="s">
        <v>12</v>
      </c>
      <c r="H375" s="231" t="s">
        <v>23</v>
      </c>
      <c r="I375" s="131">
        <v>2.8000000000000001E-2</v>
      </c>
      <c r="J375" s="263">
        <f>D374*I375</f>
        <v>0.14588000000000001</v>
      </c>
      <c r="K375" s="124">
        <f>458.33/10</f>
        <v>45.832999999999998</v>
      </c>
      <c r="L375" s="270">
        <f>J375*K375</f>
        <v>6.6861180400000002</v>
      </c>
      <c r="M375" s="271" t="s">
        <v>171</v>
      </c>
      <c r="N375" s="5"/>
    </row>
    <row r="376" spans="1:14" s="30" customFormat="1" ht="15" customHeight="1">
      <c r="A376" s="561"/>
      <c r="B376" s="556"/>
      <c r="C376" s="557"/>
      <c r="D376" s="558"/>
      <c r="E376" s="558"/>
      <c r="F376" s="558"/>
      <c r="G376" s="111" t="s">
        <v>19</v>
      </c>
      <c r="H376" s="231" t="s">
        <v>28</v>
      </c>
      <c r="I376" s="131">
        <f>0.08*(140/250)</f>
        <v>4.4800000000000006E-2</v>
      </c>
      <c r="J376" s="263">
        <f>D374*I376</f>
        <v>0.23340800000000003</v>
      </c>
      <c r="K376" s="28">
        <f>433.35/50</f>
        <v>8.6669999999999998</v>
      </c>
      <c r="L376" s="29">
        <f>K376*J376</f>
        <v>2.0229471360000004</v>
      </c>
      <c r="M376" s="105" t="s">
        <v>177</v>
      </c>
      <c r="N376" s="5"/>
    </row>
    <row r="377" spans="1:14" s="30" customFormat="1" ht="15" customHeight="1">
      <c r="A377" s="555"/>
      <c r="B377" s="556"/>
      <c r="C377" s="557"/>
      <c r="D377" s="558"/>
      <c r="E377" s="558"/>
      <c r="F377" s="558"/>
      <c r="G377" s="111" t="s">
        <v>25</v>
      </c>
      <c r="H377" s="231" t="s">
        <v>45</v>
      </c>
      <c r="I377" s="131">
        <v>1.02</v>
      </c>
      <c r="J377" s="263">
        <f>D374*I377</f>
        <v>5.3142000000000005</v>
      </c>
      <c r="K377" s="28">
        <f>19.17/3</f>
        <v>6.3900000000000006</v>
      </c>
      <c r="L377" s="29">
        <f>J377*K377</f>
        <v>33.957738000000006</v>
      </c>
      <c r="M377" s="105" t="s">
        <v>178</v>
      </c>
      <c r="N377" s="5"/>
    </row>
    <row r="378" spans="1:14" s="30" customFormat="1" ht="15" customHeight="1">
      <c r="A378" s="554">
        <f>IF(ISBLANK(D378),"",COUNTA(D$14:D378))</f>
        <v>119</v>
      </c>
      <c r="B378" s="556" t="s">
        <v>80</v>
      </c>
      <c r="C378" s="557" t="s">
        <v>27</v>
      </c>
      <c r="D378" s="558">
        <f>D374</f>
        <v>5.21</v>
      </c>
      <c r="E378" s="558">
        <f>101.64/1.2*0.15</f>
        <v>12.705</v>
      </c>
      <c r="F378" s="558">
        <f>E378*D378</f>
        <v>66.193049999999999</v>
      </c>
      <c r="G378" s="261" t="s">
        <v>17</v>
      </c>
      <c r="H378" s="231" t="s">
        <v>23</v>
      </c>
      <c r="I378" s="131">
        <v>0.05</v>
      </c>
      <c r="J378" s="263">
        <f>I378*D378</f>
        <v>0.26050000000000001</v>
      </c>
      <c r="K378" s="272">
        <f>70/10</f>
        <v>7</v>
      </c>
      <c r="L378" s="29">
        <f t="shared" ref="L378:L381" si="65">K378*J378</f>
        <v>1.8235000000000001</v>
      </c>
      <c r="M378" s="105" t="s">
        <v>174</v>
      </c>
      <c r="N378" s="5"/>
    </row>
    <row r="379" spans="1:14" s="30" customFormat="1" ht="15" customHeight="1">
      <c r="A379" s="555"/>
      <c r="B379" s="556"/>
      <c r="C379" s="557"/>
      <c r="D379" s="558"/>
      <c r="E379" s="558"/>
      <c r="F379" s="558"/>
      <c r="G379" s="27" t="s">
        <v>16</v>
      </c>
      <c r="H379" s="231" t="s">
        <v>24</v>
      </c>
      <c r="I379" s="131">
        <v>0.45</v>
      </c>
      <c r="J379" s="263">
        <f>I379*D378</f>
        <v>2.3445</v>
      </c>
      <c r="K379" s="28">
        <f>152.5/25</f>
        <v>6.1</v>
      </c>
      <c r="L379" s="29">
        <f t="shared" si="65"/>
        <v>14.301449999999999</v>
      </c>
      <c r="M379" s="105" t="s">
        <v>173</v>
      </c>
      <c r="N379" s="5"/>
    </row>
    <row r="380" spans="1:14" s="30" customFormat="1" ht="15" customHeight="1">
      <c r="A380" s="554">
        <f>IF(ISBLANK(D380),"",COUNTA(D$14:D380))</f>
        <v>120</v>
      </c>
      <c r="B380" s="556" t="s">
        <v>81</v>
      </c>
      <c r="C380" s="557" t="s">
        <v>27</v>
      </c>
      <c r="D380" s="558">
        <f>D374</f>
        <v>5.21</v>
      </c>
      <c r="E380" s="558">
        <f>72.6/1.2*0.15</f>
        <v>9.0749999999999993</v>
      </c>
      <c r="F380" s="558">
        <f>D380*E380</f>
        <v>47.280749999999998</v>
      </c>
      <c r="G380" s="261" t="s">
        <v>17</v>
      </c>
      <c r="H380" s="231" t="s">
        <v>23</v>
      </c>
      <c r="I380" s="131">
        <v>0.05</v>
      </c>
      <c r="J380" s="263">
        <f>I380*D380</f>
        <v>0.26050000000000001</v>
      </c>
      <c r="K380" s="272">
        <f>70/10</f>
        <v>7</v>
      </c>
      <c r="L380" s="29">
        <f t="shared" si="65"/>
        <v>1.8235000000000001</v>
      </c>
      <c r="M380" s="105" t="s">
        <v>174</v>
      </c>
      <c r="N380" s="5"/>
    </row>
    <row r="381" spans="1:14" s="30" customFormat="1" ht="15" customHeight="1">
      <c r="A381" s="555"/>
      <c r="B381" s="556"/>
      <c r="C381" s="557"/>
      <c r="D381" s="558"/>
      <c r="E381" s="558"/>
      <c r="F381" s="558"/>
      <c r="G381" s="33" t="s">
        <v>46</v>
      </c>
      <c r="H381" s="231" t="s">
        <v>23</v>
      </c>
      <c r="I381" s="132">
        <v>0.13</v>
      </c>
      <c r="J381" s="263">
        <f>I381*D380</f>
        <v>0.67730000000000001</v>
      </c>
      <c r="K381" s="273">
        <f>28.26/1.2*14/10</f>
        <v>32.97</v>
      </c>
      <c r="L381" s="29">
        <f t="shared" si="65"/>
        <v>22.330580999999999</v>
      </c>
      <c r="M381" s="105" t="s">
        <v>175</v>
      </c>
      <c r="N381" s="5"/>
    </row>
    <row r="382" spans="1:14" s="30" customFormat="1" ht="15" customHeight="1">
      <c r="A382" s="225">
        <f>IF(ISBLANK(D382),"",COUNTA(D$14:D382))</f>
        <v>121</v>
      </c>
      <c r="B382" s="242" t="s">
        <v>29</v>
      </c>
      <c r="C382" s="235" t="s">
        <v>22</v>
      </c>
      <c r="D382" s="232">
        <v>45.96</v>
      </c>
      <c r="E382" s="249">
        <f>91.8/1.2</f>
        <v>76.5</v>
      </c>
      <c r="F382" s="249">
        <f>E382*D382</f>
        <v>3515.94</v>
      </c>
      <c r="G382" s="33" t="s">
        <v>30</v>
      </c>
      <c r="H382" s="123" t="s">
        <v>45</v>
      </c>
      <c r="I382" s="124">
        <v>1.07</v>
      </c>
      <c r="J382" s="124">
        <f>I382*D382</f>
        <v>49.177200000000006</v>
      </c>
      <c r="K382" s="281">
        <f>6.67/3</f>
        <v>2.2233333333333332</v>
      </c>
      <c r="L382" s="43">
        <f>K382*J382</f>
        <v>109.33730800000001</v>
      </c>
      <c r="M382" s="105" t="s">
        <v>178</v>
      </c>
      <c r="N382" s="5"/>
    </row>
    <row r="383" spans="1:14" s="30" customFormat="1" ht="15" customHeight="1">
      <c r="A383" s="554">
        <f>IF(ISBLANK(D383),"",COUNTA(D$14:D383))</f>
        <v>122</v>
      </c>
      <c r="B383" s="599" t="s">
        <v>115</v>
      </c>
      <c r="C383" s="601" t="s">
        <v>56</v>
      </c>
      <c r="D383" s="601">
        <v>41.5</v>
      </c>
      <c r="E383" s="603">
        <f>22/1.2</f>
        <v>18.333333333333336</v>
      </c>
      <c r="F383" s="605">
        <f>D383*E383</f>
        <v>760.83333333333348</v>
      </c>
      <c r="G383" s="135" t="s">
        <v>72</v>
      </c>
      <c r="H383" s="136" t="s">
        <v>13</v>
      </c>
      <c r="I383" s="137">
        <v>0.2</v>
      </c>
      <c r="J383" s="136">
        <f>I383*0.1*D383</f>
        <v>0.83000000000000018</v>
      </c>
      <c r="K383" s="239">
        <v>3.27</v>
      </c>
      <c r="L383" s="277">
        <f>ROUND(J383*K383,2)</f>
        <v>2.71</v>
      </c>
      <c r="M383" s="105" t="str">
        <f>M375</f>
        <v>рах. 0011607 п. 1</v>
      </c>
      <c r="N383" s="5"/>
    </row>
    <row r="384" spans="1:14" s="30" customFormat="1" ht="15" customHeight="1" thickBot="1">
      <c r="A384" s="555"/>
      <c r="B384" s="600"/>
      <c r="C384" s="602"/>
      <c r="D384" s="602"/>
      <c r="E384" s="604"/>
      <c r="F384" s="606"/>
      <c r="G384" s="138" t="s">
        <v>70</v>
      </c>
      <c r="H384" s="139" t="s">
        <v>56</v>
      </c>
      <c r="I384" s="265">
        <v>1.0149999999999999</v>
      </c>
      <c r="J384" s="140">
        <f>D383*I384</f>
        <v>42.122499999999995</v>
      </c>
      <c r="K384" s="94">
        <f>56/30</f>
        <v>1.8666666666666667</v>
      </c>
      <c r="L384" s="278">
        <f>J384*K384</f>
        <v>78.62866666666666</v>
      </c>
      <c r="M384" s="105" t="s">
        <v>179</v>
      </c>
      <c r="N384" s="5"/>
    </row>
    <row r="385" spans="1:14" s="30" customFormat="1" ht="15" customHeight="1" thickBot="1">
      <c r="A385" s="20"/>
      <c r="B385" s="21" t="s">
        <v>31</v>
      </c>
      <c r="C385" s="22"/>
      <c r="D385" s="23"/>
      <c r="E385" s="141"/>
      <c r="F385" s="141"/>
      <c r="G385" s="22"/>
      <c r="H385" s="207"/>
      <c r="I385" s="142"/>
      <c r="J385" s="142"/>
      <c r="K385" s="142"/>
      <c r="L385" s="143"/>
      <c r="M385" s="107"/>
      <c r="N385" s="5"/>
    </row>
    <row r="386" spans="1:14" s="30" customFormat="1" ht="15" customHeight="1">
      <c r="A386" s="554">
        <f>IF(ISBLANK(D386),"",COUNTA(D$14:D386))</f>
        <v>123</v>
      </c>
      <c r="B386" s="607" t="s">
        <v>117</v>
      </c>
      <c r="C386" s="608" t="s">
        <v>11</v>
      </c>
      <c r="D386" s="609">
        <v>2.68</v>
      </c>
      <c r="E386" s="610">
        <f>110/1.2</f>
        <v>91.666666666666671</v>
      </c>
      <c r="F386" s="610">
        <f>E386*D386</f>
        <v>245.66666666666669</v>
      </c>
      <c r="G386" s="151" t="s">
        <v>156</v>
      </c>
      <c r="H386" s="152" t="s">
        <v>15</v>
      </c>
      <c r="I386" s="153">
        <v>4</v>
      </c>
      <c r="J386" s="154">
        <f>I386*D386</f>
        <v>10.72</v>
      </c>
      <c r="K386" s="155">
        <f>1125/1.2/25</f>
        <v>37.5</v>
      </c>
      <c r="L386" s="154">
        <f>K386*J386</f>
        <v>402</v>
      </c>
      <c r="M386" s="107"/>
      <c r="N386" s="5"/>
    </row>
    <row r="387" spans="1:14" s="30" customFormat="1" ht="15" customHeight="1">
      <c r="A387" s="555"/>
      <c r="B387" s="607"/>
      <c r="C387" s="608"/>
      <c r="D387" s="609"/>
      <c r="E387" s="610"/>
      <c r="F387" s="610"/>
      <c r="G387" s="151" t="s">
        <v>119</v>
      </c>
      <c r="H387" s="266" t="s">
        <v>18</v>
      </c>
      <c r="I387" s="153">
        <v>1.1000000000000001</v>
      </c>
      <c r="J387" s="154">
        <f>I387*D386</f>
        <v>2.9480000000000004</v>
      </c>
      <c r="K387" s="154">
        <v>9.4499999999999993</v>
      </c>
      <c r="L387" s="279">
        <f>K387*J387</f>
        <v>27.858600000000003</v>
      </c>
      <c r="M387" s="275" t="s">
        <v>184</v>
      </c>
      <c r="N387" s="5"/>
    </row>
    <row r="388" spans="1:14" s="30" customFormat="1" ht="15" customHeight="1">
      <c r="A388" s="554">
        <f>IF(ISBLANK(D388),"",COUNTA(D$14:D388))</f>
        <v>124</v>
      </c>
      <c r="B388" s="618" t="s">
        <v>32</v>
      </c>
      <c r="C388" s="579" t="s">
        <v>11</v>
      </c>
      <c r="D388" s="580">
        <f>7.33+54.02+1.71</f>
        <v>63.06</v>
      </c>
      <c r="E388" s="588">
        <f>285.12/1.2</f>
        <v>237.60000000000002</v>
      </c>
      <c r="F388" s="588">
        <f>E388*D388</f>
        <v>14983.056000000002</v>
      </c>
      <c r="G388" s="255" t="s">
        <v>17</v>
      </c>
      <c r="H388" s="123" t="s">
        <v>13</v>
      </c>
      <c r="I388" s="173">
        <v>0.2</v>
      </c>
      <c r="J388" s="124">
        <f>I388*D388</f>
        <v>12.612000000000002</v>
      </c>
      <c r="K388" s="272">
        <f>70/10</f>
        <v>7</v>
      </c>
      <c r="L388" s="29">
        <f t="shared" ref="L388:L389" si="66">K388*J388</f>
        <v>88.28400000000002</v>
      </c>
      <c r="M388" s="105" t="s">
        <v>174</v>
      </c>
      <c r="N388" s="5"/>
    </row>
    <row r="389" spans="1:14" s="30" customFormat="1" ht="15" customHeight="1">
      <c r="A389" s="561"/>
      <c r="B389" s="562"/>
      <c r="C389" s="563"/>
      <c r="D389" s="559"/>
      <c r="E389" s="584"/>
      <c r="F389" s="584"/>
      <c r="G389" s="51" t="s">
        <v>53</v>
      </c>
      <c r="H389" s="123" t="s">
        <v>18</v>
      </c>
      <c r="I389" s="124">
        <v>1.03</v>
      </c>
      <c r="J389" s="124">
        <f>D388*I389</f>
        <v>64.951800000000006</v>
      </c>
      <c r="K389" s="124">
        <f>99.5/1.2</f>
        <v>82.916666666666671</v>
      </c>
      <c r="L389" s="156">
        <f t="shared" si="66"/>
        <v>5385.5867500000004</v>
      </c>
      <c r="M389" s="105" t="s">
        <v>186</v>
      </c>
      <c r="N389" s="5"/>
    </row>
    <row r="390" spans="1:14" s="30" customFormat="1" ht="15" customHeight="1">
      <c r="A390" s="561"/>
      <c r="B390" s="562"/>
      <c r="C390" s="563"/>
      <c r="D390" s="559"/>
      <c r="E390" s="584"/>
      <c r="F390" s="584"/>
      <c r="G390" s="27" t="s">
        <v>33</v>
      </c>
      <c r="H390" s="123" t="s">
        <v>15</v>
      </c>
      <c r="I390" s="124">
        <v>6.5</v>
      </c>
      <c r="J390" s="124">
        <f>D388*I390</f>
        <v>409.89</v>
      </c>
      <c r="K390" s="124">
        <f>77.1/25/1.2</f>
        <v>2.57</v>
      </c>
      <c r="L390" s="156">
        <f t="shared" ref="L390:L395" si="67">K390*J390</f>
        <v>1053.4172999999998</v>
      </c>
      <c r="M390" s="105" t="s">
        <v>181</v>
      </c>
      <c r="N390" s="5"/>
    </row>
    <row r="391" spans="1:14" s="30" customFormat="1" ht="15" customHeight="1">
      <c r="A391" s="555"/>
      <c r="B391" s="562"/>
      <c r="C391" s="563"/>
      <c r="D391" s="559"/>
      <c r="E391" s="584"/>
      <c r="F391" s="584"/>
      <c r="G391" s="27" t="s">
        <v>34</v>
      </c>
      <c r="H391" s="123" t="s">
        <v>15</v>
      </c>
      <c r="I391" s="124">
        <v>0.45400000000000001</v>
      </c>
      <c r="J391" s="124">
        <f>D388*I391</f>
        <v>28.629240000000003</v>
      </c>
      <c r="K391" s="124">
        <f>54.08/2</f>
        <v>27.04</v>
      </c>
      <c r="L391" s="156">
        <f t="shared" si="67"/>
        <v>774.1346496000001</v>
      </c>
      <c r="M391" s="105" t="s">
        <v>182</v>
      </c>
      <c r="N391" s="5"/>
    </row>
    <row r="392" spans="1:14" s="30" customFormat="1" ht="15" customHeight="1">
      <c r="A392" s="554">
        <f>IF(ISBLANK(D392),"",COUNTA(D$14:D392))</f>
        <v>125</v>
      </c>
      <c r="B392" s="564" t="s">
        <v>137</v>
      </c>
      <c r="C392" s="565" t="s">
        <v>27</v>
      </c>
      <c r="D392" s="560">
        <f>8.92+49.95+4.81</f>
        <v>63.680000000000007</v>
      </c>
      <c r="E392" s="585">
        <f>79.86/1.2</f>
        <v>66.55</v>
      </c>
      <c r="F392" s="585">
        <f>E392*D392</f>
        <v>4237.9040000000005</v>
      </c>
      <c r="G392" s="234" t="s">
        <v>17</v>
      </c>
      <c r="H392" s="123" t="s">
        <v>23</v>
      </c>
      <c r="I392" s="124">
        <v>0.02</v>
      </c>
      <c r="J392" s="124">
        <f>I392*D392</f>
        <v>1.2736000000000001</v>
      </c>
      <c r="K392" s="272">
        <f>70/10</f>
        <v>7</v>
      </c>
      <c r="L392" s="29">
        <f t="shared" si="67"/>
        <v>8.9152000000000005</v>
      </c>
      <c r="M392" s="105" t="s">
        <v>174</v>
      </c>
      <c r="N392" s="5"/>
    </row>
    <row r="393" spans="1:14" s="30" customFormat="1" ht="15" customHeight="1">
      <c r="A393" s="561"/>
      <c r="B393" s="637"/>
      <c r="C393" s="630"/>
      <c r="D393" s="631"/>
      <c r="E393" s="628"/>
      <c r="F393" s="628"/>
      <c r="G393" s="51" t="s">
        <v>53</v>
      </c>
      <c r="H393" s="123" t="s">
        <v>28</v>
      </c>
      <c r="I393" s="124">
        <v>0.11</v>
      </c>
      <c r="J393" s="124">
        <f>D392*I393</f>
        <v>7.0048000000000004</v>
      </c>
      <c r="K393" s="124">
        <f>99.5/1.2</f>
        <v>82.916666666666671</v>
      </c>
      <c r="L393" s="156">
        <f t="shared" si="67"/>
        <v>580.81466666666677</v>
      </c>
      <c r="M393" s="105" t="s">
        <v>186</v>
      </c>
      <c r="N393" s="5"/>
    </row>
    <row r="394" spans="1:14" s="30" customFormat="1" ht="15" customHeight="1">
      <c r="A394" s="561"/>
      <c r="B394" s="637"/>
      <c r="C394" s="630"/>
      <c r="D394" s="631"/>
      <c r="E394" s="628"/>
      <c r="F394" s="628"/>
      <c r="G394" s="27" t="s">
        <v>33</v>
      </c>
      <c r="H394" s="123" t="s">
        <v>24</v>
      </c>
      <c r="I394" s="124">
        <v>0.65</v>
      </c>
      <c r="J394" s="124">
        <f>D392*I394</f>
        <v>41.392000000000003</v>
      </c>
      <c r="K394" s="124">
        <f>77.1/25/1.2</f>
        <v>2.57</v>
      </c>
      <c r="L394" s="156">
        <f t="shared" si="67"/>
        <v>106.37744000000001</v>
      </c>
      <c r="M394" s="105" t="s">
        <v>181</v>
      </c>
      <c r="N394" s="5"/>
    </row>
    <row r="395" spans="1:14" s="30" customFormat="1" ht="15" customHeight="1" thickBot="1">
      <c r="A395" s="555"/>
      <c r="B395" s="655"/>
      <c r="C395" s="656"/>
      <c r="D395" s="657"/>
      <c r="E395" s="658"/>
      <c r="F395" s="658"/>
      <c r="G395" s="27" t="s">
        <v>34</v>
      </c>
      <c r="H395" s="123" t="s">
        <v>24</v>
      </c>
      <c r="I395" s="124">
        <v>0.04</v>
      </c>
      <c r="J395" s="124">
        <f>D392*I395</f>
        <v>2.5472000000000001</v>
      </c>
      <c r="K395" s="124">
        <f>54.08/2</f>
        <v>27.04</v>
      </c>
      <c r="L395" s="156">
        <f t="shared" si="67"/>
        <v>68.876288000000002</v>
      </c>
      <c r="M395" s="105" t="s">
        <v>182</v>
      </c>
      <c r="N395" s="5"/>
    </row>
    <row r="396" spans="1:14" s="30" customFormat="1" ht="15" customHeight="1" thickBot="1">
      <c r="A396" s="204"/>
      <c r="B396" s="205" t="s">
        <v>157</v>
      </c>
      <c r="C396" s="21"/>
      <c r="D396" s="206"/>
      <c r="E396" s="141"/>
      <c r="F396" s="141"/>
      <c r="G396" s="21"/>
      <c r="H396" s="207"/>
      <c r="I396" s="142"/>
      <c r="J396" s="142"/>
      <c r="K396" s="142"/>
      <c r="L396" s="170"/>
      <c r="M396" s="107"/>
      <c r="N396" s="5"/>
    </row>
    <row r="397" spans="1:14" s="30" customFormat="1" ht="15" customHeight="1" thickBot="1">
      <c r="A397" s="20"/>
      <c r="B397" s="21" t="s">
        <v>10</v>
      </c>
      <c r="C397" s="21"/>
      <c r="D397" s="23"/>
      <c r="E397" s="141"/>
      <c r="F397" s="141"/>
      <c r="G397" s="22"/>
      <c r="H397" s="207"/>
      <c r="I397" s="142"/>
      <c r="J397" s="142"/>
      <c r="K397" s="142"/>
      <c r="L397" s="170"/>
      <c r="M397" s="107"/>
      <c r="N397" s="5"/>
    </row>
    <row r="398" spans="1:14" s="30" customFormat="1" ht="15" customHeight="1">
      <c r="A398" s="554">
        <f>IF(ISBLANK(D398),"",COUNTA(D$14:D398))</f>
        <v>126</v>
      </c>
      <c r="B398" s="618" t="s">
        <v>169</v>
      </c>
      <c r="C398" s="579" t="s">
        <v>11</v>
      </c>
      <c r="D398" s="580">
        <f>9.86+9.35+9.86+9.47+372.55+308.16+7.76+6.43+13.36</f>
        <v>746.8</v>
      </c>
      <c r="E398" s="588">
        <f>240/1.2</f>
        <v>200</v>
      </c>
      <c r="F398" s="588">
        <f>E398*D398</f>
        <v>149360</v>
      </c>
      <c r="G398" s="234" t="s">
        <v>12</v>
      </c>
      <c r="H398" s="123" t="s">
        <v>13</v>
      </c>
      <c r="I398" s="124">
        <v>0.2</v>
      </c>
      <c r="J398" s="124">
        <f>D398*I398</f>
        <v>149.35999999999999</v>
      </c>
      <c r="K398" s="124">
        <f>458.33/10</f>
        <v>45.832999999999998</v>
      </c>
      <c r="L398" s="270">
        <f>J398*K398</f>
        <v>6845.6168799999987</v>
      </c>
      <c r="M398" s="271" t="s">
        <v>171</v>
      </c>
      <c r="N398" s="5"/>
    </row>
    <row r="399" spans="1:14" s="30" customFormat="1" ht="15" customHeight="1">
      <c r="A399" s="561"/>
      <c r="B399" s="562"/>
      <c r="C399" s="563"/>
      <c r="D399" s="559"/>
      <c r="E399" s="584"/>
      <c r="F399" s="584"/>
      <c r="G399" s="27" t="s">
        <v>14</v>
      </c>
      <c r="H399" s="123" t="s">
        <v>15</v>
      </c>
      <c r="I399" s="124">
        <v>3.2</v>
      </c>
      <c r="J399" s="124">
        <f>D398*I399</f>
        <v>2389.7599999999998</v>
      </c>
      <c r="K399" s="28">
        <v>3</v>
      </c>
      <c r="L399" s="29">
        <f t="shared" ref="L399:L402" si="68">K399*J399</f>
        <v>7169.2799999999988</v>
      </c>
      <c r="M399" s="105" t="s">
        <v>172</v>
      </c>
      <c r="N399" s="5"/>
    </row>
    <row r="400" spans="1:14" s="30" customFormat="1" ht="15" customHeight="1">
      <c r="A400" s="561"/>
      <c r="B400" s="562"/>
      <c r="C400" s="563"/>
      <c r="D400" s="559"/>
      <c r="E400" s="584"/>
      <c r="F400" s="584"/>
      <c r="G400" s="27" t="s">
        <v>16</v>
      </c>
      <c r="H400" s="123" t="s">
        <v>15</v>
      </c>
      <c r="I400" s="124">
        <v>1.8</v>
      </c>
      <c r="J400" s="124">
        <f>D398*I400</f>
        <v>1344.24</v>
      </c>
      <c r="K400" s="28">
        <f>152.5/25</f>
        <v>6.1</v>
      </c>
      <c r="L400" s="29">
        <f t="shared" si="68"/>
        <v>8199.8639999999996</v>
      </c>
      <c r="M400" s="105" t="s">
        <v>173</v>
      </c>
      <c r="N400" s="5"/>
    </row>
    <row r="401" spans="1:14" s="30" customFormat="1" ht="15" customHeight="1">
      <c r="A401" s="659">
        <f>IF(ISBLANK(D401),"",COUNTA(D$14:D401))</f>
        <v>127</v>
      </c>
      <c r="B401" s="576" t="s">
        <v>158</v>
      </c>
      <c r="C401" s="563" t="s">
        <v>11</v>
      </c>
      <c r="D401" s="559">
        <f>D398</f>
        <v>746.8</v>
      </c>
      <c r="E401" s="584">
        <f>87.12/1.2</f>
        <v>72.600000000000009</v>
      </c>
      <c r="F401" s="584">
        <f>E401*D401</f>
        <v>54217.68</v>
      </c>
      <c r="G401" s="234" t="s">
        <v>17</v>
      </c>
      <c r="H401" s="123" t="s">
        <v>13</v>
      </c>
      <c r="I401" s="124">
        <v>0.2</v>
      </c>
      <c r="J401" s="124">
        <f>I401*D401</f>
        <v>149.35999999999999</v>
      </c>
      <c r="K401" s="272">
        <f>70/10</f>
        <v>7</v>
      </c>
      <c r="L401" s="29">
        <f t="shared" si="68"/>
        <v>1045.52</v>
      </c>
      <c r="M401" s="105" t="s">
        <v>174</v>
      </c>
      <c r="N401" s="5"/>
    </row>
    <row r="402" spans="1:14" s="30" customFormat="1" ht="15" customHeight="1" thickBot="1">
      <c r="A402" s="659"/>
      <c r="B402" s="576"/>
      <c r="C402" s="563"/>
      <c r="D402" s="559"/>
      <c r="E402" s="584"/>
      <c r="F402" s="584"/>
      <c r="G402" s="33" t="s">
        <v>46</v>
      </c>
      <c r="H402" s="123" t="s">
        <v>15</v>
      </c>
      <c r="I402" s="130">
        <v>0.3</v>
      </c>
      <c r="J402" s="124">
        <f>D401*I402</f>
        <v>224.04</v>
      </c>
      <c r="K402" s="280">
        <f>28.26/1.2*14/10</f>
        <v>32.97</v>
      </c>
      <c r="L402" s="29">
        <f t="shared" si="68"/>
        <v>7386.5987999999998</v>
      </c>
      <c r="M402" s="105" t="s">
        <v>175</v>
      </c>
      <c r="N402" s="5"/>
    </row>
    <row r="403" spans="1:14" s="30" customFormat="1" ht="15" customHeight="1" thickBot="1">
      <c r="A403" s="20"/>
      <c r="B403" s="21" t="s">
        <v>20</v>
      </c>
      <c r="C403" s="21"/>
      <c r="D403" s="23"/>
      <c r="E403" s="141"/>
      <c r="F403" s="141"/>
      <c r="G403" s="22"/>
      <c r="H403" s="207"/>
      <c r="I403" s="142"/>
      <c r="J403" s="142"/>
      <c r="K403" s="142"/>
      <c r="L403" s="170"/>
      <c r="M403" s="107"/>
      <c r="N403" s="5"/>
    </row>
    <row r="404" spans="1:14" s="30" customFormat="1" ht="15" customHeight="1">
      <c r="A404" s="561">
        <f>IF(ISBLANK(D404),"",COUNTA(D$14:D404))</f>
        <v>128</v>
      </c>
      <c r="B404" s="586" t="s">
        <v>60</v>
      </c>
      <c r="C404" s="579" t="s">
        <v>11</v>
      </c>
      <c r="D404" s="660">
        <f>91.54+1569.11+73.37+28.95+32.05</f>
        <v>1795.02</v>
      </c>
      <c r="E404" s="662">
        <f>210.54/1.2</f>
        <v>175.45</v>
      </c>
      <c r="F404" s="662">
        <f>E404*D404</f>
        <v>314936.25899999996</v>
      </c>
      <c r="G404" s="203" t="s">
        <v>36</v>
      </c>
      <c r="H404" s="175" t="s">
        <v>15</v>
      </c>
      <c r="I404" s="173">
        <v>15</v>
      </c>
      <c r="J404" s="173">
        <f>D404*I404</f>
        <v>26925.3</v>
      </c>
      <c r="K404" s="272">
        <f>98/30</f>
        <v>3.2666666666666666</v>
      </c>
      <c r="L404" s="29">
        <f>K404*J404</f>
        <v>87955.98</v>
      </c>
      <c r="M404" s="105" t="s">
        <v>176</v>
      </c>
      <c r="N404" s="5"/>
    </row>
    <row r="405" spans="1:14" s="30" customFormat="1" ht="15" customHeight="1">
      <c r="A405" s="561"/>
      <c r="B405" s="576"/>
      <c r="C405" s="563"/>
      <c r="D405" s="661"/>
      <c r="E405" s="663"/>
      <c r="F405" s="663"/>
      <c r="G405" s="27" t="s">
        <v>12</v>
      </c>
      <c r="H405" s="123" t="s">
        <v>15</v>
      </c>
      <c r="I405" s="124">
        <v>0.35</v>
      </c>
      <c r="J405" s="124">
        <f>I405*D404</f>
        <v>628.25699999999995</v>
      </c>
      <c r="K405" s="124">
        <f>458.33/10</f>
        <v>45.832999999999998</v>
      </c>
      <c r="L405" s="270">
        <f>J405*K405</f>
        <v>28794.903080999997</v>
      </c>
      <c r="M405" s="271" t="s">
        <v>171</v>
      </c>
      <c r="N405" s="5"/>
    </row>
    <row r="406" spans="1:14" s="30" customFormat="1" ht="15" customHeight="1">
      <c r="A406" s="561"/>
      <c r="B406" s="576"/>
      <c r="C406" s="563"/>
      <c r="D406" s="661"/>
      <c r="E406" s="663"/>
      <c r="F406" s="663"/>
      <c r="G406" s="27" t="s">
        <v>19</v>
      </c>
      <c r="H406" s="123" t="s">
        <v>18</v>
      </c>
      <c r="I406" s="124">
        <v>0.28999999999999998</v>
      </c>
      <c r="J406" s="124">
        <f>D404*I406</f>
        <v>520.55579999999998</v>
      </c>
      <c r="K406" s="28">
        <f>433.35/50</f>
        <v>8.6669999999999998</v>
      </c>
      <c r="L406" s="29">
        <f>K406*J406</f>
        <v>4511.6571186000001</v>
      </c>
      <c r="M406" s="105" t="s">
        <v>177</v>
      </c>
      <c r="N406" s="5"/>
    </row>
    <row r="407" spans="1:14" s="30" customFormat="1" ht="15" customHeight="1">
      <c r="A407" s="555"/>
      <c r="B407" s="587"/>
      <c r="C407" s="563"/>
      <c r="D407" s="661"/>
      <c r="E407" s="663"/>
      <c r="F407" s="663"/>
      <c r="G407" s="27" t="s">
        <v>25</v>
      </c>
      <c r="H407" s="128" t="s">
        <v>58</v>
      </c>
      <c r="I407" s="124">
        <v>0.7</v>
      </c>
      <c r="J407" s="124">
        <f>I407*D404</f>
        <v>1256.5139999999999</v>
      </c>
      <c r="K407" s="28">
        <f>19.17/3</f>
        <v>6.3900000000000006</v>
      </c>
      <c r="L407" s="29">
        <f>J407*K407</f>
        <v>8029.12446</v>
      </c>
      <c r="M407" s="105" t="s">
        <v>178</v>
      </c>
      <c r="N407" s="5"/>
    </row>
    <row r="408" spans="1:14" s="30" customFormat="1" ht="15" customHeight="1">
      <c r="A408" s="554">
        <f>IF(ISBLANK(D408),"",COUNTA(D$14:D408))</f>
        <v>129</v>
      </c>
      <c r="B408" s="576" t="s">
        <v>57</v>
      </c>
      <c r="C408" s="565" t="s">
        <v>11</v>
      </c>
      <c r="D408" s="560">
        <f>28.88+11.47</f>
        <v>40.35</v>
      </c>
      <c r="E408" s="585">
        <f>210.54/1.2</f>
        <v>175.45</v>
      </c>
      <c r="F408" s="585">
        <f>E408*D408</f>
        <v>7079.4074999999993</v>
      </c>
      <c r="G408" s="27" t="s">
        <v>36</v>
      </c>
      <c r="H408" s="123" t="s">
        <v>15</v>
      </c>
      <c r="I408" s="124">
        <v>17.5</v>
      </c>
      <c r="J408" s="124">
        <f>D408*I408</f>
        <v>706.125</v>
      </c>
      <c r="K408" s="272">
        <f>98/30</f>
        <v>3.2666666666666666</v>
      </c>
      <c r="L408" s="29">
        <f>K408*J408</f>
        <v>2306.6750000000002</v>
      </c>
      <c r="M408" s="105" t="s">
        <v>176</v>
      </c>
      <c r="N408" s="5"/>
    </row>
    <row r="409" spans="1:14" s="30" customFormat="1" ht="15" customHeight="1">
      <c r="A409" s="561"/>
      <c r="B409" s="576"/>
      <c r="C409" s="630"/>
      <c r="D409" s="631"/>
      <c r="E409" s="628"/>
      <c r="F409" s="628"/>
      <c r="G409" s="234" t="s">
        <v>17</v>
      </c>
      <c r="H409" s="123" t="s">
        <v>23</v>
      </c>
      <c r="I409" s="124">
        <v>0.2</v>
      </c>
      <c r="J409" s="124">
        <f>D408*I409</f>
        <v>8.07</v>
      </c>
      <c r="K409" s="272">
        <f>70/10</f>
        <v>7</v>
      </c>
      <c r="L409" s="29">
        <f t="shared" ref="L409" si="69">K409*J409</f>
        <v>56.49</v>
      </c>
      <c r="M409" s="105" t="s">
        <v>174</v>
      </c>
      <c r="N409" s="5"/>
    </row>
    <row r="410" spans="1:14" s="30" customFormat="1" ht="15" customHeight="1">
      <c r="A410" s="561"/>
      <c r="B410" s="576"/>
      <c r="C410" s="630"/>
      <c r="D410" s="631"/>
      <c r="E410" s="628"/>
      <c r="F410" s="628"/>
      <c r="G410" s="27" t="s">
        <v>19</v>
      </c>
      <c r="H410" s="123" t="s">
        <v>18</v>
      </c>
      <c r="I410" s="124">
        <v>0.28999999999999998</v>
      </c>
      <c r="J410" s="124">
        <f>D408*I410</f>
        <v>11.701499999999999</v>
      </c>
      <c r="K410" s="28">
        <f>433.35/50</f>
        <v>8.6669999999999998</v>
      </c>
      <c r="L410" s="29">
        <f>K410*J410</f>
        <v>101.4169005</v>
      </c>
      <c r="M410" s="105" t="s">
        <v>177</v>
      </c>
      <c r="N410" s="5"/>
    </row>
    <row r="411" spans="1:14" s="30" customFormat="1" ht="15" customHeight="1">
      <c r="A411" s="555"/>
      <c r="B411" s="576"/>
      <c r="C411" s="579"/>
      <c r="D411" s="580"/>
      <c r="E411" s="588"/>
      <c r="F411" s="588"/>
      <c r="G411" s="27" t="s">
        <v>25</v>
      </c>
      <c r="H411" s="123" t="s">
        <v>58</v>
      </c>
      <c r="I411" s="124">
        <v>0.7</v>
      </c>
      <c r="J411" s="124">
        <f>I411*D408</f>
        <v>28.244999999999997</v>
      </c>
      <c r="K411" s="28">
        <f>19.17/3</f>
        <v>6.3900000000000006</v>
      </c>
      <c r="L411" s="29">
        <f>J411*K411</f>
        <v>180.48554999999999</v>
      </c>
      <c r="M411" s="105" t="s">
        <v>178</v>
      </c>
      <c r="N411" s="5"/>
    </row>
    <row r="412" spans="1:14" s="30" customFormat="1" ht="15" customHeight="1">
      <c r="A412" s="619">
        <f>IF(ISBLANK(D412),"",COUNTA(D$14:D412))</f>
        <v>130</v>
      </c>
      <c r="B412" s="621" t="s">
        <v>129</v>
      </c>
      <c r="C412" s="622" t="s">
        <v>11</v>
      </c>
      <c r="D412" s="623">
        <f>18.98+334.88+16.22*2+17.78</f>
        <v>404.08000000000004</v>
      </c>
      <c r="E412" s="623">
        <f>174.24/1.2</f>
        <v>145.20000000000002</v>
      </c>
      <c r="F412" s="623">
        <f>E412*D412</f>
        <v>58672.416000000012</v>
      </c>
      <c r="G412" s="256" t="s">
        <v>17</v>
      </c>
      <c r="H412" s="123" t="s">
        <v>13</v>
      </c>
      <c r="I412" s="176">
        <v>0.2</v>
      </c>
      <c r="J412" s="176">
        <f>I412*D412</f>
        <v>80.816000000000017</v>
      </c>
      <c r="K412" s="272">
        <f>70/10</f>
        <v>7</v>
      </c>
      <c r="L412" s="29">
        <f t="shared" ref="L412" si="70">K412*J412</f>
        <v>565.7120000000001</v>
      </c>
      <c r="M412" s="105" t="s">
        <v>174</v>
      </c>
      <c r="N412" s="5"/>
    </row>
    <row r="413" spans="1:14" s="30" customFormat="1" ht="15" customHeight="1">
      <c r="A413" s="620"/>
      <c r="B413" s="621"/>
      <c r="C413" s="622"/>
      <c r="D413" s="623"/>
      <c r="E413" s="623"/>
      <c r="F413" s="623"/>
      <c r="G413" s="177" t="s">
        <v>130</v>
      </c>
      <c r="H413" s="178" t="s">
        <v>18</v>
      </c>
      <c r="I413" s="176">
        <v>1.05</v>
      </c>
      <c r="J413" s="176">
        <f>D412*I413</f>
        <v>424.28400000000005</v>
      </c>
      <c r="K413" s="176">
        <v>71.459999999999994</v>
      </c>
      <c r="L413" s="176">
        <f>J413*K413</f>
        <v>30319.334640000001</v>
      </c>
      <c r="M413" s="107"/>
      <c r="N413" s="5"/>
    </row>
    <row r="414" spans="1:14" s="30" customFormat="1" ht="15" customHeight="1">
      <c r="A414" s="620"/>
      <c r="B414" s="621"/>
      <c r="C414" s="622"/>
      <c r="D414" s="623"/>
      <c r="E414" s="623"/>
      <c r="F414" s="623"/>
      <c r="G414" s="256" t="s">
        <v>131</v>
      </c>
      <c r="H414" s="178" t="s">
        <v>15</v>
      </c>
      <c r="I414" s="176">
        <v>6</v>
      </c>
      <c r="J414" s="176">
        <f>D412*I414</f>
        <v>2424.4800000000005</v>
      </c>
      <c r="K414" s="176">
        <v>2.87</v>
      </c>
      <c r="L414" s="176">
        <f>J414*K414</f>
        <v>6958.2576000000017</v>
      </c>
      <c r="M414" s="107"/>
      <c r="N414" s="5"/>
    </row>
    <row r="415" spans="1:14" s="30" customFormat="1" ht="15" customHeight="1">
      <c r="A415" s="620"/>
      <c r="B415" s="621"/>
      <c r="C415" s="622"/>
      <c r="D415" s="623"/>
      <c r="E415" s="623"/>
      <c r="F415" s="623"/>
      <c r="G415" s="177" t="s">
        <v>132</v>
      </c>
      <c r="H415" s="178" t="s">
        <v>88</v>
      </c>
      <c r="I415" s="176">
        <v>5</v>
      </c>
      <c r="J415" s="176">
        <f>D412*I415</f>
        <v>2020.4</v>
      </c>
      <c r="K415" s="124">
        <f>95.34/1.2/50</f>
        <v>1.589</v>
      </c>
      <c r="L415" s="125">
        <f>J415*K415</f>
        <v>3210.4156000000003</v>
      </c>
      <c r="M415" s="275" t="s">
        <v>185</v>
      </c>
      <c r="N415" s="5"/>
    </row>
    <row r="416" spans="1:14" s="30" customFormat="1" ht="15" customHeight="1">
      <c r="A416" s="620"/>
      <c r="B416" s="621"/>
      <c r="C416" s="622"/>
      <c r="D416" s="623"/>
      <c r="E416" s="623"/>
      <c r="F416" s="623"/>
      <c r="G416" s="177" t="s">
        <v>19</v>
      </c>
      <c r="H416" s="178" t="s">
        <v>18</v>
      </c>
      <c r="I416" s="176">
        <v>1.1000000000000001</v>
      </c>
      <c r="J416" s="176">
        <f>D412*I416</f>
        <v>444.48800000000006</v>
      </c>
      <c r="K416" s="28">
        <f>433.35/50</f>
        <v>8.6669999999999998</v>
      </c>
      <c r="L416" s="29">
        <f>K416*J416</f>
        <v>3852.3774960000005</v>
      </c>
      <c r="M416" s="105" t="s">
        <v>177</v>
      </c>
      <c r="N416" s="5"/>
    </row>
    <row r="417" spans="1:14" s="30" customFormat="1" ht="15" customHeight="1">
      <c r="A417" s="620"/>
      <c r="B417" s="621"/>
      <c r="C417" s="622"/>
      <c r="D417" s="623"/>
      <c r="E417" s="623"/>
      <c r="F417" s="623"/>
      <c r="G417" s="256" t="s">
        <v>133</v>
      </c>
      <c r="H417" s="178" t="s">
        <v>15</v>
      </c>
      <c r="I417" s="176">
        <v>5.5</v>
      </c>
      <c r="J417" s="176">
        <f>D412*I417</f>
        <v>2222.44</v>
      </c>
      <c r="K417" s="176">
        <v>3.65</v>
      </c>
      <c r="L417" s="176">
        <f>J417*K417</f>
        <v>8111.9059999999999</v>
      </c>
      <c r="M417" s="107"/>
      <c r="N417" s="5"/>
    </row>
    <row r="418" spans="1:14" s="30" customFormat="1" ht="15" customHeight="1">
      <c r="A418" s="554">
        <f>IF(ISBLANK(D418),"",COUNTA(D$14:D418))</f>
        <v>131</v>
      </c>
      <c r="B418" s="576" t="s">
        <v>134</v>
      </c>
      <c r="C418" s="563" t="s">
        <v>11</v>
      </c>
      <c r="D418" s="559">
        <f>D412</f>
        <v>404.08000000000004</v>
      </c>
      <c r="E418" s="584">
        <f>159.72/1.2</f>
        <v>133.1</v>
      </c>
      <c r="F418" s="584">
        <f>E418*D418</f>
        <v>53783.048000000003</v>
      </c>
      <c r="G418" s="234" t="s">
        <v>17</v>
      </c>
      <c r="H418" s="123" t="s">
        <v>13</v>
      </c>
      <c r="I418" s="124">
        <v>0.2</v>
      </c>
      <c r="J418" s="124">
        <f>I418*D418</f>
        <v>80.816000000000017</v>
      </c>
      <c r="K418" s="272">
        <f>70/10</f>
        <v>7</v>
      </c>
      <c r="L418" s="29">
        <f t="shared" ref="L418" si="71">K418*J418</f>
        <v>565.7120000000001</v>
      </c>
      <c r="M418" s="105" t="s">
        <v>174</v>
      </c>
      <c r="N418" s="5"/>
    </row>
    <row r="419" spans="1:14" s="30" customFormat="1" ht="15" customHeight="1">
      <c r="A419" s="561"/>
      <c r="B419" s="576"/>
      <c r="C419" s="563"/>
      <c r="D419" s="559"/>
      <c r="E419" s="584"/>
      <c r="F419" s="584"/>
      <c r="G419" s="27" t="s">
        <v>14</v>
      </c>
      <c r="H419" s="123" t="s">
        <v>15</v>
      </c>
      <c r="I419" s="124">
        <v>3.2</v>
      </c>
      <c r="J419" s="124">
        <f>D418*I419</f>
        <v>1293.0560000000003</v>
      </c>
      <c r="K419" s="28">
        <v>3</v>
      </c>
      <c r="L419" s="29">
        <f t="shared" ref="L419:L422" si="72">K419*J419</f>
        <v>3879.1680000000006</v>
      </c>
      <c r="M419" s="105" t="s">
        <v>172</v>
      </c>
      <c r="N419" s="5"/>
    </row>
    <row r="420" spans="1:14" s="30" customFormat="1" ht="15" customHeight="1">
      <c r="A420" s="561"/>
      <c r="B420" s="576"/>
      <c r="C420" s="563"/>
      <c r="D420" s="559"/>
      <c r="E420" s="584"/>
      <c r="F420" s="584"/>
      <c r="G420" s="234" t="s">
        <v>17</v>
      </c>
      <c r="H420" s="123" t="s">
        <v>13</v>
      </c>
      <c r="I420" s="124">
        <v>0.2</v>
      </c>
      <c r="J420" s="124">
        <f>I420*D418</f>
        <v>80.816000000000017</v>
      </c>
      <c r="K420" s="272">
        <f>70/10</f>
        <v>7</v>
      </c>
      <c r="L420" s="29">
        <f t="shared" si="72"/>
        <v>565.7120000000001</v>
      </c>
      <c r="M420" s="105" t="s">
        <v>174</v>
      </c>
      <c r="N420" s="5"/>
    </row>
    <row r="421" spans="1:14" s="30" customFormat="1" ht="15" customHeight="1">
      <c r="A421" s="555"/>
      <c r="B421" s="576"/>
      <c r="C421" s="563"/>
      <c r="D421" s="559"/>
      <c r="E421" s="584"/>
      <c r="F421" s="584"/>
      <c r="G421" s="27" t="s">
        <v>16</v>
      </c>
      <c r="H421" s="123" t="s">
        <v>15</v>
      </c>
      <c r="I421" s="124">
        <v>1.8</v>
      </c>
      <c r="J421" s="124">
        <f>I421*D418</f>
        <v>727.34400000000005</v>
      </c>
      <c r="K421" s="28">
        <f>152.5/25</f>
        <v>6.1</v>
      </c>
      <c r="L421" s="29">
        <f t="shared" si="72"/>
        <v>4436.7983999999997</v>
      </c>
      <c r="M421" s="105" t="s">
        <v>173</v>
      </c>
      <c r="N421" s="5"/>
    </row>
    <row r="422" spans="1:14" s="30" customFormat="1" ht="15" customHeight="1">
      <c r="A422" s="554">
        <f>IF(ISBLANK(D422),"",COUNTA(D$14:D422))</f>
        <v>132</v>
      </c>
      <c r="B422" s="576" t="s">
        <v>159</v>
      </c>
      <c r="C422" s="563" t="s">
        <v>11</v>
      </c>
      <c r="D422" s="559">
        <f>66.26+60.06+1868.88+43.31+47.76</f>
        <v>2086.27</v>
      </c>
      <c r="E422" s="584">
        <f>101.64/1.2</f>
        <v>84.7</v>
      </c>
      <c r="F422" s="584">
        <f>E422*D422</f>
        <v>176707.06900000002</v>
      </c>
      <c r="G422" s="234" t="s">
        <v>17</v>
      </c>
      <c r="H422" s="123" t="s">
        <v>13</v>
      </c>
      <c r="I422" s="124">
        <v>0.2</v>
      </c>
      <c r="J422" s="124">
        <f>D422*I422</f>
        <v>417.25400000000002</v>
      </c>
      <c r="K422" s="272">
        <f>70/10</f>
        <v>7</v>
      </c>
      <c r="L422" s="29">
        <f t="shared" si="72"/>
        <v>2920.7780000000002</v>
      </c>
      <c r="M422" s="105" t="s">
        <v>174</v>
      </c>
      <c r="N422" s="5"/>
    </row>
    <row r="423" spans="1:14" s="30" customFormat="1" ht="15" customHeight="1">
      <c r="A423" s="555"/>
      <c r="B423" s="576"/>
      <c r="C423" s="563"/>
      <c r="D423" s="559"/>
      <c r="E423" s="584"/>
      <c r="F423" s="584"/>
      <c r="G423" s="27" t="s">
        <v>16</v>
      </c>
      <c r="H423" s="123" t="s">
        <v>15</v>
      </c>
      <c r="I423" s="124">
        <v>1.8</v>
      </c>
      <c r="J423" s="124">
        <f>I423*D422</f>
        <v>3755.2860000000001</v>
      </c>
      <c r="K423" s="28">
        <f>152.5/25</f>
        <v>6.1</v>
      </c>
      <c r="L423" s="29">
        <f t="shared" ref="L423:L425" si="73">K423*J423</f>
        <v>22907.244599999998</v>
      </c>
      <c r="M423" s="105" t="s">
        <v>173</v>
      </c>
      <c r="N423" s="5"/>
    </row>
    <row r="424" spans="1:14" s="30" customFormat="1" ht="15" customHeight="1">
      <c r="A424" s="554">
        <f>IF(ISBLANK(D424),"",COUNTA(D$14:D424))</f>
        <v>133</v>
      </c>
      <c r="B424" s="576" t="s">
        <v>39</v>
      </c>
      <c r="C424" s="563" t="s">
        <v>11</v>
      </c>
      <c r="D424" s="559">
        <f>D422</f>
        <v>2086.27</v>
      </c>
      <c r="E424" s="584">
        <f>72.6/1.2</f>
        <v>60.5</v>
      </c>
      <c r="F424" s="584">
        <f>E424*D424</f>
        <v>126219.33499999999</v>
      </c>
      <c r="G424" s="234" t="s">
        <v>17</v>
      </c>
      <c r="H424" s="123" t="s">
        <v>13</v>
      </c>
      <c r="I424" s="124">
        <v>0.2</v>
      </c>
      <c r="J424" s="124">
        <f>I424*D424</f>
        <v>417.25400000000002</v>
      </c>
      <c r="K424" s="272">
        <f>70/10</f>
        <v>7</v>
      </c>
      <c r="L424" s="29">
        <f t="shared" si="73"/>
        <v>2920.7780000000002</v>
      </c>
      <c r="M424" s="105" t="s">
        <v>174</v>
      </c>
      <c r="N424" s="5"/>
    </row>
    <row r="425" spans="1:14" s="30" customFormat="1" ht="15" customHeight="1">
      <c r="A425" s="555"/>
      <c r="B425" s="576"/>
      <c r="C425" s="563"/>
      <c r="D425" s="559"/>
      <c r="E425" s="584"/>
      <c r="F425" s="584"/>
      <c r="G425" s="33" t="s">
        <v>46</v>
      </c>
      <c r="H425" s="123" t="s">
        <v>15</v>
      </c>
      <c r="I425" s="130">
        <v>0.3</v>
      </c>
      <c r="J425" s="124">
        <f>D424*I425</f>
        <v>625.88099999999997</v>
      </c>
      <c r="K425" s="273">
        <f>28.26/1.2*14/10</f>
        <v>32.97</v>
      </c>
      <c r="L425" s="29">
        <f t="shared" si="73"/>
        <v>20635.296569999999</v>
      </c>
      <c r="M425" s="105" t="s">
        <v>175</v>
      </c>
      <c r="N425" s="5"/>
    </row>
    <row r="426" spans="1:14" s="30" customFormat="1" ht="15" customHeight="1">
      <c r="A426" s="554">
        <f>IF(ISBLANK(D426),"",COUNTA(D$14:D426))</f>
        <v>134</v>
      </c>
      <c r="B426" s="556" t="s">
        <v>66</v>
      </c>
      <c r="C426" s="557" t="s">
        <v>27</v>
      </c>
      <c r="D426" s="558">
        <f>10.41+5.21</f>
        <v>15.620000000000001</v>
      </c>
      <c r="E426" s="558">
        <f>130.68/1.2</f>
        <v>108.9</v>
      </c>
      <c r="F426" s="558">
        <f>D426*E426</f>
        <v>1701.0180000000003</v>
      </c>
      <c r="G426" s="111" t="s">
        <v>36</v>
      </c>
      <c r="H426" s="231" t="s">
        <v>24</v>
      </c>
      <c r="I426" s="131">
        <v>3</v>
      </c>
      <c r="J426" s="263">
        <f>D426*I426</f>
        <v>46.86</v>
      </c>
      <c r="K426" s="276">
        <f>98/30</f>
        <v>3.2666666666666666</v>
      </c>
      <c r="L426" s="29">
        <f>K426*J426</f>
        <v>153.07599999999999</v>
      </c>
      <c r="M426" s="105" t="s">
        <v>176</v>
      </c>
      <c r="N426" s="5"/>
    </row>
    <row r="427" spans="1:14" s="30" customFormat="1" ht="15" customHeight="1">
      <c r="A427" s="561"/>
      <c r="B427" s="556"/>
      <c r="C427" s="557"/>
      <c r="D427" s="558"/>
      <c r="E427" s="558"/>
      <c r="F427" s="558"/>
      <c r="G427" s="261" t="s">
        <v>17</v>
      </c>
      <c r="H427" s="231" t="s">
        <v>23</v>
      </c>
      <c r="I427" s="131">
        <v>0.04</v>
      </c>
      <c r="J427" s="263">
        <f>D426*I427</f>
        <v>0.62480000000000002</v>
      </c>
      <c r="K427" s="272">
        <f>70/10</f>
        <v>7</v>
      </c>
      <c r="L427" s="29">
        <f t="shared" ref="L427:L433" si="74">K427*J427</f>
        <v>4.3735999999999997</v>
      </c>
      <c r="M427" s="105" t="s">
        <v>174</v>
      </c>
      <c r="N427" s="5"/>
    </row>
    <row r="428" spans="1:14" s="30" customFormat="1" ht="15" customHeight="1">
      <c r="A428" s="561"/>
      <c r="B428" s="556"/>
      <c r="C428" s="557"/>
      <c r="D428" s="558"/>
      <c r="E428" s="558"/>
      <c r="F428" s="558"/>
      <c r="G428" s="111" t="s">
        <v>19</v>
      </c>
      <c r="H428" s="231" t="s">
        <v>28</v>
      </c>
      <c r="I428" s="131">
        <f>0.08*(200/250)</f>
        <v>6.4000000000000001E-2</v>
      </c>
      <c r="J428" s="263">
        <f>D426*I428</f>
        <v>0.99968000000000012</v>
      </c>
      <c r="K428" s="28">
        <f>433.35/50</f>
        <v>8.6669999999999998</v>
      </c>
      <c r="L428" s="29">
        <f>K428*J428</f>
        <v>8.6642265600000012</v>
      </c>
      <c r="M428" s="105" t="s">
        <v>177</v>
      </c>
      <c r="N428" s="5"/>
    </row>
    <row r="429" spans="1:14" s="30" customFormat="1" ht="15" customHeight="1">
      <c r="A429" s="555"/>
      <c r="B429" s="556"/>
      <c r="C429" s="557"/>
      <c r="D429" s="558"/>
      <c r="E429" s="558"/>
      <c r="F429" s="558"/>
      <c r="G429" s="111" t="s">
        <v>25</v>
      </c>
      <c r="H429" s="231" t="s">
        <v>45</v>
      </c>
      <c r="I429" s="131">
        <v>1.02</v>
      </c>
      <c r="J429" s="263">
        <f>D426*I429</f>
        <v>15.932400000000001</v>
      </c>
      <c r="K429" s="28">
        <f>19.17/3</f>
        <v>6.3900000000000006</v>
      </c>
      <c r="L429" s="29">
        <f>J429*K429</f>
        <v>101.80803600000002</v>
      </c>
      <c r="M429" s="105" t="s">
        <v>178</v>
      </c>
      <c r="N429" s="5"/>
    </row>
    <row r="430" spans="1:14" s="30" customFormat="1" ht="15" customHeight="1">
      <c r="A430" s="554">
        <f>IF(ISBLANK(D430),"",COUNTA(D$14:D430))</f>
        <v>135</v>
      </c>
      <c r="B430" s="556" t="s">
        <v>108</v>
      </c>
      <c r="C430" s="557" t="s">
        <v>27</v>
      </c>
      <c r="D430" s="558">
        <f>D426</f>
        <v>15.620000000000001</v>
      </c>
      <c r="E430" s="558">
        <f>101.64/1.2*0.2</f>
        <v>16.940000000000001</v>
      </c>
      <c r="F430" s="558">
        <f>E430*D430</f>
        <v>264.60280000000006</v>
      </c>
      <c r="G430" s="261" t="s">
        <v>17</v>
      </c>
      <c r="H430" s="231" t="s">
        <v>23</v>
      </c>
      <c r="I430" s="131">
        <v>0.05</v>
      </c>
      <c r="J430" s="263">
        <f>I430*D430</f>
        <v>0.78100000000000014</v>
      </c>
      <c r="K430" s="272">
        <f>70/10</f>
        <v>7</v>
      </c>
      <c r="L430" s="29">
        <f t="shared" si="74"/>
        <v>5.4670000000000005</v>
      </c>
      <c r="M430" s="105" t="s">
        <v>174</v>
      </c>
      <c r="N430" s="5"/>
    </row>
    <row r="431" spans="1:14" s="30" customFormat="1" ht="15" customHeight="1">
      <c r="A431" s="555"/>
      <c r="B431" s="556"/>
      <c r="C431" s="557"/>
      <c r="D431" s="558"/>
      <c r="E431" s="558"/>
      <c r="F431" s="558"/>
      <c r="G431" s="27" t="s">
        <v>16</v>
      </c>
      <c r="H431" s="231" t="s">
        <v>24</v>
      </c>
      <c r="I431" s="131">
        <v>0.45</v>
      </c>
      <c r="J431" s="263">
        <f>I431*D430</f>
        <v>7.0290000000000008</v>
      </c>
      <c r="K431" s="28">
        <f>152.5/25</f>
        <v>6.1</v>
      </c>
      <c r="L431" s="29">
        <f t="shared" si="74"/>
        <v>42.876899999999999</v>
      </c>
      <c r="M431" s="105" t="s">
        <v>173</v>
      </c>
      <c r="N431" s="5"/>
    </row>
    <row r="432" spans="1:14" s="30" customFormat="1" ht="15" customHeight="1">
      <c r="A432" s="554">
        <f>IF(ISBLANK(D432),"",COUNTA(D$14:D432))</f>
        <v>136</v>
      </c>
      <c r="B432" s="556" t="s">
        <v>65</v>
      </c>
      <c r="C432" s="557" t="s">
        <v>27</v>
      </c>
      <c r="D432" s="558">
        <f>D426</f>
        <v>15.620000000000001</v>
      </c>
      <c r="E432" s="558">
        <f>72.6/1.2*0.2</f>
        <v>12.100000000000001</v>
      </c>
      <c r="F432" s="558">
        <f>D432*E432</f>
        <v>189.00200000000004</v>
      </c>
      <c r="G432" s="261" t="s">
        <v>17</v>
      </c>
      <c r="H432" s="231" t="s">
        <v>23</v>
      </c>
      <c r="I432" s="131">
        <v>0.05</v>
      </c>
      <c r="J432" s="263">
        <f>I432*D432</f>
        <v>0.78100000000000014</v>
      </c>
      <c r="K432" s="272">
        <f>70/10</f>
        <v>7</v>
      </c>
      <c r="L432" s="29">
        <f t="shared" si="74"/>
        <v>5.4670000000000005</v>
      </c>
      <c r="M432" s="105" t="s">
        <v>174</v>
      </c>
      <c r="N432" s="5"/>
    </row>
    <row r="433" spans="1:14" s="30" customFormat="1" ht="15" customHeight="1">
      <c r="A433" s="555"/>
      <c r="B433" s="556"/>
      <c r="C433" s="557"/>
      <c r="D433" s="558"/>
      <c r="E433" s="558"/>
      <c r="F433" s="558"/>
      <c r="G433" s="33" t="s">
        <v>46</v>
      </c>
      <c r="H433" s="231" t="s">
        <v>23</v>
      </c>
      <c r="I433" s="132">
        <v>0.13</v>
      </c>
      <c r="J433" s="263">
        <f>I433*D432</f>
        <v>2.0306000000000002</v>
      </c>
      <c r="K433" s="273">
        <f>28.26/1.2*14/10</f>
        <v>32.97</v>
      </c>
      <c r="L433" s="29">
        <f t="shared" si="74"/>
        <v>66.948881999999998</v>
      </c>
      <c r="M433" s="105" t="s">
        <v>175</v>
      </c>
      <c r="N433" s="5"/>
    </row>
    <row r="434" spans="1:14" s="30" customFormat="1" ht="15" customHeight="1">
      <c r="A434" s="554">
        <f>IF(ISBLANK(D434),"",COUNTA(D$14:D434))</f>
        <v>137</v>
      </c>
      <c r="B434" s="556" t="s">
        <v>110</v>
      </c>
      <c r="C434" s="557" t="s">
        <v>27</v>
      </c>
      <c r="D434" s="558">
        <v>5.51</v>
      </c>
      <c r="E434" s="558">
        <f>130.68/1.2</f>
        <v>108.9</v>
      </c>
      <c r="F434" s="558">
        <f>D434*E434</f>
        <v>600.03899999999999</v>
      </c>
      <c r="G434" s="111" t="s">
        <v>36</v>
      </c>
      <c r="H434" s="231" t="s">
        <v>24</v>
      </c>
      <c r="I434" s="131">
        <v>3</v>
      </c>
      <c r="J434" s="263">
        <f>D434*I434</f>
        <v>16.53</v>
      </c>
      <c r="K434" s="276">
        <f>98/30</f>
        <v>3.2666666666666666</v>
      </c>
      <c r="L434" s="29">
        <f>K434*J434</f>
        <v>53.998000000000005</v>
      </c>
      <c r="M434" s="105" t="s">
        <v>176</v>
      </c>
      <c r="N434" s="5"/>
    </row>
    <row r="435" spans="1:14" s="30" customFormat="1" ht="15" customHeight="1">
      <c r="A435" s="561"/>
      <c r="B435" s="556"/>
      <c r="C435" s="557"/>
      <c r="D435" s="558"/>
      <c r="E435" s="558"/>
      <c r="F435" s="558"/>
      <c r="G435" s="261" t="s">
        <v>17</v>
      </c>
      <c r="H435" s="231" t="s">
        <v>23</v>
      </c>
      <c r="I435" s="131">
        <v>0.04</v>
      </c>
      <c r="J435" s="263">
        <f>D434*I435</f>
        <v>0.22039999999999998</v>
      </c>
      <c r="K435" s="272">
        <f>70/10</f>
        <v>7</v>
      </c>
      <c r="L435" s="29">
        <f t="shared" ref="L435:L441" si="75">K435*J435</f>
        <v>1.5427999999999999</v>
      </c>
      <c r="M435" s="105" t="s">
        <v>174</v>
      </c>
      <c r="N435" s="5"/>
    </row>
    <row r="436" spans="1:14" s="30" customFormat="1" ht="15" customHeight="1">
      <c r="A436" s="561"/>
      <c r="B436" s="556"/>
      <c r="C436" s="557"/>
      <c r="D436" s="558"/>
      <c r="E436" s="558"/>
      <c r="F436" s="558"/>
      <c r="G436" s="111" t="s">
        <v>19</v>
      </c>
      <c r="H436" s="231" t="s">
        <v>28</v>
      </c>
      <c r="I436" s="131">
        <f>0.08*(70/250)</f>
        <v>2.2400000000000003E-2</v>
      </c>
      <c r="J436" s="263">
        <f>D434*I436</f>
        <v>0.12342400000000002</v>
      </c>
      <c r="K436" s="28">
        <f>433.35/50</f>
        <v>8.6669999999999998</v>
      </c>
      <c r="L436" s="29">
        <f>K436*J436</f>
        <v>1.0697158080000002</v>
      </c>
      <c r="M436" s="105" t="s">
        <v>177</v>
      </c>
      <c r="N436" s="5"/>
    </row>
    <row r="437" spans="1:14" s="30" customFormat="1" ht="15" customHeight="1">
      <c r="A437" s="555"/>
      <c r="B437" s="556"/>
      <c r="C437" s="557"/>
      <c r="D437" s="558"/>
      <c r="E437" s="558"/>
      <c r="F437" s="558"/>
      <c r="G437" s="111" t="s">
        <v>25</v>
      </c>
      <c r="H437" s="231" t="s">
        <v>45</v>
      </c>
      <c r="I437" s="131">
        <v>1.02</v>
      </c>
      <c r="J437" s="263">
        <f>D434*I437</f>
        <v>5.6201999999999996</v>
      </c>
      <c r="K437" s="28">
        <f>19.17/3</f>
        <v>6.3900000000000006</v>
      </c>
      <c r="L437" s="29">
        <f>J437*K437</f>
        <v>35.913077999999999</v>
      </c>
      <c r="M437" s="105" t="s">
        <v>178</v>
      </c>
      <c r="N437" s="5"/>
    </row>
    <row r="438" spans="1:14" s="30" customFormat="1" ht="15" customHeight="1">
      <c r="A438" s="554">
        <f>IF(ISBLANK(D438),"",COUNTA(D$14:D438))</f>
        <v>138</v>
      </c>
      <c r="B438" s="556" t="s">
        <v>111</v>
      </c>
      <c r="C438" s="557" t="s">
        <v>27</v>
      </c>
      <c r="D438" s="558">
        <f>D434</f>
        <v>5.51</v>
      </c>
      <c r="E438" s="558">
        <f>101.64/1.2*0.07</f>
        <v>5.9290000000000012</v>
      </c>
      <c r="F438" s="558">
        <f>E438*D438</f>
        <v>32.668790000000008</v>
      </c>
      <c r="G438" s="261" t="s">
        <v>17</v>
      </c>
      <c r="H438" s="231" t="s">
        <v>23</v>
      </c>
      <c r="I438" s="131">
        <v>0.05</v>
      </c>
      <c r="J438" s="263">
        <f>I438*D438</f>
        <v>0.27550000000000002</v>
      </c>
      <c r="K438" s="272">
        <f>70/10</f>
        <v>7</v>
      </c>
      <c r="L438" s="29">
        <f t="shared" si="75"/>
        <v>1.9285000000000001</v>
      </c>
      <c r="M438" s="105" t="s">
        <v>174</v>
      </c>
      <c r="N438" s="5"/>
    </row>
    <row r="439" spans="1:14" s="30" customFormat="1" ht="15" customHeight="1">
      <c r="A439" s="555"/>
      <c r="B439" s="556"/>
      <c r="C439" s="557"/>
      <c r="D439" s="558"/>
      <c r="E439" s="558"/>
      <c r="F439" s="558"/>
      <c r="G439" s="27" t="s">
        <v>16</v>
      </c>
      <c r="H439" s="231" t="s">
        <v>24</v>
      </c>
      <c r="I439" s="131">
        <v>0.45</v>
      </c>
      <c r="J439" s="263">
        <f>I439*D438</f>
        <v>2.4794999999999998</v>
      </c>
      <c r="K439" s="28">
        <f>152.5/25</f>
        <v>6.1</v>
      </c>
      <c r="L439" s="29">
        <f t="shared" si="75"/>
        <v>15.124949999999998</v>
      </c>
      <c r="M439" s="105" t="s">
        <v>173</v>
      </c>
      <c r="N439" s="5"/>
    </row>
    <row r="440" spans="1:14" s="30" customFormat="1" ht="15" customHeight="1">
      <c r="A440" s="554">
        <f>IF(ISBLANK(D440),"",COUNTA(D$14:D440))</f>
        <v>139</v>
      </c>
      <c r="B440" s="556" t="s">
        <v>112</v>
      </c>
      <c r="C440" s="557" t="s">
        <v>27</v>
      </c>
      <c r="D440" s="558">
        <f>D434</f>
        <v>5.51</v>
      </c>
      <c r="E440" s="558">
        <f>72.6/1.2*0.07</f>
        <v>4.2350000000000003</v>
      </c>
      <c r="F440" s="558">
        <f>D440*E440</f>
        <v>23.334849999999999</v>
      </c>
      <c r="G440" s="261" t="s">
        <v>17</v>
      </c>
      <c r="H440" s="231" t="s">
        <v>23</v>
      </c>
      <c r="I440" s="131">
        <v>0.05</v>
      </c>
      <c r="J440" s="263">
        <f>I440*D440</f>
        <v>0.27550000000000002</v>
      </c>
      <c r="K440" s="272">
        <f>70/10</f>
        <v>7</v>
      </c>
      <c r="L440" s="29">
        <f t="shared" si="75"/>
        <v>1.9285000000000001</v>
      </c>
      <c r="M440" s="105" t="s">
        <v>174</v>
      </c>
      <c r="N440" s="5"/>
    </row>
    <row r="441" spans="1:14" s="30" customFormat="1" ht="15" customHeight="1" thickBot="1">
      <c r="A441" s="555"/>
      <c r="B441" s="556"/>
      <c r="C441" s="557"/>
      <c r="D441" s="558"/>
      <c r="E441" s="558"/>
      <c r="F441" s="558"/>
      <c r="G441" s="33" t="s">
        <v>46</v>
      </c>
      <c r="H441" s="231" t="s">
        <v>23</v>
      </c>
      <c r="I441" s="132">
        <v>0.13</v>
      </c>
      <c r="J441" s="263">
        <f>I441*D440</f>
        <v>0.71630000000000005</v>
      </c>
      <c r="K441" s="280">
        <f>28.26/1.2*14/10</f>
        <v>32.97</v>
      </c>
      <c r="L441" s="29">
        <f t="shared" si="75"/>
        <v>23.616410999999999</v>
      </c>
      <c r="M441" s="105" t="s">
        <v>175</v>
      </c>
      <c r="N441" s="5"/>
    </row>
    <row r="442" spans="1:14" s="30" customFormat="1" ht="15" customHeight="1">
      <c r="A442" s="554">
        <f>IF(ISBLANK(D442),"",COUNTA(D$14:D442))</f>
        <v>140</v>
      </c>
      <c r="B442" s="556" t="s">
        <v>114</v>
      </c>
      <c r="C442" s="557" t="s">
        <v>27</v>
      </c>
      <c r="D442" s="558">
        <f>10.41+230.23+10.01*3</f>
        <v>270.66999999999996</v>
      </c>
      <c r="E442" s="558">
        <f>130.68/1.2</f>
        <v>108.9</v>
      </c>
      <c r="F442" s="558">
        <f>D442*E442</f>
        <v>29475.962999999996</v>
      </c>
      <c r="G442" s="111" t="s">
        <v>36</v>
      </c>
      <c r="H442" s="231" t="s">
        <v>24</v>
      </c>
      <c r="I442" s="131">
        <f>15*0.15</f>
        <v>2.25</v>
      </c>
      <c r="J442" s="263">
        <f>D442*I442</f>
        <v>609.00749999999994</v>
      </c>
      <c r="K442" s="272">
        <f>98/30</f>
        <v>3.2666666666666666</v>
      </c>
      <c r="L442" s="29">
        <f>K442*J442</f>
        <v>1989.4244999999999</v>
      </c>
      <c r="M442" s="105" t="s">
        <v>176</v>
      </c>
      <c r="N442" s="5"/>
    </row>
    <row r="443" spans="1:14" s="30" customFormat="1" ht="15" customHeight="1">
      <c r="A443" s="561"/>
      <c r="B443" s="556"/>
      <c r="C443" s="557"/>
      <c r="D443" s="558"/>
      <c r="E443" s="558"/>
      <c r="F443" s="558"/>
      <c r="G443" s="261" t="s">
        <v>12</v>
      </c>
      <c r="H443" s="231" t="s">
        <v>23</v>
      </c>
      <c r="I443" s="131">
        <v>2.8000000000000001E-2</v>
      </c>
      <c r="J443" s="263">
        <f>D442*I443</f>
        <v>7.5787599999999991</v>
      </c>
      <c r="K443" s="124">
        <f>458.33/10</f>
        <v>45.832999999999998</v>
      </c>
      <c r="L443" s="270">
        <f>J443*K443</f>
        <v>347.35730707999994</v>
      </c>
      <c r="M443" s="271" t="s">
        <v>171</v>
      </c>
      <c r="N443" s="5"/>
    </row>
    <row r="444" spans="1:14" s="30" customFormat="1" ht="15" customHeight="1">
      <c r="A444" s="561"/>
      <c r="B444" s="556"/>
      <c r="C444" s="557"/>
      <c r="D444" s="558"/>
      <c r="E444" s="558"/>
      <c r="F444" s="558"/>
      <c r="G444" s="111" t="s">
        <v>19</v>
      </c>
      <c r="H444" s="231" t="s">
        <v>28</v>
      </c>
      <c r="I444" s="131">
        <f>0.08*(140/250)</f>
        <v>4.4800000000000006E-2</v>
      </c>
      <c r="J444" s="263">
        <f>D442*I444</f>
        <v>12.126016</v>
      </c>
      <c r="K444" s="28">
        <f>433.35/50</f>
        <v>8.6669999999999998</v>
      </c>
      <c r="L444" s="29">
        <f>K444*J444</f>
        <v>105.096180672</v>
      </c>
      <c r="M444" s="105" t="s">
        <v>177</v>
      </c>
      <c r="N444" s="5"/>
    </row>
    <row r="445" spans="1:14" s="30" customFormat="1" ht="15" customHeight="1">
      <c r="A445" s="555"/>
      <c r="B445" s="556"/>
      <c r="C445" s="557"/>
      <c r="D445" s="558"/>
      <c r="E445" s="558"/>
      <c r="F445" s="558"/>
      <c r="G445" s="111" t="s">
        <v>25</v>
      </c>
      <c r="H445" s="231" t="s">
        <v>45</v>
      </c>
      <c r="I445" s="131">
        <v>1.02</v>
      </c>
      <c r="J445" s="263">
        <f>D442*I445</f>
        <v>276.08339999999998</v>
      </c>
      <c r="K445" s="28">
        <f>19.17/3</f>
        <v>6.3900000000000006</v>
      </c>
      <c r="L445" s="29">
        <f>J445*K445</f>
        <v>1764.172926</v>
      </c>
      <c r="M445" s="105" t="s">
        <v>178</v>
      </c>
      <c r="N445" s="5"/>
    </row>
    <row r="446" spans="1:14" s="30" customFormat="1" ht="15" customHeight="1">
      <c r="A446" s="554">
        <f>IF(ISBLANK(D446),"",COUNTA(D$14:D446))</f>
        <v>141</v>
      </c>
      <c r="B446" s="556" t="s">
        <v>80</v>
      </c>
      <c r="C446" s="557" t="s">
        <v>27</v>
      </c>
      <c r="D446" s="558">
        <f>D442</f>
        <v>270.66999999999996</v>
      </c>
      <c r="E446" s="558">
        <f>101.64/1.2*0.15</f>
        <v>12.705</v>
      </c>
      <c r="F446" s="558">
        <f>E446*D446</f>
        <v>3438.8623499999994</v>
      </c>
      <c r="G446" s="261" t="s">
        <v>17</v>
      </c>
      <c r="H446" s="231" t="s">
        <v>23</v>
      </c>
      <c r="I446" s="131">
        <v>0.05</v>
      </c>
      <c r="J446" s="263">
        <f>I446*D446</f>
        <v>13.533499999999998</v>
      </c>
      <c r="K446" s="272">
        <f>70/10</f>
        <v>7</v>
      </c>
      <c r="L446" s="29">
        <f t="shared" ref="L446:L449" si="76">K446*J446</f>
        <v>94.734499999999983</v>
      </c>
      <c r="M446" s="105" t="s">
        <v>174</v>
      </c>
      <c r="N446" s="5"/>
    </row>
    <row r="447" spans="1:14" s="30" customFormat="1" ht="15" customHeight="1">
      <c r="A447" s="555"/>
      <c r="B447" s="556"/>
      <c r="C447" s="557"/>
      <c r="D447" s="558"/>
      <c r="E447" s="558"/>
      <c r="F447" s="558"/>
      <c r="G447" s="27" t="s">
        <v>16</v>
      </c>
      <c r="H447" s="231" t="s">
        <v>24</v>
      </c>
      <c r="I447" s="131">
        <v>0.45</v>
      </c>
      <c r="J447" s="263">
        <f>I447*D446</f>
        <v>121.80149999999999</v>
      </c>
      <c r="K447" s="28">
        <f>152.5/25</f>
        <v>6.1</v>
      </c>
      <c r="L447" s="29">
        <f t="shared" si="76"/>
        <v>742.98914999999988</v>
      </c>
      <c r="M447" s="105" t="s">
        <v>173</v>
      </c>
      <c r="N447" s="5"/>
    </row>
    <row r="448" spans="1:14" s="30" customFormat="1" ht="15" customHeight="1">
      <c r="A448" s="554">
        <f>IF(ISBLANK(D448),"",COUNTA(D$14:D448))</f>
        <v>142</v>
      </c>
      <c r="B448" s="556" t="s">
        <v>81</v>
      </c>
      <c r="C448" s="557" t="s">
        <v>27</v>
      </c>
      <c r="D448" s="558">
        <f>D442</f>
        <v>270.66999999999996</v>
      </c>
      <c r="E448" s="558">
        <f>72.6/1.2*0.15</f>
        <v>9.0749999999999993</v>
      </c>
      <c r="F448" s="558">
        <f>D448*E448</f>
        <v>2456.3302499999995</v>
      </c>
      <c r="G448" s="261" t="s">
        <v>17</v>
      </c>
      <c r="H448" s="231" t="s">
        <v>23</v>
      </c>
      <c r="I448" s="131">
        <v>0.05</v>
      </c>
      <c r="J448" s="263">
        <f>I448*D448</f>
        <v>13.533499999999998</v>
      </c>
      <c r="K448" s="272">
        <f>70/10</f>
        <v>7</v>
      </c>
      <c r="L448" s="29">
        <f t="shared" si="76"/>
        <v>94.734499999999983</v>
      </c>
      <c r="M448" s="105" t="s">
        <v>174</v>
      </c>
      <c r="N448" s="5"/>
    </row>
    <row r="449" spans="1:14" s="30" customFormat="1" ht="15" customHeight="1">
      <c r="A449" s="555"/>
      <c r="B449" s="556"/>
      <c r="C449" s="557"/>
      <c r="D449" s="558"/>
      <c r="E449" s="558"/>
      <c r="F449" s="558"/>
      <c r="G449" s="33" t="s">
        <v>46</v>
      </c>
      <c r="H449" s="231" t="s">
        <v>23</v>
      </c>
      <c r="I449" s="132">
        <v>0.13</v>
      </c>
      <c r="J449" s="263">
        <f>I449*D448</f>
        <v>35.187099999999994</v>
      </c>
      <c r="K449" s="273">
        <f>28.26/1.2*14/10</f>
        <v>32.97</v>
      </c>
      <c r="L449" s="29">
        <f t="shared" si="76"/>
        <v>1160.1186869999997</v>
      </c>
      <c r="M449" s="105" t="s">
        <v>175</v>
      </c>
      <c r="N449" s="5"/>
    </row>
    <row r="450" spans="1:14" s="30" customFormat="1" ht="15" customHeight="1">
      <c r="A450" s="554">
        <f>IF(ISBLANK(D450),"",COUNTA(D$14:D450))</f>
        <v>143</v>
      </c>
      <c r="B450" s="576" t="s">
        <v>160</v>
      </c>
      <c r="C450" s="563" t="s">
        <v>27</v>
      </c>
      <c r="D450" s="559">
        <f>15.68+291.64+6.34*2</f>
        <v>320</v>
      </c>
      <c r="E450" s="584">
        <f>159.72/1.2*0.12</f>
        <v>15.972</v>
      </c>
      <c r="F450" s="584">
        <f>E450*D450</f>
        <v>5111.04</v>
      </c>
      <c r="G450" s="234" t="s">
        <v>12</v>
      </c>
      <c r="H450" s="238" t="s">
        <v>15</v>
      </c>
      <c r="I450" s="209">
        <f>0.35</f>
        <v>0.35</v>
      </c>
      <c r="J450" s="124">
        <f>I450*D450*0.12</f>
        <v>13.44</v>
      </c>
      <c r="K450" s="173">
        <f>458.33/10</f>
        <v>45.832999999999998</v>
      </c>
      <c r="L450" s="270">
        <f>J450*K450</f>
        <v>615.99551999999994</v>
      </c>
      <c r="M450" s="271" t="s">
        <v>171</v>
      </c>
      <c r="N450" s="5"/>
    </row>
    <row r="451" spans="1:14" s="30" customFormat="1" ht="15" customHeight="1">
      <c r="A451" s="561"/>
      <c r="B451" s="576"/>
      <c r="C451" s="563"/>
      <c r="D451" s="559"/>
      <c r="E451" s="584"/>
      <c r="F451" s="584"/>
      <c r="G451" s="27" t="s">
        <v>14</v>
      </c>
      <c r="H451" s="238" t="s">
        <v>15</v>
      </c>
      <c r="I451" s="209">
        <f>3.2</f>
        <v>3.2</v>
      </c>
      <c r="J451" s="124">
        <f>D450*I451*0.12</f>
        <v>122.88</v>
      </c>
      <c r="K451" s="28">
        <v>3</v>
      </c>
      <c r="L451" s="29">
        <f t="shared" ref="L451:L454" si="77">K451*J451</f>
        <v>368.64</v>
      </c>
      <c r="M451" s="105" t="s">
        <v>172</v>
      </c>
      <c r="N451" s="5"/>
    </row>
    <row r="452" spans="1:14" s="30" customFormat="1" ht="15" customHeight="1">
      <c r="A452" s="561"/>
      <c r="B452" s="576"/>
      <c r="C452" s="563"/>
      <c r="D452" s="559"/>
      <c r="E452" s="584"/>
      <c r="F452" s="584"/>
      <c r="G452" s="27" t="s">
        <v>16</v>
      </c>
      <c r="H452" s="238" t="s">
        <v>15</v>
      </c>
      <c r="I452" s="209">
        <f>1.8</f>
        <v>1.8</v>
      </c>
      <c r="J452" s="124">
        <f>D450*I452*0.12</f>
        <v>69.12</v>
      </c>
      <c r="K452" s="28">
        <f>152.5/25</f>
        <v>6.1</v>
      </c>
      <c r="L452" s="29">
        <f t="shared" si="77"/>
        <v>421.63200000000001</v>
      </c>
      <c r="M452" s="105" t="s">
        <v>173</v>
      </c>
      <c r="N452" s="5"/>
    </row>
    <row r="453" spans="1:14" s="30" customFormat="1" ht="15" customHeight="1">
      <c r="A453" s="554">
        <f>IF(ISBLANK(D453),"",COUNTA(D$14:D453))</f>
        <v>144</v>
      </c>
      <c r="B453" s="576" t="s">
        <v>161</v>
      </c>
      <c r="C453" s="563" t="s">
        <v>27</v>
      </c>
      <c r="D453" s="559">
        <f>D450</f>
        <v>320</v>
      </c>
      <c r="E453" s="584">
        <f>72.6/1.2*0.12</f>
        <v>7.26</v>
      </c>
      <c r="F453" s="584">
        <f>E453*D453</f>
        <v>2323.1999999999998</v>
      </c>
      <c r="G453" s="234" t="s">
        <v>17</v>
      </c>
      <c r="H453" s="123" t="s">
        <v>23</v>
      </c>
      <c r="I453" s="124">
        <v>0.06</v>
      </c>
      <c r="J453" s="124">
        <f>I453*D453</f>
        <v>19.2</v>
      </c>
      <c r="K453" s="272">
        <f>70/10</f>
        <v>7</v>
      </c>
      <c r="L453" s="29">
        <f t="shared" si="77"/>
        <v>134.4</v>
      </c>
      <c r="M453" s="105" t="s">
        <v>174</v>
      </c>
      <c r="N453" s="5"/>
    </row>
    <row r="454" spans="1:14" s="30" customFormat="1" ht="15" customHeight="1">
      <c r="A454" s="555"/>
      <c r="B454" s="587"/>
      <c r="C454" s="565"/>
      <c r="D454" s="560"/>
      <c r="E454" s="585"/>
      <c r="F454" s="585"/>
      <c r="G454" s="33" t="s">
        <v>46</v>
      </c>
      <c r="H454" s="128" t="s">
        <v>24</v>
      </c>
      <c r="I454" s="210">
        <f>0.12</f>
        <v>0.12</v>
      </c>
      <c r="J454" s="134">
        <f>D453*I454</f>
        <v>38.4</v>
      </c>
      <c r="K454" s="273">
        <f>28.26/1.2*14/10</f>
        <v>32.97</v>
      </c>
      <c r="L454" s="29">
        <f t="shared" si="77"/>
        <v>1266.048</v>
      </c>
      <c r="M454" s="105" t="s">
        <v>175</v>
      </c>
      <c r="N454" s="5"/>
    </row>
    <row r="455" spans="1:14" s="30" customFormat="1" ht="15" customHeight="1">
      <c r="A455" s="225">
        <f>IF(ISBLANK(D455),"",COUNTA(D$14:D455))</f>
        <v>145</v>
      </c>
      <c r="B455" s="242" t="s">
        <v>29</v>
      </c>
      <c r="C455" s="235" t="s">
        <v>27</v>
      </c>
      <c r="D455" s="232">
        <f>14.6+6</f>
        <v>20.6</v>
      </c>
      <c r="E455" s="249">
        <f>91.8/1.2</f>
        <v>76.5</v>
      </c>
      <c r="F455" s="249">
        <f>E455*D455</f>
        <v>1575.9</v>
      </c>
      <c r="G455" s="33" t="s">
        <v>30</v>
      </c>
      <c r="H455" s="123" t="s">
        <v>45</v>
      </c>
      <c r="I455" s="124">
        <v>1.07</v>
      </c>
      <c r="J455" s="124">
        <f>I455*D455</f>
        <v>22.042000000000002</v>
      </c>
      <c r="K455" s="281">
        <f>6.67/3</f>
        <v>2.2233333333333332</v>
      </c>
      <c r="L455" s="43">
        <f>K455*J455</f>
        <v>49.00671333333333</v>
      </c>
      <c r="M455" s="105" t="s">
        <v>178</v>
      </c>
      <c r="N455" s="5"/>
    </row>
    <row r="456" spans="1:14" s="30" customFormat="1" ht="15" customHeight="1">
      <c r="A456" s="554">
        <f>IF(ISBLANK(D456),"",COUNTA(D$14:D456))</f>
        <v>146</v>
      </c>
      <c r="B456" s="599" t="s">
        <v>115</v>
      </c>
      <c r="C456" s="601" t="s">
        <v>56</v>
      </c>
      <c r="D456" s="601">
        <f>14.94+4.53</f>
        <v>19.47</v>
      </c>
      <c r="E456" s="603">
        <f>22/1.2</f>
        <v>18.333333333333336</v>
      </c>
      <c r="F456" s="605">
        <f>D456*E456</f>
        <v>356.95000000000005</v>
      </c>
      <c r="G456" s="135" t="s">
        <v>72</v>
      </c>
      <c r="H456" s="136" t="s">
        <v>13</v>
      </c>
      <c r="I456" s="137">
        <v>0.2</v>
      </c>
      <c r="J456" s="253">
        <f>I456*0.1*D456</f>
        <v>0.38940000000000008</v>
      </c>
      <c r="K456" s="239">
        <v>3.27</v>
      </c>
      <c r="L456" s="277">
        <f>ROUND(J456*K456,2)</f>
        <v>1.27</v>
      </c>
      <c r="M456" s="105" t="str">
        <f>M448</f>
        <v>рах. 20094557 п. 1</v>
      </c>
      <c r="N456" s="5"/>
    </row>
    <row r="457" spans="1:14" s="30" customFormat="1" ht="15" customHeight="1" thickBot="1">
      <c r="A457" s="555"/>
      <c r="B457" s="600"/>
      <c r="C457" s="602"/>
      <c r="D457" s="602"/>
      <c r="E457" s="604"/>
      <c r="F457" s="606"/>
      <c r="G457" s="138" t="s">
        <v>70</v>
      </c>
      <c r="H457" s="139" t="s">
        <v>56</v>
      </c>
      <c r="I457" s="265">
        <v>1.0149999999999999</v>
      </c>
      <c r="J457" s="140">
        <f>D456*I457</f>
        <v>19.762049999999999</v>
      </c>
      <c r="K457" s="94">
        <f>56/30</f>
        <v>1.8666666666666667</v>
      </c>
      <c r="L457" s="278">
        <f>J457*K457</f>
        <v>36.889159999999997</v>
      </c>
      <c r="M457" s="105" t="s">
        <v>179</v>
      </c>
      <c r="N457" s="5"/>
    </row>
    <row r="458" spans="1:14" s="30" customFormat="1" ht="15" customHeight="1" thickBot="1">
      <c r="A458" s="20"/>
      <c r="B458" s="21" t="s">
        <v>31</v>
      </c>
      <c r="C458" s="22"/>
      <c r="D458" s="23"/>
      <c r="E458" s="141"/>
      <c r="F458" s="141"/>
      <c r="G458" s="22"/>
      <c r="H458" s="207"/>
      <c r="I458" s="142"/>
      <c r="J458" s="142"/>
      <c r="K458" s="142"/>
      <c r="L458" s="170"/>
      <c r="M458" s="107"/>
      <c r="N458" s="5"/>
    </row>
    <row r="459" spans="1:14" s="30" customFormat="1" ht="15" customHeight="1">
      <c r="A459" s="554">
        <f>IF(ISBLANK(D459),"",COUNTA(D$14:D459))</f>
        <v>147</v>
      </c>
      <c r="B459" s="562" t="s">
        <v>122</v>
      </c>
      <c r="C459" s="563" t="s">
        <v>11</v>
      </c>
      <c r="D459" s="559">
        <f>16.28+16.45+308.16+6.43+6.43</f>
        <v>353.75000000000006</v>
      </c>
      <c r="E459" s="584">
        <f>264.6/1.2</f>
        <v>220.50000000000003</v>
      </c>
      <c r="F459" s="584">
        <f>E459*D459</f>
        <v>78001.875000000029</v>
      </c>
      <c r="G459" s="255" t="s">
        <v>17</v>
      </c>
      <c r="H459" s="123" t="s">
        <v>13</v>
      </c>
      <c r="I459" s="173">
        <v>0.2</v>
      </c>
      <c r="J459" s="124">
        <f>I459*D459</f>
        <v>70.750000000000014</v>
      </c>
      <c r="K459" s="272">
        <f>70/10</f>
        <v>7</v>
      </c>
      <c r="L459" s="29">
        <f t="shared" ref="L459" si="78">K459*J459</f>
        <v>495.25000000000011</v>
      </c>
      <c r="M459" s="105" t="s">
        <v>174</v>
      </c>
      <c r="N459" s="5"/>
    </row>
    <row r="460" spans="1:14" s="30" customFormat="1" ht="25.5">
      <c r="A460" s="561"/>
      <c r="B460" s="562"/>
      <c r="C460" s="563"/>
      <c r="D460" s="559"/>
      <c r="E460" s="584"/>
      <c r="F460" s="584"/>
      <c r="G460" s="234" t="s">
        <v>123</v>
      </c>
      <c r="H460" s="123" t="s">
        <v>18</v>
      </c>
      <c r="I460" s="124">
        <v>1.03</v>
      </c>
      <c r="J460" s="124">
        <f>D459*I460</f>
        <v>364.36250000000007</v>
      </c>
      <c r="K460" s="53">
        <f>112.5</f>
        <v>112.5</v>
      </c>
      <c r="L460" s="125">
        <f t="shared" ref="L460:L464" si="79">J460*K460</f>
        <v>40990.781250000007</v>
      </c>
      <c r="M460" s="107"/>
      <c r="N460" s="5"/>
    </row>
    <row r="461" spans="1:14" s="30" customFormat="1" ht="15" customHeight="1">
      <c r="A461" s="561"/>
      <c r="B461" s="562"/>
      <c r="C461" s="563"/>
      <c r="D461" s="559"/>
      <c r="E461" s="584"/>
      <c r="F461" s="584"/>
      <c r="G461" s="27" t="s">
        <v>33</v>
      </c>
      <c r="H461" s="123" t="s">
        <v>15</v>
      </c>
      <c r="I461" s="124">
        <v>7.1</v>
      </c>
      <c r="J461" s="124">
        <f>D459*I461</f>
        <v>2511.6250000000005</v>
      </c>
      <c r="K461" s="124">
        <f>77.1/25/1.2</f>
        <v>2.57</v>
      </c>
      <c r="L461" s="156">
        <f t="shared" ref="L461:L462" si="80">K461*J461</f>
        <v>6454.8762500000012</v>
      </c>
      <c r="M461" s="105" t="s">
        <v>181</v>
      </c>
      <c r="N461" s="5"/>
    </row>
    <row r="462" spans="1:14" s="30" customFormat="1" ht="15" customHeight="1">
      <c r="A462" s="555"/>
      <c r="B462" s="562"/>
      <c r="C462" s="563"/>
      <c r="D462" s="559"/>
      <c r="E462" s="584"/>
      <c r="F462" s="584"/>
      <c r="G462" s="27" t="s">
        <v>34</v>
      </c>
      <c r="H462" s="123" t="s">
        <v>15</v>
      </c>
      <c r="I462" s="124">
        <v>0.40600000000000003</v>
      </c>
      <c r="J462" s="124">
        <f>D459*I462</f>
        <v>143.62250000000003</v>
      </c>
      <c r="K462" s="124">
        <f>54.08/2</f>
        <v>27.04</v>
      </c>
      <c r="L462" s="156">
        <f t="shared" si="80"/>
        <v>3883.5524000000005</v>
      </c>
      <c r="M462" s="105" t="s">
        <v>182</v>
      </c>
      <c r="N462" s="5"/>
    </row>
    <row r="463" spans="1:14" s="30" customFormat="1" ht="15" customHeight="1">
      <c r="A463" s="554">
        <f>IF(ISBLANK(D463),"",COUNTA(D$14:D463))</f>
        <v>148</v>
      </c>
      <c r="B463" s="562" t="s">
        <v>162</v>
      </c>
      <c r="C463" s="563" t="s">
        <v>27</v>
      </c>
      <c r="D463" s="559">
        <f>27.64+30.97+853.34+14.83*2</f>
        <v>941.61</v>
      </c>
      <c r="E463" s="584">
        <f>79.86/1.2</f>
        <v>66.55</v>
      </c>
      <c r="F463" s="584">
        <f>E463*D463</f>
        <v>62664.145499999999</v>
      </c>
      <c r="G463" s="234" t="s">
        <v>17</v>
      </c>
      <c r="H463" s="123" t="s">
        <v>23</v>
      </c>
      <c r="I463" s="124">
        <v>0.02</v>
      </c>
      <c r="J463" s="124">
        <f>I463*D463</f>
        <v>18.8322</v>
      </c>
      <c r="K463" s="272">
        <f>70/10</f>
        <v>7</v>
      </c>
      <c r="L463" s="29">
        <f t="shared" ref="L463" si="81">K463*J463</f>
        <v>131.8254</v>
      </c>
      <c r="M463" s="105" t="s">
        <v>174</v>
      </c>
      <c r="N463" s="5"/>
    </row>
    <row r="464" spans="1:14" s="30" customFormat="1" ht="25.5">
      <c r="A464" s="561"/>
      <c r="B464" s="562"/>
      <c r="C464" s="563"/>
      <c r="D464" s="559"/>
      <c r="E464" s="584"/>
      <c r="F464" s="584"/>
      <c r="G464" s="234" t="s">
        <v>123</v>
      </c>
      <c r="H464" s="123" t="s">
        <v>28</v>
      </c>
      <c r="I464" s="124">
        <v>0.10299999999999999</v>
      </c>
      <c r="J464" s="124">
        <f>D463*I464</f>
        <v>96.985829999999993</v>
      </c>
      <c r="K464" s="53">
        <f>112.5</f>
        <v>112.5</v>
      </c>
      <c r="L464" s="125">
        <f t="shared" si="79"/>
        <v>10910.905874999999</v>
      </c>
      <c r="M464" s="107"/>
      <c r="N464" s="5"/>
    </row>
    <row r="465" spans="1:14" s="30" customFormat="1" ht="15" customHeight="1">
      <c r="A465" s="561"/>
      <c r="B465" s="562"/>
      <c r="C465" s="563"/>
      <c r="D465" s="559"/>
      <c r="E465" s="584"/>
      <c r="F465" s="584"/>
      <c r="G465" s="27" t="s">
        <v>33</v>
      </c>
      <c r="H465" s="123" t="s">
        <v>24</v>
      </c>
      <c r="I465" s="124">
        <v>0.71</v>
      </c>
      <c r="J465" s="124">
        <f>D463*I465</f>
        <v>668.54309999999998</v>
      </c>
      <c r="K465" s="124">
        <f>77.1/25/1.2</f>
        <v>2.57</v>
      </c>
      <c r="L465" s="156">
        <f t="shared" ref="L465:L466" si="82">K465*J465</f>
        <v>1718.1557669999997</v>
      </c>
      <c r="M465" s="105" t="s">
        <v>181</v>
      </c>
      <c r="N465" s="5"/>
    </row>
    <row r="466" spans="1:14" s="30" customFormat="1" ht="15" customHeight="1" thickBot="1">
      <c r="A466" s="555"/>
      <c r="B466" s="564"/>
      <c r="C466" s="565"/>
      <c r="D466" s="560"/>
      <c r="E466" s="585"/>
      <c r="F466" s="585"/>
      <c r="G466" s="84" t="s">
        <v>34</v>
      </c>
      <c r="H466" s="128" t="s">
        <v>24</v>
      </c>
      <c r="I466" s="134">
        <v>0.04</v>
      </c>
      <c r="J466" s="134">
        <f>D463*I466</f>
        <v>37.664400000000001</v>
      </c>
      <c r="K466" s="124">
        <f>54.08/2</f>
        <v>27.04</v>
      </c>
      <c r="L466" s="156">
        <f t="shared" si="82"/>
        <v>1018.445376</v>
      </c>
      <c r="M466" s="105" t="s">
        <v>182</v>
      </c>
      <c r="N466" s="5"/>
    </row>
    <row r="467" spans="1:14" s="30" customFormat="1" ht="15" customHeight="1" thickBot="1">
      <c r="A467" s="211"/>
      <c r="B467" s="212" t="s">
        <v>163</v>
      </c>
      <c r="C467" s="213"/>
      <c r="D467" s="214"/>
      <c r="E467" s="215"/>
      <c r="F467" s="215"/>
      <c r="G467" s="213"/>
      <c r="H467" s="267"/>
      <c r="I467" s="216"/>
      <c r="J467" s="217"/>
      <c r="K467" s="217"/>
      <c r="L467" s="218"/>
      <c r="M467" s="107"/>
      <c r="N467" s="5"/>
    </row>
    <row r="468" spans="1:14" s="30" customFormat="1" ht="15" customHeight="1">
      <c r="A468" s="554">
        <f>IF(ISBLANK(D468),"",COUNTA(D$14:D468))</f>
        <v>149</v>
      </c>
      <c r="B468" s="664" t="s">
        <v>117</v>
      </c>
      <c r="C468" s="665" t="s">
        <v>11</v>
      </c>
      <c r="D468" s="666">
        <f>4.18*26</f>
        <v>108.67999999999999</v>
      </c>
      <c r="E468" s="667">
        <f>110/1.2</f>
        <v>91.666666666666671</v>
      </c>
      <c r="F468" s="667">
        <f>E468*D468</f>
        <v>9962.3333333333339</v>
      </c>
      <c r="G468" s="219" t="s">
        <v>118</v>
      </c>
      <c r="H468" s="220" t="s">
        <v>15</v>
      </c>
      <c r="I468" s="221">
        <v>4</v>
      </c>
      <c r="J468" s="222">
        <f>I468*D468</f>
        <v>434.71999999999997</v>
      </c>
      <c r="K468" s="223">
        <v>8.81</v>
      </c>
      <c r="L468" s="224">
        <f>K468*J468</f>
        <v>3829.8831999999998</v>
      </c>
      <c r="M468" s="107"/>
      <c r="N468" s="5"/>
    </row>
    <row r="469" spans="1:14" s="30" customFormat="1" ht="15" customHeight="1">
      <c r="A469" s="555"/>
      <c r="B469" s="607"/>
      <c r="C469" s="608"/>
      <c r="D469" s="609"/>
      <c r="E469" s="610"/>
      <c r="F469" s="610"/>
      <c r="G469" s="151" t="s">
        <v>119</v>
      </c>
      <c r="H469" s="266" t="s">
        <v>18</v>
      </c>
      <c r="I469" s="153">
        <v>1.1000000000000001</v>
      </c>
      <c r="J469" s="154">
        <f>I469*D468</f>
        <v>119.548</v>
      </c>
      <c r="K469" s="154">
        <v>9.4499999999999993</v>
      </c>
      <c r="L469" s="279">
        <f>K469*J469</f>
        <v>1129.7285999999999</v>
      </c>
      <c r="M469" s="275" t="s">
        <v>184</v>
      </c>
      <c r="N469" s="5"/>
    </row>
    <row r="470" spans="1:14" s="30" customFormat="1" ht="15" customHeight="1">
      <c r="A470" s="554">
        <f>IF(ISBLANK(D470),"",COUNTA(D$14:D470))</f>
        <v>150</v>
      </c>
      <c r="B470" s="607" t="s">
        <v>122</v>
      </c>
      <c r="C470" s="611" t="s">
        <v>11</v>
      </c>
      <c r="D470" s="612">
        <f>D468</f>
        <v>108.67999999999999</v>
      </c>
      <c r="E470" s="613">
        <f>264.6/1.2</f>
        <v>220.50000000000003</v>
      </c>
      <c r="F470" s="613">
        <f>D470*E470</f>
        <v>23963.940000000002</v>
      </c>
      <c r="G470" s="254" t="s">
        <v>17</v>
      </c>
      <c r="H470" s="123" t="s">
        <v>13</v>
      </c>
      <c r="I470" s="158">
        <v>0.2</v>
      </c>
      <c r="J470" s="155">
        <f>D470*I470</f>
        <v>21.736000000000001</v>
      </c>
      <c r="K470" s="272">
        <f>70/10</f>
        <v>7</v>
      </c>
      <c r="L470" s="29">
        <f t="shared" ref="L470" si="83">K470*J470</f>
        <v>152.15200000000002</v>
      </c>
      <c r="M470" s="105" t="s">
        <v>174</v>
      </c>
      <c r="N470" s="5"/>
    </row>
    <row r="471" spans="1:14" s="30" customFormat="1" ht="25.5">
      <c r="A471" s="561"/>
      <c r="B471" s="607"/>
      <c r="C471" s="611"/>
      <c r="D471" s="612"/>
      <c r="E471" s="613"/>
      <c r="F471" s="613"/>
      <c r="G471" s="234" t="s">
        <v>123</v>
      </c>
      <c r="H471" s="152" t="s">
        <v>18</v>
      </c>
      <c r="I471" s="158">
        <v>1.03</v>
      </c>
      <c r="J471" s="155">
        <f>D470*I471</f>
        <v>111.9404</v>
      </c>
      <c r="K471" s="53">
        <f>112.5</f>
        <v>112.5</v>
      </c>
      <c r="L471" s="159">
        <f>K471*J471</f>
        <v>12593.295</v>
      </c>
      <c r="M471" s="107"/>
      <c r="N471" s="5"/>
    </row>
    <row r="472" spans="1:14" s="30" customFormat="1" ht="15" customHeight="1">
      <c r="A472" s="561"/>
      <c r="B472" s="607"/>
      <c r="C472" s="611"/>
      <c r="D472" s="612"/>
      <c r="E472" s="613"/>
      <c r="F472" s="613"/>
      <c r="G472" s="160" t="s">
        <v>33</v>
      </c>
      <c r="H472" s="152" t="s">
        <v>15</v>
      </c>
      <c r="I472" s="158">
        <v>7.1</v>
      </c>
      <c r="J472" s="155">
        <f>D470*I472</f>
        <v>771.62799999999993</v>
      </c>
      <c r="K472" s="124">
        <f>77.1/25/1.2</f>
        <v>2.57</v>
      </c>
      <c r="L472" s="156">
        <f t="shared" ref="L472:L473" si="84">K472*J472</f>
        <v>1983.0839599999997</v>
      </c>
      <c r="M472" s="105" t="s">
        <v>181</v>
      </c>
      <c r="N472" s="5"/>
    </row>
    <row r="473" spans="1:14" s="30" customFormat="1" ht="15" customHeight="1">
      <c r="A473" s="555"/>
      <c r="B473" s="607"/>
      <c r="C473" s="611"/>
      <c r="D473" s="612"/>
      <c r="E473" s="613"/>
      <c r="F473" s="613"/>
      <c r="G473" s="160" t="s">
        <v>34</v>
      </c>
      <c r="H473" s="152" t="s">
        <v>15</v>
      </c>
      <c r="I473" s="158">
        <v>0.40600000000000003</v>
      </c>
      <c r="J473" s="155">
        <f>D470*I473</f>
        <v>44.124079999999999</v>
      </c>
      <c r="K473" s="124">
        <f>54.08/2</f>
        <v>27.04</v>
      </c>
      <c r="L473" s="156">
        <f t="shared" si="84"/>
        <v>1193.1151232</v>
      </c>
      <c r="M473" s="105" t="s">
        <v>182</v>
      </c>
      <c r="N473" s="5"/>
    </row>
    <row r="474" spans="1:14" s="30" customFormat="1" ht="15" customHeight="1">
      <c r="A474" s="554">
        <f>IF(ISBLANK(D474),"",COUNTA(D$14:D474))</f>
        <v>151</v>
      </c>
      <c r="B474" s="607" t="s">
        <v>125</v>
      </c>
      <c r="C474" s="611" t="s">
        <v>27</v>
      </c>
      <c r="D474" s="612">
        <f>7.32*26</f>
        <v>190.32</v>
      </c>
      <c r="E474" s="613">
        <f>79.86/1.2</f>
        <v>66.55</v>
      </c>
      <c r="F474" s="613">
        <f>D474*E474</f>
        <v>12665.795999999998</v>
      </c>
      <c r="G474" s="254" t="s">
        <v>17</v>
      </c>
      <c r="H474" s="152" t="s">
        <v>23</v>
      </c>
      <c r="I474" s="158">
        <f>0.02</f>
        <v>0.02</v>
      </c>
      <c r="J474" s="155">
        <f>D474*I474</f>
        <v>3.8064</v>
      </c>
      <c r="K474" s="272">
        <f>70/10</f>
        <v>7</v>
      </c>
      <c r="L474" s="29">
        <f t="shared" ref="L474" si="85">K474*J474</f>
        <v>26.6448</v>
      </c>
      <c r="M474" s="105" t="s">
        <v>174</v>
      </c>
      <c r="N474" s="5"/>
    </row>
    <row r="475" spans="1:14" s="30" customFormat="1" ht="25.5">
      <c r="A475" s="561"/>
      <c r="B475" s="607"/>
      <c r="C475" s="611"/>
      <c r="D475" s="612"/>
      <c r="E475" s="613"/>
      <c r="F475" s="613"/>
      <c r="G475" s="234" t="s">
        <v>123</v>
      </c>
      <c r="H475" s="152" t="s">
        <v>28</v>
      </c>
      <c r="I475" s="158">
        <f>0.103</f>
        <v>0.10299999999999999</v>
      </c>
      <c r="J475" s="155">
        <f>D474*I475</f>
        <v>19.602959999999999</v>
      </c>
      <c r="K475" s="53">
        <f>112.5</f>
        <v>112.5</v>
      </c>
      <c r="L475" s="159">
        <f>K475*J475</f>
        <v>2205.3330000000001</v>
      </c>
      <c r="M475" s="107"/>
      <c r="N475" s="5"/>
    </row>
    <row r="476" spans="1:14" s="30" customFormat="1" ht="15" customHeight="1">
      <c r="A476" s="561"/>
      <c r="B476" s="607"/>
      <c r="C476" s="611"/>
      <c r="D476" s="612"/>
      <c r="E476" s="613"/>
      <c r="F476" s="613"/>
      <c r="G476" s="160" t="s">
        <v>33</v>
      </c>
      <c r="H476" s="152" t="s">
        <v>24</v>
      </c>
      <c r="I476" s="158">
        <f>0.71</f>
        <v>0.71</v>
      </c>
      <c r="J476" s="155">
        <f>D474*I476</f>
        <v>135.12719999999999</v>
      </c>
      <c r="K476" s="124">
        <f>77.1/25/1.2</f>
        <v>2.57</v>
      </c>
      <c r="L476" s="156">
        <f t="shared" ref="L476:L477" si="86">K476*J476</f>
        <v>347.27690399999994</v>
      </c>
      <c r="M476" s="105" t="s">
        <v>181</v>
      </c>
      <c r="N476" s="5"/>
    </row>
    <row r="477" spans="1:14" s="30" customFormat="1" ht="15" customHeight="1" thickBot="1">
      <c r="A477" s="555"/>
      <c r="B477" s="614"/>
      <c r="C477" s="615"/>
      <c r="D477" s="616"/>
      <c r="E477" s="617"/>
      <c r="F477" s="617"/>
      <c r="G477" s="161" t="s">
        <v>34</v>
      </c>
      <c r="H477" s="162" t="s">
        <v>24</v>
      </c>
      <c r="I477" s="163">
        <f>0.04</f>
        <v>0.04</v>
      </c>
      <c r="J477" s="164">
        <f>D474*I477</f>
        <v>7.6128</v>
      </c>
      <c r="K477" s="124">
        <f>54.08/2</f>
        <v>27.04</v>
      </c>
      <c r="L477" s="156">
        <f t="shared" si="86"/>
        <v>205.850112</v>
      </c>
      <c r="M477" s="105" t="s">
        <v>182</v>
      </c>
      <c r="N477" s="5"/>
    </row>
    <row r="478" spans="1:14" s="30" customFormat="1" ht="15" customHeight="1" thickBot="1">
      <c r="A478" s="211"/>
      <c r="B478" s="212" t="s">
        <v>164</v>
      </c>
      <c r="C478" s="213"/>
      <c r="D478" s="214"/>
      <c r="E478" s="215"/>
      <c r="F478" s="215"/>
      <c r="G478" s="213"/>
      <c r="H478" s="267"/>
      <c r="I478" s="216"/>
      <c r="J478" s="217"/>
      <c r="K478" s="217"/>
      <c r="L478" s="218"/>
      <c r="M478" s="107"/>
      <c r="N478" s="5"/>
    </row>
    <row r="479" spans="1:14" s="30" customFormat="1" ht="15" customHeight="1">
      <c r="A479" s="554">
        <f>IF(ISBLANK(D479),"",COUNTA(D$14:D479))</f>
        <v>152</v>
      </c>
      <c r="B479" s="618" t="s">
        <v>165</v>
      </c>
      <c r="C479" s="579" t="s">
        <v>11</v>
      </c>
      <c r="D479" s="580">
        <v>23.93</v>
      </c>
      <c r="E479" s="588">
        <f>316.8/1.2</f>
        <v>264</v>
      </c>
      <c r="F479" s="588">
        <f>E479*D479</f>
        <v>6317.5199999999995</v>
      </c>
      <c r="G479" s="255" t="s">
        <v>17</v>
      </c>
      <c r="H479" s="123" t="s">
        <v>13</v>
      </c>
      <c r="I479" s="173">
        <v>0.2</v>
      </c>
      <c r="J479" s="124">
        <f>I479*D479</f>
        <v>4.7860000000000005</v>
      </c>
      <c r="K479" s="272">
        <f>70/10</f>
        <v>7</v>
      </c>
      <c r="L479" s="29">
        <f t="shared" ref="L479:L480" si="87">K479*J479</f>
        <v>33.502000000000002</v>
      </c>
      <c r="M479" s="105" t="s">
        <v>174</v>
      </c>
      <c r="N479" s="5"/>
    </row>
    <row r="480" spans="1:14" s="30" customFormat="1" ht="15" customHeight="1">
      <c r="A480" s="561"/>
      <c r="B480" s="562"/>
      <c r="C480" s="563"/>
      <c r="D480" s="559"/>
      <c r="E480" s="584"/>
      <c r="F480" s="584"/>
      <c r="G480" s="157" t="s">
        <v>170</v>
      </c>
      <c r="H480" s="123" t="s">
        <v>18</v>
      </c>
      <c r="I480" s="124">
        <v>1.03</v>
      </c>
      <c r="J480" s="124">
        <f>D479*I480</f>
        <v>24.6479</v>
      </c>
      <c r="K480" s="124">
        <f>266/1.2</f>
        <v>221.66666666666669</v>
      </c>
      <c r="L480" s="156">
        <f t="shared" si="87"/>
        <v>5463.6178333333337</v>
      </c>
      <c r="M480" s="105" t="s">
        <v>183</v>
      </c>
      <c r="N480" s="5"/>
    </row>
    <row r="481" spans="1:18" s="30" customFormat="1" ht="15" customHeight="1">
      <c r="A481" s="561"/>
      <c r="B481" s="562"/>
      <c r="C481" s="563"/>
      <c r="D481" s="559"/>
      <c r="E481" s="584"/>
      <c r="F481" s="584"/>
      <c r="G481" s="27" t="s">
        <v>33</v>
      </c>
      <c r="H481" s="123" t="s">
        <v>15</v>
      </c>
      <c r="I481" s="124">
        <v>7.1</v>
      </c>
      <c r="J481" s="124">
        <f>D479*I481</f>
        <v>169.90299999999999</v>
      </c>
      <c r="K481" s="124">
        <f>77.1/25/1.2</f>
        <v>2.57</v>
      </c>
      <c r="L481" s="156">
        <f t="shared" ref="L481:L482" si="88">K481*J481</f>
        <v>436.65070999999995</v>
      </c>
      <c r="M481" s="105" t="s">
        <v>181</v>
      </c>
      <c r="N481" s="5"/>
    </row>
    <row r="482" spans="1:18" s="30" customFormat="1" ht="15" customHeight="1" thickBot="1">
      <c r="A482" s="555"/>
      <c r="B482" s="562"/>
      <c r="C482" s="563"/>
      <c r="D482" s="559"/>
      <c r="E482" s="584"/>
      <c r="F482" s="584"/>
      <c r="G482" s="27" t="s">
        <v>34</v>
      </c>
      <c r="H482" s="123" t="s">
        <v>15</v>
      </c>
      <c r="I482" s="124">
        <v>0.40600000000000003</v>
      </c>
      <c r="J482" s="124">
        <f>D479*I482</f>
        <v>9.715580000000001</v>
      </c>
      <c r="K482" s="124">
        <f>54.08/2</f>
        <v>27.04</v>
      </c>
      <c r="L482" s="156">
        <f t="shared" si="88"/>
        <v>262.70928320000002</v>
      </c>
      <c r="M482" s="105" t="s">
        <v>182</v>
      </c>
      <c r="N482" s="5"/>
    </row>
    <row r="483" spans="1:18">
      <c r="A483" s="86"/>
      <c r="B483" s="87" t="s">
        <v>41</v>
      </c>
      <c r="C483" s="259" t="s">
        <v>42</v>
      </c>
      <c r="D483" s="260"/>
      <c r="E483" s="260"/>
      <c r="F483" s="208">
        <f>SUM(F14:F482)</f>
        <v>7914119.6655166643</v>
      </c>
      <c r="G483" s="87" t="s">
        <v>43</v>
      </c>
      <c r="H483" s="259" t="s">
        <v>42</v>
      </c>
      <c r="I483" s="87"/>
      <c r="J483" s="88"/>
      <c r="K483" s="65"/>
      <c r="L483" s="89">
        <f>SUM(L14:L482)</f>
        <v>3258057.7470122706</v>
      </c>
      <c r="M483" s="106"/>
    </row>
    <row r="484" spans="1:18">
      <c r="A484" s="69"/>
      <c r="B484" s="70" t="s">
        <v>44</v>
      </c>
      <c r="C484" s="71" t="s">
        <v>42</v>
      </c>
      <c r="D484" s="72"/>
      <c r="E484" s="72"/>
      <c r="F484" s="73">
        <f>ROUND(F483+L483,2)</f>
        <v>11172177.41</v>
      </c>
      <c r="G484" s="70"/>
      <c r="H484" s="235"/>
      <c r="I484" s="74"/>
      <c r="J484" s="75"/>
      <c r="K484" s="28"/>
      <c r="L484" s="76"/>
      <c r="M484" s="108"/>
    </row>
    <row r="485" spans="1:18" s="98" customFormat="1" ht="15" customHeight="1">
      <c r="A485" s="282"/>
      <c r="B485" s="283" t="s">
        <v>188</v>
      </c>
      <c r="C485" s="284" t="s">
        <v>42</v>
      </c>
      <c r="D485" s="283"/>
      <c r="E485" s="285"/>
      <c r="F485" s="237">
        <f>ROUND(F484*0.03,2)</f>
        <v>335165.32</v>
      </c>
      <c r="G485" s="286"/>
      <c r="H485" s="286"/>
      <c r="I485" s="286"/>
      <c r="J485" s="286"/>
      <c r="K485" s="287"/>
      <c r="L485" s="288"/>
      <c r="M485" s="289"/>
    </row>
    <row r="486" spans="1:18" s="98" customFormat="1" ht="15" customHeight="1">
      <c r="A486" s="282"/>
      <c r="B486" s="283" t="s">
        <v>189</v>
      </c>
      <c r="C486" s="284" t="s">
        <v>42</v>
      </c>
      <c r="D486" s="283"/>
      <c r="E486" s="285"/>
      <c r="F486" s="290">
        <f>ROUND(F484+F485,2)</f>
        <v>11507342.73</v>
      </c>
      <c r="G486" s="286"/>
      <c r="H486" s="286"/>
      <c r="I486" s="286"/>
      <c r="J486" s="286"/>
      <c r="K486" s="287"/>
      <c r="L486" s="288"/>
      <c r="M486" s="289"/>
    </row>
    <row r="487" spans="1:18" s="98" customFormat="1" ht="15" customHeight="1">
      <c r="A487" s="291"/>
      <c r="B487" s="292" t="s">
        <v>190</v>
      </c>
      <c r="C487" s="293" t="s">
        <v>42</v>
      </c>
      <c r="D487" s="293"/>
      <c r="E487" s="293"/>
      <c r="F487" s="237">
        <f>ROUND(F486*0.2,2)</f>
        <v>2301468.5499999998</v>
      </c>
      <c r="G487" s="293"/>
      <c r="H487" s="293"/>
      <c r="I487" s="294"/>
      <c r="J487" s="294"/>
      <c r="K487" s="295"/>
      <c r="L487" s="296"/>
      <c r="M487" s="289"/>
    </row>
    <row r="488" spans="1:18" s="98" customFormat="1" ht="15" customHeight="1" thickBot="1">
      <c r="A488" s="297"/>
      <c r="B488" s="298" t="s">
        <v>191</v>
      </c>
      <c r="C488" s="299" t="s">
        <v>42</v>
      </c>
      <c r="D488" s="299"/>
      <c r="E488" s="299"/>
      <c r="F488" s="300">
        <f>ROUND(F486+F487,2)</f>
        <v>13808811.279999999</v>
      </c>
      <c r="G488" s="298"/>
      <c r="H488" s="301"/>
      <c r="I488" s="302"/>
      <c r="J488" s="302"/>
      <c r="K488" s="303"/>
      <c r="L488" s="304"/>
      <c r="M488" s="289"/>
    </row>
    <row r="489" spans="1:18" s="313" customFormat="1">
      <c r="A489" s="305"/>
      <c r="B489" s="306"/>
      <c r="C489" s="307"/>
      <c r="D489" s="307"/>
      <c r="E489" s="307"/>
      <c r="F489" s="308"/>
      <c r="G489" s="306"/>
      <c r="H489" s="309"/>
      <c r="I489" s="310"/>
      <c r="J489" s="311"/>
      <c r="K489" s="311"/>
      <c r="L489" s="312"/>
      <c r="M489" s="308"/>
      <c r="N489" s="289"/>
      <c r="O489" s="98"/>
      <c r="P489" s="98"/>
      <c r="Q489" s="98"/>
      <c r="R489" s="98"/>
    </row>
    <row r="490" spans="1:18" s="313" customFormat="1">
      <c r="A490" s="305"/>
      <c r="B490" s="306"/>
      <c r="C490" s="307"/>
      <c r="D490" s="307"/>
      <c r="E490" s="307"/>
      <c r="F490" s="308"/>
      <c r="G490" s="306"/>
      <c r="H490" s="309"/>
      <c r="I490" s="310"/>
      <c r="J490" s="311"/>
      <c r="K490" s="311"/>
      <c r="L490" s="312"/>
      <c r="M490" s="308"/>
      <c r="N490" s="289"/>
      <c r="O490" s="98"/>
      <c r="P490" s="98"/>
      <c r="Q490" s="98"/>
      <c r="R490" s="98"/>
    </row>
    <row r="491" spans="1:18" s="313" customFormat="1" ht="15" customHeight="1">
      <c r="A491" s="305"/>
      <c r="B491" s="306"/>
      <c r="C491" s="307"/>
      <c r="D491" s="307"/>
      <c r="E491" s="307"/>
      <c r="F491" s="308"/>
      <c r="G491" s="306"/>
      <c r="H491" s="309"/>
      <c r="I491" s="310"/>
      <c r="J491" s="311"/>
      <c r="K491" s="311"/>
      <c r="L491" s="312"/>
      <c r="M491" s="308"/>
      <c r="N491" s="289"/>
      <c r="O491" s="98"/>
      <c r="P491" s="98"/>
      <c r="Q491" s="98"/>
      <c r="R491" s="98"/>
    </row>
    <row r="492" spans="1:18" s="313" customFormat="1" ht="15" customHeight="1">
      <c r="A492" s="314"/>
      <c r="B492" s="314"/>
      <c r="C492" s="314"/>
      <c r="D492" s="314"/>
      <c r="E492" s="314"/>
      <c r="F492" s="314"/>
      <c r="G492" s="314"/>
      <c r="H492" s="314"/>
      <c r="I492" s="314"/>
      <c r="J492" s="314"/>
      <c r="K492" s="314"/>
      <c r="L492" s="314"/>
      <c r="M492" s="314"/>
      <c r="N492" s="315"/>
      <c r="O492" s="316"/>
      <c r="P492" s="316"/>
      <c r="Q492" s="316"/>
      <c r="R492" s="316"/>
    </row>
    <row r="493" spans="1:18" s="313" customFormat="1" ht="15" customHeight="1">
      <c r="B493" s="313" t="s">
        <v>192</v>
      </c>
      <c r="C493" s="313" t="s">
        <v>193</v>
      </c>
      <c r="I493" s="313" t="s">
        <v>194</v>
      </c>
      <c r="M493" s="99"/>
      <c r="N493" s="315"/>
      <c r="O493" s="316"/>
      <c r="P493" s="316"/>
      <c r="Q493" s="316"/>
      <c r="R493" s="316"/>
    </row>
    <row r="494" spans="1:18" s="313" customFormat="1" ht="15" customHeight="1">
      <c r="M494" s="99"/>
      <c r="N494" s="315"/>
      <c r="O494" s="316"/>
      <c r="P494" s="316"/>
      <c r="Q494" s="316"/>
      <c r="R494" s="316"/>
    </row>
    <row r="495" spans="1:18" s="313" customFormat="1" ht="15" customHeight="1">
      <c r="M495" s="99"/>
      <c r="N495" s="315"/>
      <c r="O495" s="316"/>
      <c r="P495" s="316"/>
      <c r="Q495" s="316"/>
      <c r="R495" s="316"/>
    </row>
    <row r="496" spans="1:18" s="313" customFormat="1" ht="12.75" customHeight="1">
      <c r="B496" s="313" t="s">
        <v>195</v>
      </c>
      <c r="C496" s="313" t="s">
        <v>196</v>
      </c>
      <c r="F496" s="317"/>
      <c r="G496" s="317"/>
      <c r="I496" s="318" t="str">
        <f>I493</f>
        <v>"____"____________2020 року</v>
      </c>
      <c r="N496" s="316"/>
      <c r="O496" s="316"/>
      <c r="P496" s="316"/>
      <c r="Q496" s="316"/>
      <c r="R496" s="316"/>
    </row>
    <row r="497" spans="2:19" s="313" customFormat="1" ht="12.75" customHeight="1">
      <c r="F497" s="317"/>
      <c r="G497" s="317"/>
      <c r="I497" s="318"/>
      <c r="N497" s="316"/>
      <c r="O497" s="316"/>
      <c r="P497" s="316"/>
      <c r="Q497" s="316"/>
      <c r="R497" s="316"/>
    </row>
    <row r="498" spans="2:19" s="313" customFormat="1">
      <c r="N498" s="316"/>
      <c r="O498" s="316"/>
      <c r="P498" s="316"/>
      <c r="Q498" s="316"/>
      <c r="R498" s="316"/>
    </row>
    <row r="499" spans="2:19" s="313" customFormat="1"/>
    <row r="500" spans="2:19" s="313" customFormat="1">
      <c r="B500" s="313" t="s">
        <v>197</v>
      </c>
      <c r="C500" s="313" t="s">
        <v>198</v>
      </c>
      <c r="I500" s="313" t="str">
        <f>I493</f>
        <v>"____"____________2020 року</v>
      </c>
    </row>
    <row r="501" spans="2:19" s="313" customFormat="1"/>
    <row r="502" spans="2:19" s="313" customFormat="1"/>
    <row r="503" spans="2:19">
      <c r="N503" s="77"/>
      <c r="O503" s="79"/>
      <c r="P503" s="79"/>
      <c r="Q503" s="79"/>
      <c r="R503" s="80"/>
      <c r="S503" s="78"/>
    </row>
    <row r="504" spans="2:19">
      <c r="N504" s="77"/>
      <c r="O504" s="79"/>
      <c r="P504" s="79"/>
      <c r="Q504" s="79"/>
      <c r="R504" s="80"/>
      <c r="S504" s="78"/>
    </row>
    <row r="505" spans="2:19">
      <c r="N505" s="77"/>
      <c r="O505" s="78"/>
      <c r="P505" s="78"/>
      <c r="Q505" s="78"/>
      <c r="R505" s="78"/>
      <c r="S505" s="78"/>
    </row>
    <row r="506" spans="2:19">
      <c r="N506" s="77"/>
      <c r="O506" s="78"/>
      <c r="P506" s="78"/>
      <c r="Q506" s="78"/>
      <c r="R506" s="78"/>
      <c r="S506" s="78"/>
    </row>
    <row r="507" spans="2:19">
      <c r="N507" s="77"/>
      <c r="O507" s="78"/>
      <c r="P507" s="78"/>
      <c r="Q507" s="78"/>
      <c r="R507" s="78"/>
      <c r="S507" s="78"/>
    </row>
  </sheetData>
  <autoFilter ref="A13:M488" xr:uid="{00000000-0009-0000-0000-000000000000}"/>
  <mergeCells count="811">
    <mergeCell ref="N150:N153"/>
    <mergeCell ref="A479:A482"/>
    <mergeCell ref="B479:B482"/>
    <mergeCell ref="C479:C482"/>
    <mergeCell ref="D479:D482"/>
    <mergeCell ref="E479:E482"/>
    <mergeCell ref="F479:F482"/>
    <mergeCell ref="A470:A473"/>
    <mergeCell ref="B470:B473"/>
    <mergeCell ref="C470:C473"/>
    <mergeCell ref="D470:D473"/>
    <mergeCell ref="E470:E473"/>
    <mergeCell ref="F470:F473"/>
    <mergeCell ref="A474:A477"/>
    <mergeCell ref="B474:B477"/>
    <mergeCell ref="C474:C477"/>
    <mergeCell ref="D474:D477"/>
    <mergeCell ref="E474:E477"/>
    <mergeCell ref="F474:F477"/>
    <mergeCell ref="A463:A466"/>
    <mergeCell ref="B463:B466"/>
    <mergeCell ref="C463:C466"/>
    <mergeCell ref="D463:D466"/>
    <mergeCell ref="E463:E466"/>
    <mergeCell ref="F463:F466"/>
    <mergeCell ref="A468:A469"/>
    <mergeCell ref="B468:B469"/>
    <mergeCell ref="C468:C469"/>
    <mergeCell ref="D468:D469"/>
    <mergeCell ref="E468:E469"/>
    <mergeCell ref="F468:F469"/>
    <mergeCell ref="A456:A457"/>
    <mergeCell ref="B456:B457"/>
    <mergeCell ref="C456:C457"/>
    <mergeCell ref="D456:D457"/>
    <mergeCell ref="E456:E457"/>
    <mergeCell ref="F456:F457"/>
    <mergeCell ref="A459:A462"/>
    <mergeCell ref="B459:B462"/>
    <mergeCell ref="C459:C462"/>
    <mergeCell ref="D459:D462"/>
    <mergeCell ref="E459:E462"/>
    <mergeCell ref="F459:F462"/>
    <mergeCell ref="A450:A452"/>
    <mergeCell ref="B450:B452"/>
    <mergeCell ref="C450:C452"/>
    <mergeCell ref="D450:D452"/>
    <mergeCell ref="E450:E452"/>
    <mergeCell ref="F450:F452"/>
    <mergeCell ref="A453:A454"/>
    <mergeCell ref="B453:B454"/>
    <mergeCell ref="C453:C454"/>
    <mergeCell ref="D453:D454"/>
    <mergeCell ref="E453:E454"/>
    <mergeCell ref="F453:F454"/>
    <mergeCell ref="A446:A447"/>
    <mergeCell ref="B446:B447"/>
    <mergeCell ref="C446:C447"/>
    <mergeCell ref="D446:D447"/>
    <mergeCell ref="E446:E447"/>
    <mergeCell ref="F446:F447"/>
    <mergeCell ref="A448:A449"/>
    <mergeCell ref="B448:B449"/>
    <mergeCell ref="C448:C449"/>
    <mergeCell ref="D448:D449"/>
    <mergeCell ref="E448:E449"/>
    <mergeCell ref="F448:F449"/>
    <mergeCell ref="A440:A441"/>
    <mergeCell ref="B440:B441"/>
    <mergeCell ref="C440:C441"/>
    <mergeCell ref="D440:D441"/>
    <mergeCell ref="E440:E441"/>
    <mergeCell ref="F440:F441"/>
    <mergeCell ref="A442:A445"/>
    <mergeCell ref="B442:B445"/>
    <mergeCell ref="C442:C445"/>
    <mergeCell ref="D442:D445"/>
    <mergeCell ref="E442:E445"/>
    <mergeCell ref="F442:F445"/>
    <mergeCell ref="A434:A437"/>
    <mergeCell ref="B434:B437"/>
    <mergeCell ref="C434:C437"/>
    <mergeCell ref="D434:D437"/>
    <mergeCell ref="E434:E437"/>
    <mergeCell ref="F434:F437"/>
    <mergeCell ref="A438:A439"/>
    <mergeCell ref="B438:B439"/>
    <mergeCell ref="C438:C439"/>
    <mergeCell ref="D438:D439"/>
    <mergeCell ref="E438:E439"/>
    <mergeCell ref="F438:F439"/>
    <mergeCell ref="A430:A431"/>
    <mergeCell ref="B430:B431"/>
    <mergeCell ref="C430:C431"/>
    <mergeCell ref="D430:D431"/>
    <mergeCell ref="E430:E431"/>
    <mergeCell ref="F430:F431"/>
    <mergeCell ref="A432:A433"/>
    <mergeCell ref="B432:B433"/>
    <mergeCell ref="C432:C433"/>
    <mergeCell ref="D432:D433"/>
    <mergeCell ref="E432:E433"/>
    <mergeCell ref="F432:F433"/>
    <mergeCell ref="A424:A425"/>
    <mergeCell ref="B424:B425"/>
    <mergeCell ref="C424:C425"/>
    <mergeCell ref="D424:D425"/>
    <mergeCell ref="E424:E425"/>
    <mergeCell ref="F424:F425"/>
    <mergeCell ref="A426:A429"/>
    <mergeCell ref="B426:B429"/>
    <mergeCell ref="C426:C429"/>
    <mergeCell ref="D426:D429"/>
    <mergeCell ref="E426:E429"/>
    <mergeCell ref="F426:F429"/>
    <mergeCell ref="A418:A421"/>
    <mergeCell ref="B418:B421"/>
    <mergeCell ref="C418:C421"/>
    <mergeCell ref="D418:D421"/>
    <mergeCell ref="E418:E421"/>
    <mergeCell ref="F418:F421"/>
    <mergeCell ref="A422:A423"/>
    <mergeCell ref="B422:B423"/>
    <mergeCell ref="C422:C423"/>
    <mergeCell ref="D422:D423"/>
    <mergeCell ref="E422:E423"/>
    <mergeCell ref="F422:F423"/>
    <mergeCell ref="A408:A411"/>
    <mergeCell ref="B408:B411"/>
    <mergeCell ref="C408:C411"/>
    <mergeCell ref="D408:D411"/>
    <mergeCell ref="E408:E411"/>
    <mergeCell ref="F408:F411"/>
    <mergeCell ref="A412:A417"/>
    <mergeCell ref="B412:B417"/>
    <mergeCell ref="C412:C417"/>
    <mergeCell ref="D412:D417"/>
    <mergeCell ref="E412:E417"/>
    <mergeCell ref="F412:F417"/>
    <mergeCell ref="A401:A402"/>
    <mergeCell ref="B401:B402"/>
    <mergeCell ref="C401:C402"/>
    <mergeCell ref="D401:D402"/>
    <mergeCell ref="E401:E402"/>
    <mergeCell ref="F401:F402"/>
    <mergeCell ref="A404:A407"/>
    <mergeCell ref="B404:B407"/>
    <mergeCell ref="C404:C407"/>
    <mergeCell ref="D404:D407"/>
    <mergeCell ref="E404:E407"/>
    <mergeCell ref="F404:F407"/>
    <mergeCell ref="A392:A395"/>
    <mergeCell ref="B392:B395"/>
    <mergeCell ref="C392:C395"/>
    <mergeCell ref="D392:D395"/>
    <mergeCell ref="E392:E395"/>
    <mergeCell ref="F392:F395"/>
    <mergeCell ref="A398:A400"/>
    <mergeCell ref="B398:B400"/>
    <mergeCell ref="C398:C400"/>
    <mergeCell ref="D398:D400"/>
    <mergeCell ref="E398:E400"/>
    <mergeCell ref="F398:F400"/>
    <mergeCell ref="A386:A387"/>
    <mergeCell ref="B386:B387"/>
    <mergeCell ref="C386:C387"/>
    <mergeCell ref="D386:D387"/>
    <mergeCell ref="E386:E387"/>
    <mergeCell ref="F386:F387"/>
    <mergeCell ref="A388:A391"/>
    <mergeCell ref="B388:B391"/>
    <mergeCell ref="C388:C391"/>
    <mergeCell ref="D388:D391"/>
    <mergeCell ref="E388:E391"/>
    <mergeCell ref="F388:F391"/>
    <mergeCell ref="A380:A381"/>
    <mergeCell ref="B380:B381"/>
    <mergeCell ref="C380:C381"/>
    <mergeCell ref="D380:D381"/>
    <mergeCell ref="E380:E381"/>
    <mergeCell ref="F380:F381"/>
    <mergeCell ref="A383:A384"/>
    <mergeCell ref="B383:B384"/>
    <mergeCell ref="C383:C384"/>
    <mergeCell ref="D383:D384"/>
    <mergeCell ref="E383:E384"/>
    <mergeCell ref="F383:F384"/>
    <mergeCell ref="A374:A377"/>
    <mergeCell ref="B374:B377"/>
    <mergeCell ref="C374:C377"/>
    <mergeCell ref="D374:D377"/>
    <mergeCell ref="E374:E377"/>
    <mergeCell ref="F374:F377"/>
    <mergeCell ref="A378:A379"/>
    <mergeCell ref="B378:B379"/>
    <mergeCell ref="C378:C379"/>
    <mergeCell ref="D378:D379"/>
    <mergeCell ref="E378:E379"/>
    <mergeCell ref="F378:F379"/>
    <mergeCell ref="A370:A371"/>
    <mergeCell ref="B370:B371"/>
    <mergeCell ref="C370:C371"/>
    <mergeCell ref="D370:D371"/>
    <mergeCell ref="E370:E371"/>
    <mergeCell ref="F370:F371"/>
    <mergeCell ref="A372:A373"/>
    <mergeCell ref="B372:B373"/>
    <mergeCell ref="C372:C373"/>
    <mergeCell ref="D372:D373"/>
    <mergeCell ref="E372:E373"/>
    <mergeCell ref="F372:F373"/>
    <mergeCell ref="A364:A365"/>
    <mergeCell ref="B364:B365"/>
    <mergeCell ref="C364:C365"/>
    <mergeCell ref="D364:D365"/>
    <mergeCell ref="E364:E365"/>
    <mergeCell ref="F364:F365"/>
    <mergeCell ref="A366:A369"/>
    <mergeCell ref="B366:B369"/>
    <mergeCell ref="C366:C369"/>
    <mergeCell ref="D366:D369"/>
    <mergeCell ref="E366:E369"/>
    <mergeCell ref="F366:F369"/>
    <mergeCell ref="A358:A361"/>
    <mergeCell ref="B358:B361"/>
    <mergeCell ref="C358:C361"/>
    <mergeCell ref="D358:D361"/>
    <mergeCell ref="E358:E361"/>
    <mergeCell ref="F358:F361"/>
    <mergeCell ref="A362:A363"/>
    <mergeCell ref="B362:B363"/>
    <mergeCell ref="C362:C363"/>
    <mergeCell ref="D362:D363"/>
    <mergeCell ref="E362:E363"/>
    <mergeCell ref="F362:F363"/>
    <mergeCell ref="A354:A355"/>
    <mergeCell ref="B354:B355"/>
    <mergeCell ref="C354:C355"/>
    <mergeCell ref="D354:D355"/>
    <mergeCell ref="E354:E355"/>
    <mergeCell ref="F354:F355"/>
    <mergeCell ref="A356:A357"/>
    <mergeCell ref="B356:B357"/>
    <mergeCell ref="C356:C357"/>
    <mergeCell ref="D356:D357"/>
    <mergeCell ref="E356:E357"/>
    <mergeCell ref="F356:F357"/>
    <mergeCell ref="A346:A349"/>
    <mergeCell ref="B346:B349"/>
    <mergeCell ref="C346:C349"/>
    <mergeCell ref="D346:D349"/>
    <mergeCell ref="E346:E349"/>
    <mergeCell ref="F346:F349"/>
    <mergeCell ref="A350:A353"/>
    <mergeCell ref="B350:B353"/>
    <mergeCell ref="C350:C353"/>
    <mergeCell ref="D350:D353"/>
    <mergeCell ref="E350:E353"/>
    <mergeCell ref="F350:F353"/>
    <mergeCell ref="A335:A339"/>
    <mergeCell ref="B335:B339"/>
    <mergeCell ref="C335:C339"/>
    <mergeCell ref="D335:D339"/>
    <mergeCell ref="E335:E339"/>
    <mergeCell ref="F335:F339"/>
    <mergeCell ref="A341:A345"/>
    <mergeCell ref="B341:B345"/>
    <mergeCell ref="C341:C345"/>
    <mergeCell ref="D341:D345"/>
    <mergeCell ref="E341:E345"/>
    <mergeCell ref="F341:F345"/>
    <mergeCell ref="A330:A332"/>
    <mergeCell ref="B330:B332"/>
    <mergeCell ref="C330:C332"/>
    <mergeCell ref="D330:D332"/>
    <mergeCell ref="E330:E332"/>
    <mergeCell ref="F330:F332"/>
    <mergeCell ref="A333:A334"/>
    <mergeCell ref="B333:B334"/>
    <mergeCell ref="C333:C334"/>
    <mergeCell ref="D333:D334"/>
    <mergeCell ref="E333:E334"/>
    <mergeCell ref="F333:F334"/>
    <mergeCell ref="A320:A323"/>
    <mergeCell ref="B320:B323"/>
    <mergeCell ref="C320:C323"/>
    <mergeCell ref="D320:D323"/>
    <mergeCell ref="E320:E323"/>
    <mergeCell ref="F320:F323"/>
    <mergeCell ref="A324:A327"/>
    <mergeCell ref="B324:B327"/>
    <mergeCell ref="C324:C327"/>
    <mergeCell ref="D324:D327"/>
    <mergeCell ref="E324:E327"/>
    <mergeCell ref="F324:F327"/>
    <mergeCell ref="A306:A307"/>
    <mergeCell ref="B306:B307"/>
    <mergeCell ref="C306:C307"/>
    <mergeCell ref="D306:D307"/>
    <mergeCell ref="E306:E307"/>
    <mergeCell ref="F306:F307"/>
    <mergeCell ref="A317:A318"/>
    <mergeCell ref="B317:B318"/>
    <mergeCell ref="C317:C318"/>
    <mergeCell ref="D317:D318"/>
    <mergeCell ref="E317:E318"/>
    <mergeCell ref="F317:F318"/>
    <mergeCell ref="A314:A315"/>
    <mergeCell ref="B314:B315"/>
    <mergeCell ref="C314:C315"/>
    <mergeCell ref="D314:D315"/>
    <mergeCell ref="E314:E315"/>
    <mergeCell ref="F314:F315"/>
    <mergeCell ref="A308:A311"/>
    <mergeCell ref="B308:B311"/>
    <mergeCell ref="C308:C311"/>
    <mergeCell ref="D308:D311"/>
    <mergeCell ref="E308:E311"/>
    <mergeCell ref="F308:F311"/>
    <mergeCell ref="A300:A303"/>
    <mergeCell ref="B300:B303"/>
    <mergeCell ref="C300:C303"/>
    <mergeCell ref="D300:D303"/>
    <mergeCell ref="E300:E303"/>
    <mergeCell ref="F300:F303"/>
    <mergeCell ref="A304:A305"/>
    <mergeCell ref="B304:B305"/>
    <mergeCell ref="C304:C305"/>
    <mergeCell ref="D304:D305"/>
    <mergeCell ref="E304:E305"/>
    <mergeCell ref="F304:F305"/>
    <mergeCell ref="A296:A297"/>
    <mergeCell ref="B296:B297"/>
    <mergeCell ref="C296:C297"/>
    <mergeCell ref="D296:D297"/>
    <mergeCell ref="E296:E297"/>
    <mergeCell ref="F296:F297"/>
    <mergeCell ref="A298:A299"/>
    <mergeCell ref="B298:B299"/>
    <mergeCell ref="C298:C299"/>
    <mergeCell ref="D298:D299"/>
    <mergeCell ref="E298:E299"/>
    <mergeCell ref="F298:F299"/>
    <mergeCell ref="A286:A291"/>
    <mergeCell ref="B286:B291"/>
    <mergeCell ref="C286:C291"/>
    <mergeCell ref="D286:D291"/>
    <mergeCell ref="E286:E291"/>
    <mergeCell ref="F286:F291"/>
    <mergeCell ref="A292:A295"/>
    <mergeCell ref="B292:B295"/>
    <mergeCell ref="C292:C295"/>
    <mergeCell ref="D292:D295"/>
    <mergeCell ref="E292:E295"/>
    <mergeCell ref="F292:F295"/>
    <mergeCell ref="A278:A281"/>
    <mergeCell ref="B278:B281"/>
    <mergeCell ref="C278:C281"/>
    <mergeCell ref="D278:D281"/>
    <mergeCell ref="E278:E281"/>
    <mergeCell ref="F278:F281"/>
    <mergeCell ref="A282:A285"/>
    <mergeCell ref="B282:B285"/>
    <mergeCell ref="C282:C285"/>
    <mergeCell ref="D282:D285"/>
    <mergeCell ref="E282:E285"/>
    <mergeCell ref="F282:F285"/>
    <mergeCell ref="A272:A274"/>
    <mergeCell ref="B272:B274"/>
    <mergeCell ref="C272:C274"/>
    <mergeCell ref="D272:D274"/>
    <mergeCell ref="E272:E274"/>
    <mergeCell ref="F272:F274"/>
    <mergeCell ref="A275:A276"/>
    <mergeCell ref="B275:B276"/>
    <mergeCell ref="C275:C276"/>
    <mergeCell ref="D275:D276"/>
    <mergeCell ref="E275:E276"/>
    <mergeCell ref="F275:F276"/>
    <mergeCell ref="A262:A265"/>
    <mergeCell ref="B262:B265"/>
    <mergeCell ref="C262:C265"/>
    <mergeCell ref="D262:D265"/>
    <mergeCell ref="E262:E265"/>
    <mergeCell ref="F262:F265"/>
    <mergeCell ref="A266:A269"/>
    <mergeCell ref="B266:B269"/>
    <mergeCell ref="C266:C269"/>
    <mergeCell ref="D266:D269"/>
    <mergeCell ref="E266:E269"/>
    <mergeCell ref="F266:F269"/>
    <mergeCell ref="A254:A257"/>
    <mergeCell ref="B254:B257"/>
    <mergeCell ref="C254:C257"/>
    <mergeCell ref="D254:D257"/>
    <mergeCell ref="E254:E257"/>
    <mergeCell ref="F254:F257"/>
    <mergeCell ref="A258:A261"/>
    <mergeCell ref="B258:B261"/>
    <mergeCell ref="C258:C261"/>
    <mergeCell ref="D258:D261"/>
    <mergeCell ref="E258:E261"/>
    <mergeCell ref="F258:F261"/>
    <mergeCell ref="A246:A247"/>
    <mergeCell ref="B246:B247"/>
    <mergeCell ref="C246:C247"/>
    <mergeCell ref="D246:D247"/>
    <mergeCell ref="E246:E247"/>
    <mergeCell ref="F246:F247"/>
    <mergeCell ref="A250:A251"/>
    <mergeCell ref="B250:B251"/>
    <mergeCell ref="C250:C251"/>
    <mergeCell ref="D250:D251"/>
    <mergeCell ref="E250:E251"/>
    <mergeCell ref="F250:F251"/>
    <mergeCell ref="A242:A243"/>
    <mergeCell ref="B242:B243"/>
    <mergeCell ref="C242:C243"/>
    <mergeCell ref="D242:D243"/>
    <mergeCell ref="E242:E243"/>
    <mergeCell ref="F242:F243"/>
    <mergeCell ref="A244:A245"/>
    <mergeCell ref="B244:B245"/>
    <mergeCell ref="C244:C245"/>
    <mergeCell ref="D244:D245"/>
    <mergeCell ref="E244:E245"/>
    <mergeCell ref="F244:F245"/>
    <mergeCell ref="A238:A239"/>
    <mergeCell ref="B238:B239"/>
    <mergeCell ref="C238:C239"/>
    <mergeCell ref="D238:D239"/>
    <mergeCell ref="E238:E239"/>
    <mergeCell ref="F238:F239"/>
    <mergeCell ref="A240:A241"/>
    <mergeCell ref="B240:B241"/>
    <mergeCell ref="C240:C241"/>
    <mergeCell ref="D240:D241"/>
    <mergeCell ref="E240:E241"/>
    <mergeCell ref="F240:F241"/>
    <mergeCell ref="A232:A233"/>
    <mergeCell ref="B232:B233"/>
    <mergeCell ref="C232:C233"/>
    <mergeCell ref="D232:D233"/>
    <mergeCell ref="E232:E233"/>
    <mergeCell ref="F232:F233"/>
    <mergeCell ref="A234:A237"/>
    <mergeCell ref="B234:B237"/>
    <mergeCell ref="C234:C237"/>
    <mergeCell ref="D234:D237"/>
    <mergeCell ref="E234:E237"/>
    <mergeCell ref="F234:F237"/>
    <mergeCell ref="A226:A229"/>
    <mergeCell ref="B226:B229"/>
    <mergeCell ref="C226:C229"/>
    <mergeCell ref="D226:D229"/>
    <mergeCell ref="E226:E229"/>
    <mergeCell ref="F226:F229"/>
    <mergeCell ref="A230:A231"/>
    <mergeCell ref="B230:B231"/>
    <mergeCell ref="C230:C231"/>
    <mergeCell ref="D230:D231"/>
    <mergeCell ref="E230:E231"/>
    <mergeCell ref="F230:F231"/>
    <mergeCell ref="A222:A223"/>
    <mergeCell ref="B222:B223"/>
    <mergeCell ref="C222:C223"/>
    <mergeCell ref="D222:D223"/>
    <mergeCell ref="E222:E223"/>
    <mergeCell ref="F222:F223"/>
    <mergeCell ref="A224:A225"/>
    <mergeCell ref="B224:B225"/>
    <mergeCell ref="C224:C225"/>
    <mergeCell ref="D224:D225"/>
    <mergeCell ref="E224:E225"/>
    <mergeCell ref="F224:F225"/>
    <mergeCell ref="A216:A217"/>
    <mergeCell ref="B216:B217"/>
    <mergeCell ref="C216:C217"/>
    <mergeCell ref="D216:D217"/>
    <mergeCell ref="E216:E217"/>
    <mergeCell ref="F216:F217"/>
    <mergeCell ref="A218:A221"/>
    <mergeCell ref="B218:B221"/>
    <mergeCell ref="C218:C221"/>
    <mergeCell ref="D218:D221"/>
    <mergeCell ref="E218:E221"/>
    <mergeCell ref="F218:F221"/>
    <mergeCell ref="A206:A211"/>
    <mergeCell ref="B206:B211"/>
    <mergeCell ref="C206:C211"/>
    <mergeCell ref="D206:D211"/>
    <mergeCell ref="E206:E211"/>
    <mergeCell ref="F206:F211"/>
    <mergeCell ref="A212:A215"/>
    <mergeCell ref="B212:B215"/>
    <mergeCell ref="C212:C215"/>
    <mergeCell ref="D212:D215"/>
    <mergeCell ref="E212:E215"/>
    <mergeCell ref="F212:F215"/>
    <mergeCell ref="A198:A201"/>
    <mergeCell ref="B198:B201"/>
    <mergeCell ref="C198:C201"/>
    <mergeCell ref="D198:D201"/>
    <mergeCell ref="E198:E201"/>
    <mergeCell ref="F198:F201"/>
    <mergeCell ref="A202:A205"/>
    <mergeCell ref="B202:B205"/>
    <mergeCell ref="C202:C205"/>
    <mergeCell ref="D202:D205"/>
    <mergeCell ref="E202:E205"/>
    <mergeCell ref="F202:F205"/>
    <mergeCell ref="A192:A194"/>
    <mergeCell ref="B192:B194"/>
    <mergeCell ref="C192:C194"/>
    <mergeCell ref="D192:D194"/>
    <mergeCell ref="E192:E194"/>
    <mergeCell ref="F192:F194"/>
    <mergeCell ref="A195:A196"/>
    <mergeCell ref="B195:B196"/>
    <mergeCell ref="C195:C196"/>
    <mergeCell ref="D195:D196"/>
    <mergeCell ref="E195:E196"/>
    <mergeCell ref="F195:F196"/>
    <mergeCell ref="A174:A177"/>
    <mergeCell ref="B174:B177"/>
    <mergeCell ref="C174:C177"/>
    <mergeCell ref="D174:D177"/>
    <mergeCell ref="E174:E177"/>
    <mergeCell ref="F174:F177"/>
    <mergeCell ref="A181:A191"/>
    <mergeCell ref="B181:B191"/>
    <mergeCell ref="C181:C191"/>
    <mergeCell ref="D181:D191"/>
    <mergeCell ref="E181:E191"/>
    <mergeCell ref="F181:F191"/>
    <mergeCell ref="A166:A169"/>
    <mergeCell ref="B166:B169"/>
    <mergeCell ref="C166:C169"/>
    <mergeCell ref="D166:D169"/>
    <mergeCell ref="E166:E169"/>
    <mergeCell ref="F166:F169"/>
    <mergeCell ref="A170:A173"/>
    <mergeCell ref="B170:B173"/>
    <mergeCell ref="C170:C173"/>
    <mergeCell ref="D170:D173"/>
    <mergeCell ref="E170:E173"/>
    <mergeCell ref="F170:F173"/>
    <mergeCell ref="A160:A161"/>
    <mergeCell ref="B160:B161"/>
    <mergeCell ref="C160:C161"/>
    <mergeCell ref="D160:D161"/>
    <mergeCell ref="E160:E161"/>
    <mergeCell ref="F160:F161"/>
    <mergeCell ref="A162:A165"/>
    <mergeCell ref="B162:B165"/>
    <mergeCell ref="C162:C165"/>
    <mergeCell ref="D162:D165"/>
    <mergeCell ref="E162:E165"/>
    <mergeCell ref="F162:F165"/>
    <mergeCell ref="A150:A153"/>
    <mergeCell ref="B150:B153"/>
    <mergeCell ref="C150:C153"/>
    <mergeCell ref="D150:D153"/>
    <mergeCell ref="E150:E153"/>
    <mergeCell ref="F150:F153"/>
    <mergeCell ref="A156:A157"/>
    <mergeCell ref="B156:B157"/>
    <mergeCell ref="C156:C157"/>
    <mergeCell ref="D156:D157"/>
    <mergeCell ref="E156:E157"/>
    <mergeCell ref="F156:F157"/>
    <mergeCell ref="A142:A145"/>
    <mergeCell ref="B142:B145"/>
    <mergeCell ref="C142:C145"/>
    <mergeCell ref="D142:D145"/>
    <mergeCell ref="E142:E145"/>
    <mergeCell ref="F142:F145"/>
    <mergeCell ref="A146:A149"/>
    <mergeCell ref="B146:B149"/>
    <mergeCell ref="C146:C149"/>
    <mergeCell ref="D146:D149"/>
    <mergeCell ref="E146:E149"/>
    <mergeCell ref="F146:F149"/>
    <mergeCell ref="A138:A139"/>
    <mergeCell ref="B138:B139"/>
    <mergeCell ref="C138:C139"/>
    <mergeCell ref="D138:D139"/>
    <mergeCell ref="E138:E139"/>
    <mergeCell ref="F138:F139"/>
    <mergeCell ref="A140:A141"/>
    <mergeCell ref="B140:B141"/>
    <mergeCell ref="C140:C141"/>
    <mergeCell ref="D140:D141"/>
    <mergeCell ref="E140:E141"/>
    <mergeCell ref="F140:F141"/>
    <mergeCell ref="A130:A133"/>
    <mergeCell ref="B130:B133"/>
    <mergeCell ref="C130:C133"/>
    <mergeCell ref="D130:D133"/>
    <mergeCell ref="E130:E133"/>
    <mergeCell ref="F130:F133"/>
    <mergeCell ref="A134:A137"/>
    <mergeCell ref="B134:B137"/>
    <mergeCell ref="C134:C137"/>
    <mergeCell ref="D134:D137"/>
    <mergeCell ref="E134:E137"/>
    <mergeCell ref="F134:F137"/>
    <mergeCell ref="A126:A127"/>
    <mergeCell ref="B126:B127"/>
    <mergeCell ref="C126:C127"/>
    <mergeCell ref="D126:D127"/>
    <mergeCell ref="E126:E127"/>
    <mergeCell ref="F126:F127"/>
    <mergeCell ref="A128:A129"/>
    <mergeCell ref="B128:B129"/>
    <mergeCell ref="C128:C129"/>
    <mergeCell ref="D128:D129"/>
    <mergeCell ref="E128:E129"/>
    <mergeCell ref="F128:F129"/>
    <mergeCell ref="A118:A121"/>
    <mergeCell ref="B118:B121"/>
    <mergeCell ref="C118:C121"/>
    <mergeCell ref="D118:D121"/>
    <mergeCell ref="E118:E121"/>
    <mergeCell ref="F118:F121"/>
    <mergeCell ref="A122:A125"/>
    <mergeCell ref="B122:B125"/>
    <mergeCell ref="C122:C125"/>
    <mergeCell ref="D122:D125"/>
    <mergeCell ref="E122:E125"/>
    <mergeCell ref="F122:F125"/>
    <mergeCell ref="A110:A113"/>
    <mergeCell ref="B110:B113"/>
    <mergeCell ref="C110:C113"/>
    <mergeCell ref="D110:D113"/>
    <mergeCell ref="E110:E113"/>
    <mergeCell ref="F110:F113"/>
    <mergeCell ref="A114:A117"/>
    <mergeCell ref="B114:B117"/>
    <mergeCell ref="C114:C117"/>
    <mergeCell ref="D114:D117"/>
    <mergeCell ref="E114:E117"/>
    <mergeCell ref="F114:F117"/>
    <mergeCell ref="A104:A105"/>
    <mergeCell ref="B104:B105"/>
    <mergeCell ref="C104:C105"/>
    <mergeCell ref="D104:D105"/>
    <mergeCell ref="E104:E105"/>
    <mergeCell ref="F104:F105"/>
    <mergeCell ref="A106:A109"/>
    <mergeCell ref="B106:B109"/>
    <mergeCell ref="C106:C109"/>
    <mergeCell ref="D106:D109"/>
    <mergeCell ref="E106:E109"/>
    <mergeCell ref="F106:F109"/>
    <mergeCell ref="A100:A101"/>
    <mergeCell ref="B100:B101"/>
    <mergeCell ref="C100:C101"/>
    <mergeCell ref="D100:D101"/>
    <mergeCell ref="E100:E101"/>
    <mergeCell ref="F100:F101"/>
    <mergeCell ref="A102:A103"/>
    <mergeCell ref="B102:B103"/>
    <mergeCell ref="C102:C103"/>
    <mergeCell ref="D102:D103"/>
    <mergeCell ref="E102:E103"/>
    <mergeCell ref="F102:F103"/>
    <mergeCell ref="A94:A97"/>
    <mergeCell ref="B94:B97"/>
    <mergeCell ref="C94:C97"/>
    <mergeCell ref="D94:D97"/>
    <mergeCell ref="E94:E97"/>
    <mergeCell ref="F94:F97"/>
    <mergeCell ref="A98:A99"/>
    <mergeCell ref="B98:B99"/>
    <mergeCell ref="C98:C99"/>
    <mergeCell ref="D98:D99"/>
    <mergeCell ref="E98:E99"/>
    <mergeCell ref="F98:F99"/>
    <mergeCell ref="A6:K6"/>
    <mergeCell ref="A78:A88"/>
    <mergeCell ref="B78:B88"/>
    <mergeCell ref="C78:C88"/>
    <mergeCell ref="D78:D88"/>
    <mergeCell ref="E78:E88"/>
    <mergeCell ref="F78:F88"/>
    <mergeCell ref="A90:A93"/>
    <mergeCell ref="B90:B93"/>
    <mergeCell ref="C90:C93"/>
    <mergeCell ref="D90:D93"/>
    <mergeCell ref="E90:E93"/>
    <mergeCell ref="F90:F93"/>
    <mergeCell ref="F18:F19"/>
    <mergeCell ref="A8:L8"/>
    <mergeCell ref="A9:L9"/>
    <mergeCell ref="A11:I11"/>
    <mergeCell ref="A15:A17"/>
    <mergeCell ref="B15:B17"/>
    <mergeCell ref="C15:C17"/>
    <mergeCell ref="D15:D17"/>
    <mergeCell ref="E15:E17"/>
    <mergeCell ref="F15:F17"/>
    <mergeCell ref="A18:A19"/>
    <mergeCell ref="B18:B19"/>
    <mergeCell ref="C18:C19"/>
    <mergeCell ref="D18:D19"/>
    <mergeCell ref="E18:E19"/>
    <mergeCell ref="S23:S25"/>
    <mergeCell ref="A27:A30"/>
    <mergeCell ref="B27:B30"/>
    <mergeCell ref="C27:C30"/>
    <mergeCell ref="D27:D30"/>
    <mergeCell ref="E27:E30"/>
    <mergeCell ref="F27:F30"/>
    <mergeCell ref="A23:A26"/>
    <mergeCell ref="B23:B26"/>
    <mergeCell ref="C23:C26"/>
    <mergeCell ref="D23:D26"/>
    <mergeCell ref="E23:E26"/>
    <mergeCell ref="F23:F26"/>
    <mergeCell ref="C31:C32"/>
    <mergeCell ref="D31:D32"/>
    <mergeCell ref="E31:E32"/>
    <mergeCell ref="S33:S34"/>
    <mergeCell ref="A37:A40"/>
    <mergeCell ref="B37:B40"/>
    <mergeCell ref="C37:C40"/>
    <mergeCell ref="D37:D40"/>
    <mergeCell ref="E37:E40"/>
    <mergeCell ref="F37:F40"/>
    <mergeCell ref="A33:A34"/>
    <mergeCell ref="B33:B34"/>
    <mergeCell ref="C33:C34"/>
    <mergeCell ref="D33:D34"/>
    <mergeCell ref="E33:E34"/>
    <mergeCell ref="F33:F34"/>
    <mergeCell ref="F31:F32"/>
    <mergeCell ref="A31:A32"/>
    <mergeCell ref="B31:B32"/>
    <mergeCell ref="F43:F44"/>
    <mergeCell ref="A41:A42"/>
    <mergeCell ref="B41:B42"/>
    <mergeCell ref="C41:C42"/>
    <mergeCell ref="D41:D42"/>
    <mergeCell ref="E41:E42"/>
    <mergeCell ref="F41:F42"/>
    <mergeCell ref="A43:A44"/>
    <mergeCell ref="B43:B44"/>
    <mergeCell ref="C43:C44"/>
    <mergeCell ref="D43:D44"/>
    <mergeCell ref="E43:E44"/>
    <mergeCell ref="F57:F58"/>
    <mergeCell ref="A53:A56"/>
    <mergeCell ref="B53:B56"/>
    <mergeCell ref="C53:C56"/>
    <mergeCell ref="D53:D56"/>
    <mergeCell ref="E53:E56"/>
    <mergeCell ref="F53:F56"/>
    <mergeCell ref="A57:A58"/>
    <mergeCell ref="B57:B58"/>
    <mergeCell ref="C57:C58"/>
    <mergeCell ref="D57:D58"/>
    <mergeCell ref="E57:E58"/>
    <mergeCell ref="F61:F62"/>
    <mergeCell ref="A59:A60"/>
    <mergeCell ref="B59:B60"/>
    <mergeCell ref="C59:C60"/>
    <mergeCell ref="D59:D60"/>
    <mergeCell ref="E59:E60"/>
    <mergeCell ref="F59:F60"/>
    <mergeCell ref="A61:A62"/>
    <mergeCell ref="B61:B62"/>
    <mergeCell ref="C61:C62"/>
    <mergeCell ref="D61:D62"/>
    <mergeCell ref="E61:E62"/>
    <mergeCell ref="F45:F48"/>
    <mergeCell ref="A49:A50"/>
    <mergeCell ref="B49:B50"/>
    <mergeCell ref="C49:C50"/>
    <mergeCell ref="D49:D50"/>
    <mergeCell ref="E49:E50"/>
    <mergeCell ref="F49:F50"/>
    <mergeCell ref="A45:A48"/>
    <mergeCell ref="B45:B48"/>
    <mergeCell ref="C45:C48"/>
    <mergeCell ref="D45:D48"/>
    <mergeCell ref="E45:E48"/>
    <mergeCell ref="A312:A313"/>
    <mergeCell ref="B312:B313"/>
    <mergeCell ref="C312:C313"/>
    <mergeCell ref="D312:D313"/>
    <mergeCell ref="E312:E313"/>
    <mergeCell ref="F312:F313"/>
    <mergeCell ref="F51:F52"/>
    <mergeCell ref="A51:A52"/>
    <mergeCell ref="B51:B52"/>
    <mergeCell ref="C51:C52"/>
    <mergeCell ref="D51:D52"/>
    <mergeCell ref="E51:E52"/>
    <mergeCell ref="F71:F74"/>
    <mergeCell ref="A67:A70"/>
    <mergeCell ref="B67:B70"/>
    <mergeCell ref="C67:C70"/>
    <mergeCell ref="D67:D70"/>
    <mergeCell ref="E67:E70"/>
    <mergeCell ref="F67:F70"/>
    <mergeCell ref="A71:A74"/>
    <mergeCell ref="B71:B74"/>
    <mergeCell ref="C71:C74"/>
    <mergeCell ref="D71:D74"/>
    <mergeCell ref="E71:E74"/>
  </mergeCells>
  <pageMargins left="0.78740157480314965" right="0.59055118110236227" top="0.59055118110236227" bottom="0.59055118110236227" header="0" footer="0"/>
  <pageSetup paperSize="8" scale="63" fitToHeight="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BCFD-89C4-44D1-8648-22CC4008DB3B}">
  <sheetPr>
    <pageSetUpPr fitToPage="1"/>
  </sheetPr>
  <dimension ref="A1:P768"/>
  <sheetViews>
    <sheetView tabSelected="1" view="pageBreakPreview" zoomScaleNormal="100" zoomScaleSheetLayoutView="100" workbookViewId="0">
      <selection activeCell="A9" sqref="A9:L9"/>
    </sheetView>
  </sheetViews>
  <sheetFormatPr defaultColWidth="9.140625" defaultRowHeight="12.75"/>
  <cols>
    <col min="1" max="1" width="5.42578125" style="548" customWidth="1"/>
    <col min="2" max="2" width="49.42578125" style="342" customWidth="1"/>
    <col min="3" max="3" width="7.5703125" style="340" customWidth="1"/>
    <col min="4" max="4" width="9.7109375" style="549" customWidth="1"/>
    <col min="5" max="5" width="12.28515625" style="549" customWidth="1"/>
    <col min="6" max="6" width="13.42578125" style="549" customWidth="1"/>
    <col min="7" max="7" width="61.28515625" style="340" customWidth="1"/>
    <col min="8" max="8" width="6.7109375" style="341" customWidth="1"/>
    <col min="9" max="9" width="8.28515625" style="341" customWidth="1"/>
    <col min="10" max="10" width="10.42578125" style="344" customWidth="1"/>
    <col min="11" max="11" width="13.140625" style="344" customWidth="1"/>
    <col min="12" max="12" width="13.42578125" style="344" customWidth="1"/>
    <col min="13" max="13" width="28" style="340" customWidth="1"/>
    <col min="14" max="14" width="25.28515625" style="340" customWidth="1"/>
    <col min="15" max="15" width="15.7109375" style="340" customWidth="1"/>
    <col min="16" max="16384" width="9.140625" style="340"/>
  </cols>
  <sheetData>
    <row r="1" spans="1:13" s="334" customFormat="1" ht="15" customHeight="1">
      <c r="A1" s="326"/>
      <c r="B1" s="327"/>
      <c r="C1" s="327"/>
      <c r="D1" s="328"/>
      <c r="E1" s="328"/>
      <c r="F1" s="328"/>
      <c r="G1" s="329"/>
      <c r="H1" s="330"/>
      <c r="I1" s="330"/>
      <c r="J1" s="331"/>
      <c r="K1" s="332"/>
      <c r="L1" s="333"/>
    </row>
    <row r="2" spans="1:13" s="334" customFormat="1" ht="15" customHeight="1">
      <c r="A2" s="326"/>
      <c r="B2" s="327"/>
      <c r="C2" s="327"/>
      <c r="D2" s="328"/>
      <c r="E2" s="328"/>
      <c r="F2" s="328"/>
      <c r="G2" s="329"/>
      <c r="H2" s="330"/>
      <c r="I2" s="330"/>
      <c r="J2" s="331"/>
      <c r="K2" s="729" t="s">
        <v>469</v>
      </c>
      <c r="L2" s="729"/>
    </row>
    <row r="3" spans="1:13" s="334" customFormat="1" ht="15" customHeight="1">
      <c r="A3" s="737" t="s">
        <v>471</v>
      </c>
      <c r="B3" s="737"/>
      <c r="C3" s="327"/>
      <c r="D3" s="328"/>
      <c r="E3" s="328"/>
      <c r="F3" s="328"/>
      <c r="G3" s="329"/>
      <c r="H3" s="330"/>
      <c r="I3" s="330"/>
      <c r="J3" s="331"/>
      <c r="K3" s="332"/>
      <c r="L3" s="333"/>
    </row>
    <row r="4" spans="1:13" s="334" customFormat="1" ht="15" customHeight="1">
      <c r="A4" s="737" t="s">
        <v>470</v>
      </c>
      <c r="B4" s="737"/>
      <c r="C4" s="327"/>
      <c r="D4" s="328"/>
      <c r="E4" s="328"/>
      <c r="F4" s="328"/>
      <c r="G4" s="329"/>
      <c r="H4" s="330"/>
      <c r="I4" s="330"/>
      <c r="J4" s="331"/>
      <c r="K4" s="332"/>
      <c r="L4" s="333"/>
    </row>
    <row r="5" spans="1:13" s="334" customFormat="1">
      <c r="A5" s="328"/>
      <c r="B5" s="329"/>
      <c r="C5" s="329"/>
      <c r="D5" s="328"/>
      <c r="E5" s="328"/>
      <c r="F5" s="328"/>
      <c r="G5" s="329"/>
      <c r="H5" s="335"/>
      <c r="I5" s="335"/>
      <c r="J5" s="331"/>
      <c r="K5" s="332"/>
      <c r="L5" s="332"/>
    </row>
    <row r="6" spans="1:13" s="337" customFormat="1" ht="39.950000000000003" customHeight="1">
      <c r="A6" s="730" t="s">
        <v>472</v>
      </c>
      <c r="B6" s="730"/>
      <c r="C6" s="730"/>
      <c r="D6" s="730"/>
      <c r="E6" s="730"/>
      <c r="F6" s="730"/>
      <c r="G6" s="730"/>
      <c r="H6" s="730"/>
      <c r="I6" s="730"/>
      <c r="J6" s="730"/>
      <c r="K6" s="730"/>
      <c r="L6" s="336"/>
    </row>
    <row r="7" spans="1:13" s="334" customFormat="1">
      <c r="A7" s="328"/>
      <c r="B7" s="329"/>
      <c r="C7" s="337"/>
      <c r="D7" s="338"/>
      <c r="E7" s="338"/>
      <c r="F7" s="338"/>
      <c r="G7" s="337"/>
      <c r="H7" s="338"/>
      <c r="I7" s="338"/>
      <c r="J7" s="338"/>
      <c r="K7" s="338"/>
      <c r="L7" s="338"/>
      <c r="M7" s="339"/>
    </row>
    <row r="8" spans="1:13" s="334" customFormat="1" ht="14.25" customHeight="1">
      <c r="A8" s="731" t="s">
        <v>414</v>
      </c>
      <c r="B8" s="731"/>
      <c r="C8" s="731"/>
      <c r="D8" s="731"/>
      <c r="E8" s="731"/>
      <c r="F8" s="731"/>
      <c r="G8" s="731"/>
      <c r="H8" s="731"/>
      <c r="I8" s="731"/>
      <c r="J8" s="731"/>
      <c r="K8" s="731"/>
      <c r="L8" s="731"/>
      <c r="M8" s="339"/>
    </row>
    <row r="9" spans="1:13">
      <c r="A9" s="732" t="s">
        <v>468</v>
      </c>
      <c r="B9" s="732"/>
      <c r="C9" s="732"/>
      <c r="D9" s="733"/>
      <c r="E9" s="733"/>
      <c r="F9" s="734"/>
      <c r="G9" s="732"/>
      <c r="H9" s="732"/>
      <c r="I9" s="732"/>
      <c r="J9" s="735"/>
      <c r="K9" s="735"/>
      <c r="L9" s="735"/>
    </row>
    <row r="10" spans="1:13">
      <c r="A10" s="341"/>
      <c r="C10" s="341"/>
      <c r="D10" s="343"/>
      <c r="E10" s="343"/>
      <c r="F10" s="344"/>
      <c r="G10" s="341"/>
      <c r="I10" s="344"/>
    </row>
    <row r="11" spans="1:13" s="346" customFormat="1" ht="13.5" thickBot="1">
      <c r="A11" s="736"/>
      <c r="B11" s="736"/>
      <c r="C11" s="736"/>
      <c r="D11" s="736"/>
      <c r="E11" s="736"/>
      <c r="F11" s="736"/>
      <c r="G11" s="736"/>
      <c r="H11" s="736"/>
      <c r="I11" s="736"/>
      <c r="J11" s="345"/>
      <c r="K11" s="345"/>
      <c r="L11" s="345"/>
    </row>
    <row r="12" spans="1:13" ht="26.25" thickBot="1">
      <c r="A12" s="347" t="s">
        <v>0</v>
      </c>
      <c r="B12" s="348" t="s">
        <v>1</v>
      </c>
      <c r="C12" s="349" t="s">
        <v>2</v>
      </c>
      <c r="D12" s="350" t="s">
        <v>3</v>
      </c>
      <c r="E12" s="351" t="s">
        <v>4</v>
      </c>
      <c r="F12" s="352" t="s">
        <v>5</v>
      </c>
      <c r="G12" s="349" t="s">
        <v>6</v>
      </c>
      <c r="H12" s="349" t="s">
        <v>2</v>
      </c>
      <c r="I12" s="349" t="s">
        <v>7</v>
      </c>
      <c r="J12" s="351" t="s">
        <v>3</v>
      </c>
      <c r="K12" s="351" t="s">
        <v>4</v>
      </c>
      <c r="L12" s="353" t="s">
        <v>8</v>
      </c>
    </row>
    <row r="13" spans="1:13" ht="16.5" thickBot="1">
      <c r="A13" s="347"/>
      <c r="B13" s="550" t="s">
        <v>422</v>
      </c>
      <c r="C13" s="349"/>
      <c r="D13" s="350"/>
      <c r="E13" s="351"/>
      <c r="F13" s="352"/>
      <c r="G13" s="349"/>
      <c r="H13" s="349"/>
      <c r="I13" s="349"/>
      <c r="J13" s="351"/>
      <c r="K13" s="351"/>
      <c r="L13" s="353"/>
    </row>
    <row r="14" spans="1:13" ht="15" customHeight="1">
      <c r="A14" s="354"/>
      <c r="B14" s="355" t="s">
        <v>205</v>
      </c>
      <c r="C14" s="356"/>
      <c r="D14" s="357"/>
      <c r="E14" s="357"/>
      <c r="F14" s="358"/>
      <c r="G14" s="357"/>
      <c r="H14" s="357"/>
      <c r="I14" s="357"/>
      <c r="J14" s="359"/>
      <c r="K14" s="359"/>
      <c r="L14" s="360"/>
    </row>
    <row r="15" spans="1:13" ht="15" customHeight="1">
      <c r="A15" s="361"/>
      <c r="B15" s="362" t="s">
        <v>206</v>
      </c>
      <c r="C15" s="363"/>
      <c r="D15" s="364"/>
      <c r="E15" s="364"/>
      <c r="F15" s="364"/>
      <c r="G15" s="363"/>
      <c r="H15" s="365"/>
      <c r="I15" s="365"/>
      <c r="J15" s="366"/>
      <c r="K15" s="366"/>
      <c r="L15" s="367"/>
    </row>
    <row r="16" spans="1:13" s="372" customFormat="1" ht="15" customHeight="1">
      <c r="A16" s="361"/>
      <c r="B16" s="362" t="s">
        <v>31</v>
      </c>
      <c r="C16" s="363"/>
      <c r="D16" s="364"/>
      <c r="E16" s="368"/>
      <c r="F16" s="368"/>
      <c r="G16" s="363"/>
      <c r="H16" s="369"/>
      <c r="I16" s="370"/>
      <c r="J16" s="370"/>
      <c r="K16" s="370"/>
      <c r="L16" s="371"/>
    </row>
    <row r="17" spans="1:15" ht="15" customHeight="1">
      <c r="A17" s="361">
        <v>1</v>
      </c>
      <c r="B17" s="362" t="s">
        <v>216</v>
      </c>
      <c r="C17" s="363" t="s">
        <v>22</v>
      </c>
      <c r="D17" s="364">
        <v>10.93</v>
      </c>
      <c r="E17" s="364"/>
      <c r="F17" s="364">
        <f>D17*E17</f>
        <v>0</v>
      </c>
      <c r="G17" s="363"/>
      <c r="H17" s="365"/>
      <c r="I17" s="365"/>
      <c r="J17" s="366"/>
      <c r="K17" s="366"/>
      <c r="L17" s="367"/>
    </row>
    <row r="18" spans="1:15" ht="15" customHeight="1">
      <c r="A18" s="677">
        <v>2</v>
      </c>
      <c r="B18" s="715" t="s">
        <v>217</v>
      </c>
      <c r="C18" s="681" t="s">
        <v>22</v>
      </c>
      <c r="D18" s="682">
        <v>10.93</v>
      </c>
      <c r="E18" s="682"/>
      <c r="F18" s="682">
        <f>D18*E18</f>
        <v>0</v>
      </c>
      <c r="G18" s="363" t="s">
        <v>293</v>
      </c>
      <c r="H18" s="373" t="s">
        <v>22</v>
      </c>
      <c r="I18" s="374">
        <v>1.01</v>
      </c>
      <c r="J18" s="374">
        <f>10.93*I18</f>
        <v>11.039299999999999</v>
      </c>
      <c r="K18" s="375"/>
      <c r="L18" s="367">
        <f>J18*K18</f>
        <v>0</v>
      </c>
    </row>
    <row r="19" spans="1:15" ht="15" customHeight="1">
      <c r="A19" s="677"/>
      <c r="B19" s="715"/>
      <c r="C19" s="681"/>
      <c r="D19" s="682"/>
      <c r="E19" s="682"/>
      <c r="F19" s="682"/>
      <c r="G19" s="363" t="s">
        <v>295</v>
      </c>
      <c r="H19" s="376" t="s">
        <v>294</v>
      </c>
      <c r="I19" s="376">
        <v>0.1</v>
      </c>
      <c r="J19" s="374">
        <f>I19*D18</f>
        <v>1.093</v>
      </c>
      <c r="K19" s="375"/>
      <c r="L19" s="367">
        <f>J19*K19</f>
        <v>0</v>
      </c>
    </row>
    <row r="20" spans="1:15" ht="15" customHeight="1">
      <c r="A20" s="377">
        <v>3</v>
      </c>
      <c r="B20" s="378" t="s">
        <v>20</v>
      </c>
      <c r="C20" s="379"/>
      <c r="D20" s="380"/>
      <c r="E20" s="380"/>
      <c r="F20" s="380"/>
      <c r="G20" s="379"/>
      <c r="H20" s="381"/>
      <c r="I20" s="382"/>
      <c r="J20" s="382"/>
      <c r="K20" s="382"/>
      <c r="L20" s="383"/>
    </row>
    <row r="21" spans="1:15" ht="15" customHeight="1">
      <c r="A21" s="710">
        <v>4</v>
      </c>
      <c r="B21" s="711" t="s">
        <v>207</v>
      </c>
      <c r="C21" s="712" t="s">
        <v>11</v>
      </c>
      <c r="D21" s="713">
        <v>70.95</v>
      </c>
      <c r="E21" s="713"/>
      <c r="F21" s="714">
        <v>5414.5</v>
      </c>
      <c r="G21" s="378" t="s">
        <v>297</v>
      </c>
      <c r="H21" s="384" t="s">
        <v>11</v>
      </c>
      <c r="I21" s="385">
        <f>1.05*2</f>
        <v>2.1</v>
      </c>
      <c r="J21" s="385">
        <f>D21*I21</f>
        <v>148.995</v>
      </c>
      <c r="K21" s="386"/>
      <c r="L21" s="387">
        <f t="shared" ref="L21:L43" si="0">ROUND(K21*J21,2)</f>
        <v>0</v>
      </c>
    </row>
    <row r="22" spans="1:15" s="372" customFormat="1" ht="15" customHeight="1">
      <c r="A22" s="710"/>
      <c r="B22" s="711"/>
      <c r="C22" s="712"/>
      <c r="D22" s="713"/>
      <c r="E22" s="713"/>
      <c r="F22" s="714"/>
      <c r="G22" s="378" t="s">
        <v>208</v>
      </c>
      <c r="H22" s="384" t="s">
        <v>37</v>
      </c>
      <c r="I22" s="388">
        <v>2</v>
      </c>
      <c r="J22" s="386">
        <f>I22*D21</f>
        <v>141.9</v>
      </c>
      <c r="K22" s="375"/>
      <c r="L22" s="387">
        <f t="shared" si="0"/>
        <v>0</v>
      </c>
    </row>
    <row r="23" spans="1:15" s="372" customFormat="1" ht="15" customHeight="1">
      <c r="A23" s="710"/>
      <c r="B23" s="711"/>
      <c r="C23" s="712"/>
      <c r="D23" s="713"/>
      <c r="E23" s="713"/>
      <c r="F23" s="714"/>
      <c r="G23" s="378" t="s">
        <v>209</v>
      </c>
      <c r="H23" s="384" t="s">
        <v>37</v>
      </c>
      <c r="I23" s="385">
        <v>0.8</v>
      </c>
      <c r="J23" s="385">
        <f>I23*D21</f>
        <v>56.760000000000005</v>
      </c>
      <c r="K23" s="375"/>
      <c r="L23" s="387">
        <f t="shared" si="0"/>
        <v>0</v>
      </c>
    </row>
    <row r="24" spans="1:15" s="372" customFormat="1" ht="15" customHeight="1">
      <c r="A24" s="710"/>
      <c r="B24" s="711"/>
      <c r="C24" s="712"/>
      <c r="D24" s="713"/>
      <c r="E24" s="713"/>
      <c r="F24" s="714"/>
      <c r="G24" s="378" t="s">
        <v>305</v>
      </c>
      <c r="H24" s="384" t="s">
        <v>88</v>
      </c>
      <c r="I24" s="388">
        <v>1.32</v>
      </c>
      <c r="J24" s="386">
        <f>D21*I24</f>
        <v>93.654000000000011</v>
      </c>
      <c r="K24" s="375"/>
      <c r="L24" s="387">
        <f t="shared" si="0"/>
        <v>0</v>
      </c>
    </row>
    <row r="25" spans="1:15" s="372" customFormat="1" ht="15" customHeight="1">
      <c r="A25" s="710"/>
      <c r="B25" s="711"/>
      <c r="C25" s="712"/>
      <c r="D25" s="713"/>
      <c r="E25" s="713"/>
      <c r="F25" s="714"/>
      <c r="G25" s="378" t="s">
        <v>210</v>
      </c>
      <c r="H25" s="384" t="s">
        <v>88</v>
      </c>
      <c r="I25" s="385">
        <v>0.2</v>
      </c>
      <c r="J25" s="385">
        <f>D21*I25</f>
        <v>14.190000000000001</v>
      </c>
      <c r="K25" s="375"/>
      <c r="L25" s="387">
        <f t="shared" si="0"/>
        <v>0</v>
      </c>
    </row>
    <row r="26" spans="1:15" s="372" customFormat="1" ht="15" customHeight="1">
      <c r="A26" s="710"/>
      <c r="B26" s="711"/>
      <c r="C26" s="712"/>
      <c r="D26" s="713"/>
      <c r="E26" s="713"/>
      <c r="F26" s="714"/>
      <c r="G26" s="378" t="s">
        <v>211</v>
      </c>
      <c r="H26" s="384" t="s">
        <v>37</v>
      </c>
      <c r="I26" s="388">
        <f>0.85*2</f>
        <v>1.7</v>
      </c>
      <c r="J26" s="386">
        <f>D21*I26</f>
        <v>120.61499999999999</v>
      </c>
      <c r="K26" s="375"/>
      <c r="L26" s="387">
        <f t="shared" si="0"/>
        <v>0</v>
      </c>
    </row>
    <row r="27" spans="1:15" s="372" customFormat="1" ht="15" customHeight="1">
      <c r="A27" s="710"/>
      <c r="B27" s="711"/>
      <c r="C27" s="712"/>
      <c r="D27" s="713"/>
      <c r="E27" s="713"/>
      <c r="F27" s="714"/>
      <c r="G27" s="378" t="s">
        <v>301</v>
      </c>
      <c r="H27" s="384" t="s">
        <v>88</v>
      </c>
      <c r="I27" s="385">
        <v>3</v>
      </c>
      <c r="J27" s="385">
        <f>I27*D21</f>
        <v>212.85000000000002</v>
      </c>
      <c r="K27" s="385"/>
      <c r="L27" s="387">
        <f t="shared" si="0"/>
        <v>0</v>
      </c>
    </row>
    <row r="28" spans="1:15" s="372" customFormat="1" ht="15" customHeight="1">
      <c r="A28" s="710"/>
      <c r="B28" s="711"/>
      <c r="C28" s="712"/>
      <c r="D28" s="713"/>
      <c r="E28" s="713"/>
      <c r="F28" s="714"/>
      <c r="G28" s="378" t="s">
        <v>212</v>
      </c>
      <c r="H28" s="384" t="s">
        <v>88</v>
      </c>
      <c r="I28" s="388">
        <f>2.7*2</f>
        <v>5.4</v>
      </c>
      <c r="J28" s="386">
        <f>D21*I28</f>
        <v>383.13000000000005</v>
      </c>
      <c r="K28" s="375"/>
      <c r="L28" s="387">
        <f t="shared" si="0"/>
        <v>0</v>
      </c>
      <c r="O28" s="389"/>
    </row>
    <row r="29" spans="1:15" s="372" customFormat="1" ht="15" customHeight="1">
      <c r="A29" s="710"/>
      <c r="B29" s="711"/>
      <c r="C29" s="712"/>
      <c r="D29" s="713"/>
      <c r="E29" s="713"/>
      <c r="F29" s="714"/>
      <c r="G29" s="378" t="s">
        <v>213</v>
      </c>
      <c r="H29" s="384" t="s">
        <v>88</v>
      </c>
      <c r="I29" s="385">
        <f>1.7*2</f>
        <v>3.4</v>
      </c>
      <c r="J29" s="385">
        <f>I29*D21</f>
        <v>241.23</v>
      </c>
      <c r="K29" s="375"/>
      <c r="L29" s="387">
        <f t="shared" si="0"/>
        <v>0</v>
      </c>
      <c r="M29" s="390"/>
      <c r="N29" s="390"/>
      <c r="O29" s="389"/>
    </row>
    <row r="30" spans="1:15" s="372" customFormat="1" ht="15" customHeight="1">
      <c r="A30" s="710"/>
      <c r="B30" s="711"/>
      <c r="C30" s="712"/>
      <c r="D30" s="713"/>
      <c r="E30" s="713"/>
      <c r="F30" s="714"/>
      <c r="G30" s="378" t="s">
        <v>214</v>
      </c>
      <c r="H30" s="384" t="s">
        <v>15</v>
      </c>
      <c r="I30" s="388">
        <v>0.3</v>
      </c>
      <c r="J30" s="386">
        <f>D21*I30</f>
        <v>21.285</v>
      </c>
      <c r="K30" s="375"/>
      <c r="L30" s="387">
        <f t="shared" si="0"/>
        <v>0</v>
      </c>
      <c r="M30" s="390"/>
      <c r="N30" s="390"/>
      <c r="O30" s="389"/>
    </row>
    <row r="31" spans="1:15" s="372" customFormat="1" ht="15" customHeight="1">
      <c r="A31" s="710"/>
      <c r="B31" s="711"/>
      <c r="C31" s="712"/>
      <c r="D31" s="713"/>
      <c r="E31" s="713"/>
      <c r="F31" s="714"/>
      <c r="G31" s="378" t="s">
        <v>215</v>
      </c>
      <c r="H31" s="384" t="s">
        <v>37</v>
      </c>
      <c r="I31" s="385">
        <f>1.1*2</f>
        <v>2.2000000000000002</v>
      </c>
      <c r="J31" s="385">
        <f>D21*I31</f>
        <v>156.09000000000003</v>
      </c>
      <c r="K31" s="385"/>
      <c r="L31" s="387">
        <f t="shared" si="0"/>
        <v>0</v>
      </c>
      <c r="M31" s="390"/>
      <c r="N31" s="390"/>
      <c r="O31" s="389"/>
    </row>
    <row r="32" spans="1:15" s="393" customFormat="1" ht="15">
      <c r="A32" s="719">
        <v>5</v>
      </c>
      <c r="B32" s="707" t="s">
        <v>218</v>
      </c>
      <c r="C32" s="708" t="s">
        <v>11</v>
      </c>
      <c r="D32" s="720">
        <f>D21</f>
        <v>70.95</v>
      </c>
      <c r="E32" s="709"/>
      <c r="F32" s="709">
        <f>ROUND(E32*D32,2)</f>
        <v>0</v>
      </c>
      <c r="G32" s="391" t="s">
        <v>298</v>
      </c>
      <c r="H32" s="384" t="s">
        <v>13</v>
      </c>
      <c r="I32" s="385">
        <v>0.2</v>
      </c>
      <c r="J32" s="386">
        <f>I32*D32</f>
        <v>14.190000000000001</v>
      </c>
      <c r="K32" s="392"/>
      <c r="L32" s="387">
        <f t="shared" si="0"/>
        <v>0</v>
      </c>
    </row>
    <row r="33" spans="1:15" s="393" customFormat="1" ht="15">
      <c r="A33" s="719"/>
      <c r="B33" s="707"/>
      <c r="C33" s="708"/>
      <c r="D33" s="720"/>
      <c r="E33" s="709"/>
      <c r="F33" s="709"/>
      <c r="G33" s="391" t="s">
        <v>296</v>
      </c>
      <c r="H33" s="384" t="s">
        <v>15</v>
      </c>
      <c r="I33" s="385">
        <v>0.5</v>
      </c>
      <c r="J33" s="385">
        <f>D32*I33</f>
        <v>35.475000000000001</v>
      </c>
      <c r="K33" s="385"/>
      <c r="L33" s="387">
        <f t="shared" si="0"/>
        <v>0</v>
      </c>
    </row>
    <row r="34" spans="1:15" s="397" customFormat="1" ht="30" customHeight="1">
      <c r="A34" s="702" t="s">
        <v>425</v>
      </c>
      <c r="B34" s="703" t="s">
        <v>224</v>
      </c>
      <c r="C34" s="704" t="s">
        <v>27</v>
      </c>
      <c r="D34" s="705">
        <v>15.2</v>
      </c>
      <c r="E34" s="705"/>
      <c r="F34" s="706">
        <f>ROUND(D34*E34,2)</f>
        <v>0</v>
      </c>
      <c r="G34" s="391" t="s">
        <v>298</v>
      </c>
      <c r="H34" s="394" t="s">
        <v>23</v>
      </c>
      <c r="I34" s="552">
        <v>1.2999999999999999E-2</v>
      </c>
      <c r="J34" s="395">
        <f>I34*D34</f>
        <v>0.19759999999999997</v>
      </c>
      <c r="K34" s="392"/>
      <c r="L34" s="396">
        <f t="shared" si="0"/>
        <v>0</v>
      </c>
      <c r="N34" s="398"/>
    </row>
    <row r="35" spans="1:15" s="397" customFormat="1" ht="15" customHeight="1">
      <c r="A35" s="702"/>
      <c r="B35" s="703"/>
      <c r="C35" s="704"/>
      <c r="D35" s="705"/>
      <c r="E35" s="705"/>
      <c r="F35" s="706"/>
      <c r="G35" s="399" t="s">
        <v>221</v>
      </c>
      <c r="H35" s="394" t="s">
        <v>24</v>
      </c>
      <c r="I35" s="395">
        <v>3.5</v>
      </c>
      <c r="J35" s="395">
        <f>D34*I35</f>
        <v>53.199999999999996</v>
      </c>
      <c r="K35" s="400"/>
      <c r="L35" s="396">
        <f t="shared" si="0"/>
        <v>0</v>
      </c>
      <c r="N35" s="398"/>
    </row>
    <row r="36" spans="1:15" s="397" customFormat="1" ht="15">
      <c r="A36" s="702"/>
      <c r="B36" s="703"/>
      <c r="C36" s="704"/>
      <c r="D36" s="705"/>
      <c r="E36" s="705"/>
      <c r="F36" s="706"/>
      <c r="G36" s="399" t="s">
        <v>222</v>
      </c>
      <c r="H36" s="394" t="s">
        <v>45</v>
      </c>
      <c r="I36" s="400">
        <v>1.01</v>
      </c>
      <c r="J36" s="400">
        <f>D34*I36</f>
        <v>15.351999999999999</v>
      </c>
      <c r="K36" s="395"/>
      <c r="L36" s="396">
        <f t="shared" si="0"/>
        <v>0</v>
      </c>
      <c r="N36" s="398"/>
    </row>
    <row r="37" spans="1:15" s="397" customFormat="1" ht="15">
      <c r="A37" s="702" t="s">
        <v>426</v>
      </c>
      <c r="B37" s="703" t="s">
        <v>225</v>
      </c>
      <c r="C37" s="704" t="s">
        <v>40</v>
      </c>
      <c r="D37" s="705">
        <f>D34</f>
        <v>15.2</v>
      </c>
      <c r="E37" s="705"/>
      <c r="F37" s="706">
        <f>ROUND(D37*E37,2)</f>
        <v>0</v>
      </c>
      <c r="G37" s="399"/>
      <c r="H37" s="394"/>
      <c r="I37" s="400"/>
      <c r="J37" s="400"/>
      <c r="K37" s="395"/>
      <c r="L37" s="396"/>
      <c r="N37" s="398"/>
    </row>
    <row r="38" spans="1:15" s="397" customFormat="1" ht="15">
      <c r="A38" s="702"/>
      <c r="B38" s="703"/>
      <c r="C38" s="704"/>
      <c r="D38" s="705"/>
      <c r="E38" s="705"/>
      <c r="F38" s="706"/>
      <c r="G38" s="391" t="s">
        <v>298</v>
      </c>
      <c r="H38" s="394" t="s">
        <v>23</v>
      </c>
      <c r="I38" s="552">
        <v>1.2999999999999999E-2</v>
      </c>
      <c r="J38" s="395">
        <f>I38*D37</f>
        <v>0.19759999999999997</v>
      </c>
      <c r="K38" s="392"/>
      <c r="L38" s="396">
        <f t="shared" si="0"/>
        <v>0</v>
      </c>
      <c r="N38" s="398"/>
    </row>
    <row r="39" spans="1:15" s="397" customFormat="1" ht="15">
      <c r="A39" s="702"/>
      <c r="B39" s="703"/>
      <c r="C39" s="704"/>
      <c r="D39" s="705"/>
      <c r="E39" s="705"/>
      <c r="F39" s="706"/>
      <c r="G39" s="399" t="s">
        <v>223</v>
      </c>
      <c r="H39" s="401" t="s">
        <v>15</v>
      </c>
      <c r="I39" s="395">
        <v>1.8</v>
      </c>
      <c r="J39" s="400">
        <f>I39*D37</f>
        <v>27.36</v>
      </c>
      <c r="K39" s="395"/>
      <c r="L39" s="396">
        <f t="shared" si="0"/>
        <v>0</v>
      </c>
      <c r="N39" s="398"/>
    </row>
    <row r="40" spans="1:15" s="397" customFormat="1" ht="30" customHeight="1">
      <c r="A40" s="702" t="s">
        <v>427</v>
      </c>
      <c r="B40" s="703" t="s">
        <v>226</v>
      </c>
      <c r="C40" s="704" t="s">
        <v>11</v>
      </c>
      <c r="D40" s="705">
        <f>D37</f>
        <v>15.2</v>
      </c>
      <c r="E40" s="705"/>
      <c r="F40" s="706">
        <f>ROUND(D40*E40,2)</f>
        <v>0</v>
      </c>
      <c r="G40" s="391" t="s">
        <v>298</v>
      </c>
      <c r="H40" s="394" t="s">
        <v>23</v>
      </c>
      <c r="I40" s="552">
        <v>1.2999999999999999E-2</v>
      </c>
      <c r="J40" s="395">
        <f>I40*D40</f>
        <v>0.19759999999999997</v>
      </c>
      <c r="K40" s="392"/>
      <c r="L40" s="396">
        <f t="shared" si="0"/>
        <v>0</v>
      </c>
      <c r="N40" s="398"/>
    </row>
    <row r="41" spans="1:15" s="397" customFormat="1" ht="15">
      <c r="A41" s="702"/>
      <c r="B41" s="703"/>
      <c r="C41" s="704"/>
      <c r="D41" s="705"/>
      <c r="E41" s="705"/>
      <c r="F41" s="706"/>
      <c r="G41" s="391" t="s">
        <v>296</v>
      </c>
      <c r="H41" s="384" t="s">
        <v>15</v>
      </c>
      <c r="I41" s="553">
        <v>3.5000000000000003E-2</v>
      </c>
      <c r="J41" s="400">
        <f>I41*D40</f>
        <v>0.53200000000000003</v>
      </c>
      <c r="K41" s="385"/>
      <c r="L41" s="396">
        <f t="shared" si="0"/>
        <v>0</v>
      </c>
      <c r="N41" s="398"/>
    </row>
    <row r="42" spans="1:15" s="372" customFormat="1" ht="15" customHeight="1">
      <c r="A42" s="674">
        <v>9</v>
      </c>
      <c r="B42" s="675" t="s">
        <v>219</v>
      </c>
      <c r="C42" s="700" t="s">
        <v>40</v>
      </c>
      <c r="D42" s="701">
        <v>20</v>
      </c>
      <c r="E42" s="701"/>
      <c r="F42" s="701">
        <f>D42*E42</f>
        <v>0</v>
      </c>
      <c r="G42" s="402" t="s">
        <v>308</v>
      </c>
      <c r="H42" s="373" t="s">
        <v>147</v>
      </c>
      <c r="I42" s="374">
        <v>1.1000000000000001</v>
      </c>
      <c r="J42" s="374">
        <f>D42*I42</f>
        <v>22</v>
      </c>
      <c r="K42" s="375"/>
      <c r="L42" s="387">
        <f t="shared" si="0"/>
        <v>0</v>
      </c>
      <c r="O42" s="389"/>
    </row>
    <row r="43" spans="1:15" s="372" customFormat="1" ht="15" customHeight="1">
      <c r="A43" s="674"/>
      <c r="B43" s="675"/>
      <c r="C43" s="700"/>
      <c r="D43" s="701"/>
      <c r="E43" s="701"/>
      <c r="F43" s="701"/>
      <c r="G43" s="402" t="s">
        <v>220</v>
      </c>
      <c r="H43" s="373" t="s">
        <v>22</v>
      </c>
      <c r="I43" s="374">
        <v>1.01</v>
      </c>
      <c r="J43" s="374">
        <f>10.93*I43</f>
        <v>11.039299999999999</v>
      </c>
      <c r="K43" s="375"/>
      <c r="L43" s="387">
        <f t="shared" si="0"/>
        <v>0</v>
      </c>
      <c r="O43" s="389"/>
    </row>
    <row r="44" spans="1:15" ht="15" customHeight="1">
      <c r="A44" s="361"/>
      <c r="B44" s="362" t="s">
        <v>231</v>
      </c>
      <c r="C44" s="363"/>
      <c r="D44" s="364"/>
      <c r="E44" s="364"/>
      <c r="F44" s="364"/>
      <c r="G44" s="363"/>
      <c r="H44" s="365"/>
      <c r="I44" s="365"/>
      <c r="J44" s="366"/>
      <c r="K44" s="366"/>
      <c r="L44" s="367"/>
    </row>
    <row r="45" spans="1:15" s="372" customFormat="1" ht="15" customHeight="1">
      <c r="A45" s="403">
        <v>10</v>
      </c>
      <c r="B45" s="404" t="s">
        <v>229</v>
      </c>
      <c r="C45" s="405" t="s">
        <v>151</v>
      </c>
      <c r="D45" s="406">
        <v>2</v>
      </c>
      <c r="E45" s="406"/>
      <c r="F45" s="406">
        <f>D45*E45</f>
        <v>0</v>
      </c>
      <c r="G45" s="402"/>
      <c r="H45" s="373"/>
      <c r="I45" s="374"/>
      <c r="J45" s="374"/>
      <c r="K45" s="407"/>
      <c r="L45" s="408"/>
      <c r="O45" s="389"/>
    </row>
    <row r="46" spans="1:15" ht="15" customHeight="1">
      <c r="A46" s="403">
        <v>11</v>
      </c>
      <c r="B46" s="409" t="s">
        <v>227</v>
      </c>
      <c r="C46" s="410" t="s">
        <v>228</v>
      </c>
      <c r="D46" s="411">
        <v>3.5</v>
      </c>
      <c r="E46" s="411"/>
      <c r="F46" s="411">
        <f>D46*E46</f>
        <v>0</v>
      </c>
      <c r="G46" s="362"/>
      <c r="H46" s="412"/>
      <c r="I46" s="407"/>
      <c r="J46" s="407"/>
      <c r="K46" s="413"/>
      <c r="L46" s="408"/>
      <c r="O46" s="727"/>
    </row>
    <row r="47" spans="1:15" ht="15" customHeight="1">
      <c r="A47" s="403">
        <v>12</v>
      </c>
      <c r="B47" s="728" t="s">
        <v>232</v>
      </c>
      <c r="C47" s="716" t="s">
        <v>151</v>
      </c>
      <c r="D47" s="701">
        <v>2</v>
      </c>
      <c r="E47" s="701"/>
      <c r="F47" s="701">
        <f>D47*E47</f>
        <v>0</v>
      </c>
      <c r="G47" s="363" t="s">
        <v>300</v>
      </c>
      <c r="H47" s="412" t="s">
        <v>151</v>
      </c>
      <c r="I47" s="366">
        <v>1</v>
      </c>
      <c r="J47" s="395">
        <f>I47*D46</f>
        <v>3.5</v>
      </c>
      <c r="K47" s="392"/>
      <c r="L47" s="396">
        <f t="shared" ref="L47:L51" si="1">ROUND(K47*J47,2)</f>
        <v>0</v>
      </c>
      <c r="O47" s="727"/>
    </row>
    <row r="48" spans="1:15" ht="15" customHeight="1">
      <c r="A48" s="403">
        <v>13</v>
      </c>
      <c r="B48" s="728"/>
      <c r="C48" s="716"/>
      <c r="D48" s="701"/>
      <c r="E48" s="701"/>
      <c r="F48" s="701"/>
      <c r="G48" s="414" t="s">
        <v>299</v>
      </c>
      <c r="H48" s="412" t="s">
        <v>151</v>
      </c>
      <c r="I48" s="366">
        <v>1</v>
      </c>
      <c r="J48" s="395">
        <f>I48*D47</f>
        <v>2</v>
      </c>
      <c r="K48" s="392"/>
      <c r="L48" s="396">
        <f t="shared" si="1"/>
        <v>0</v>
      </c>
      <c r="O48" s="389"/>
    </row>
    <row r="49" spans="1:15" s="397" customFormat="1" ht="30" customHeight="1">
      <c r="A49" s="702" t="s">
        <v>428</v>
      </c>
      <c r="B49" s="703" t="s">
        <v>224</v>
      </c>
      <c r="C49" s="704" t="s">
        <v>27</v>
      </c>
      <c r="D49" s="705">
        <v>38.64</v>
      </c>
      <c r="E49" s="705"/>
      <c r="F49" s="706">
        <f>ROUND(D49*E49,2)</f>
        <v>0</v>
      </c>
      <c r="G49" s="391" t="s">
        <v>298</v>
      </c>
      <c r="H49" s="394" t="s">
        <v>23</v>
      </c>
      <c r="I49" s="552">
        <v>1.2999999999999999E-2</v>
      </c>
      <c r="J49" s="395">
        <f>I49*D49</f>
        <v>0.50231999999999999</v>
      </c>
      <c r="K49" s="392"/>
      <c r="L49" s="396">
        <f t="shared" si="1"/>
        <v>0</v>
      </c>
      <c r="N49" s="398"/>
    </row>
    <row r="50" spans="1:15" s="397" customFormat="1" ht="15" customHeight="1">
      <c r="A50" s="702"/>
      <c r="B50" s="703"/>
      <c r="C50" s="704"/>
      <c r="D50" s="705"/>
      <c r="E50" s="705"/>
      <c r="F50" s="706"/>
      <c r="G50" s="399" t="s">
        <v>221</v>
      </c>
      <c r="H50" s="394" t="s">
        <v>24</v>
      </c>
      <c r="I50" s="395">
        <v>3.5</v>
      </c>
      <c r="J50" s="395">
        <f>D49*I50</f>
        <v>135.24</v>
      </c>
      <c r="K50" s="400"/>
      <c r="L50" s="396">
        <f t="shared" si="1"/>
        <v>0</v>
      </c>
      <c r="N50" s="398"/>
    </row>
    <row r="51" spans="1:15" s="397" customFormat="1" ht="15">
      <c r="A51" s="702"/>
      <c r="B51" s="703"/>
      <c r="C51" s="704"/>
      <c r="D51" s="705"/>
      <c r="E51" s="705"/>
      <c r="F51" s="706"/>
      <c r="G51" s="399" t="s">
        <v>222</v>
      </c>
      <c r="H51" s="394" t="s">
        <v>45</v>
      </c>
      <c r="I51" s="400">
        <v>1.01</v>
      </c>
      <c r="J51" s="400">
        <f>D49*I51</f>
        <v>39.026400000000002</v>
      </c>
      <c r="K51" s="395"/>
      <c r="L51" s="396">
        <f t="shared" si="1"/>
        <v>0</v>
      </c>
      <c r="N51" s="398"/>
    </row>
    <row r="52" spans="1:15" s="397" customFormat="1" ht="15">
      <c r="A52" s="702" t="s">
        <v>429</v>
      </c>
      <c r="B52" s="703" t="s">
        <v>225</v>
      </c>
      <c r="C52" s="704" t="s">
        <v>40</v>
      </c>
      <c r="D52" s="705">
        <f>D49</f>
        <v>38.64</v>
      </c>
      <c r="E52" s="705"/>
      <c r="F52" s="706">
        <f>ROUND(D52*E52,2)</f>
        <v>0</v>
      </c>
      <c r="G52" s="399"/>
      <c r="H52" s="394"/>
      <c r="I52" s="400"/>
      <c r="J52" s="400"/>
      <c r="K52" s="395"/>
      <c r="L52" s="396"/>
      <c r="N52" s="398"/>
    </row>
    <row r="53" spans="1:15" s="397" customFormat="1" ht="15">
      <c r="A53" s="702"/>
      <c r="B53" s="703"/>
      <c r="C53" s="704"/>
      <c r="D53" s="705"/>
      <c r="E53" s="705"/>
      <c r="F53" s="706"/>
      <c r="G53" s="391" t="s">
        <v>298</v>
      </c>
      <c r="H53" s="394" t="s">
        <v>23</v>
      </c>
      <c r="I53" s="552">
        <v>1.2999999999999999E-2</v>
      </c>
      <c r="J53" s="395">
        <f>I53*D52</f>
        <v>0.50231999999999999</v>
      </c>
      <c r="K53" s="392"/>
      <c r="L53" s="396">
        <f t="shared" ref="L53:L58" si="2">ROUND(K53*J53,2)</f>
        <v>0</v>
      </c>
      <c r="N53" s="398"/>
    </row>
    <row r="54" spans="1:15" s="397" customFormat="1" ht="15">
      <c r="A54" s="702"/>
      <c r="B54" s="703"/>
      <c r="C54" s="704"/>
      <c r="D54" s="705"/>
      <c r="E54" s="705"/>
      <c r="F54" s="706"/>
      <c r="G54" s="399" t="s">
        <v>223</v>
      </c>
      <c r="H54" s="401" t="s">
        <v>15</v>
      </c>
      <c r="I54" s="395">
        <v>1.8</v>
      </c>
      <c r="J54" s="400">
        <f>I54*D52</f>
        <v>69.552000000000007</v>
      </c>
      <c r="K54" s="395"/>
      <c r="L54" s="396">
        <f t="shared" si="2"/>
        <v>0</v>
      </c>
      <c r="N54" s="398"/>
    </row>
    <row r="55" spans="1:15" s="397" customFormat="1" ht="30" customHeight="1">
      <c r="A55" s="702" t="s">
        <v>430</v>
      </c>
      <c r="B55" s="703" t="s">
        <v>226</v>
      </c>
      <c r="C55" s="704" t="s">
        <v>11</v>
      </c>
      <c r="D55" s="705">
        <f>D52</f>
        <v>38.64</v>
      </c>
      <c r="E55" s="705"/>
      <c r="F55" s="706">
        <f>ROUND(D55*E55,2)</f>
        <v>0</v>
      </c>
      <c r="G55" s="391" t="s">
        <v>298</v>
      </c>
      <c r="H55" s="394" t="s">
        <v>23</v>
      </c>
      <c r="I55" s="552">
        <v>1.2999999999999999E-2</v>
      </c>
      <c r="J55" s="395">
        <f>I55*D55</f>
        <v>0.50231999999999999</v>
      </c>
      <c r="K55" s="392"/>
      <c r="L55" s="396">
        <f t="shared" si="2"/>
        <v>0</v>
      </c>
      <c r="N55" s="398"/>
    </row>
    <row r="56" spans="1:15" s="397" customFormat="1" ht="15">
      <c r="A56" s="702"/>
      <c r="B56" s="703"/>
      <c r="C56" s="704"/>
      <c r="D56" s="705"/>
      <c r="E56" s="705"/>
      <c r="F56" s="706"/>
      <c r="G56" s="391" t="s">
        <v>296</v>
      </c>
      <c r="H56" s="384" t="s">
        <v>15</v>
      </c>
      <c r="I56" s="553">
        <v>3.5000000000000003E-2</v>
      </c>
      <c r="J56" s="400">
        <f>I56*D55</f>
        <v>1.3524</v>
      </c>
      <c r="K56" s="385"/>
      <c r="L56" s="396">
        <f t="shared" si="2"/>
        <v>0</v>
      </c>
      <c r="N56" s="398"/>
    </row>
    <row r="57" spans="1:15" s="372" customFormat="1" ht="15" customHeight="1">
      <c r="A57" s="674">
        <v>17</v>
      </c>
      <c r="B57" s="675" t="s">
        <v>219</v>
      </c>
      <c r="C57" s="700" t="s">
        <v>27</v>
      </c>
      <c r="D57" s="701">
        <v>15</v>
      </c>
      <c r="E57" s="701"/>
      <c r="F57" s="701">
        <f>D57*E57</f>
        <v>0</v>
      </c>
      <c r="G57" s="402" t="s">
        <v>308</v>
      </c>
      <c r="H57" s="373" t="s">
        <v>147</v>
      </c>
      <c r="I57" s="374">
        <v>1.1000000000000001</v>
      </c>
      <c r="J57" s="374">
        <f>D57*I57</f>
        <v>16.5</v>
      </c>
      <c r="K57" s="375"/>
      <c r="L57" s="387">
        <f t="shared" si="2"/>
        <v>0</v>
      </c>
      <c r="O57" s="389"/>
    </row>
    <row r="58" spans="1:15" s="372" customFormat="1" ht="15" customHeight="1">
      <c r="A58" s="674"/>
      <c r="B58" s="675"/>
      <c r="C58" s="700"/>
      <c r="D58" s="701"/>
      <c r="E58" s="701"/>
      <c r="F58" s="701"/>
      <c r="G58" s="402" t="s">
        <v>220</v>
      </c>
      <c r="H58" s="373" t="s">
        <v>22</v>
      </c>
      <c r="I58" s="374">
        <v>1.01</v>
      </c>
      <c r="J58" s="374">
        <f>10.93*I58</f>
        <v>11.039299999999999</v>
      </c>
      <c r="K58" s="375"/>
      <c r="L58" s="387">
        <f t="shared" si="2"/>
        <v>0</v>
      </c>
      <c r="O58" s="389"/>
    </row>
    <row r="59" spans="1:15" ht="15" customHeight="1">
      <c r="A59" s="677">
        <v>18</v>
      </c>
      <c r="B59" s="715" t="s">
        <v>245</v>
      </c>
      <c r="C59" s="681" t="s">
        <v>22</v>
      </c>
      <c r="D59" s="682">
        <v>10.93</v>
      </c>
      <c r="E59" s="682"/>
      <c r="F59" s="682">
        <f>D59*E59</f>
        <v>0</v>
      </c>
      <c r="G59" s="363" t="s">
        <v>293</v>
      </c>
      <c r="H59" s="373" t="s">
        <v>22</v>
      </c>
      <c r="I59" s="374">
        <v>1.01</v>
      </c>
      <c r="J59" s="374">
        <f>10.93*I59</f>
        <v>11.039299999999999</v>
      </c>
      <c r="K59" s="375"/>
      <c r="L59" s="367">
        <f>J59*K59</f>
        <v>0</v>
      </c>
    </row>
    <row r="60" spans="1:15" ht="15" customHeight="1">
      <c r="A60" s="677"/>
      <c r="B60" s="715"/>
      <c r="C60" s="681"/>
      <c r="D60" s="682"/>
      <c r="E60" s="682"/>
      <c r="F60" s="682"/>
      <c r="G60" s="363" t="s">
        <v>295</v>
      </c>
      <c r="H60" s="376" t="s">
        <v>294</v>
      </c>
      <c r="I60" s="376">
        <v>0.1</v>
      </c>
      <c r="J60" s="374">
        <f>I60*D59</f>
        <v>1.093</v>
      </c>
      <c r="K60" s="375"/>
      <c r="L60" s="367">
        <f>J60*K60</f>
        <v>0</v>
      </c>
    </row>
    <row r="61" spans="1:15" ht="15" customHeight="1">
      <c r="A61" s="361"/>
      <c r="B61" s="362" t="s">
        <v>230</v>
      </c>
      <c r="C61" s="363"/>
      <c r="D61" s="364"/>
      <c r="E61" s="364"/>
      <c r="F61" s="364"/>
      <c r="G61" s="363"/>
      <c r="H61" s="365"/>
      <c r="I61" s="365"/>
      <c r="J61" s="366"/>
      <c r="K61" s="366"/>
      <c r="L61" s="367"/>
    </row>
    <row r="62" spans="1:15" s="372" customFormat="1" ht="15" customHeight="1">
      <c r="A62" s="403">
        <v>19</v>
      </c>
      <c r="B62" s="404" t="s">
        <v>229</v>
      </c>
      <c r="C62" s="405" t="s">
        <v>151</v>
      </c>
      <c r="D62" s="406">
        <v>2</v>
      </c>
      <c r="E62" s="406"/>
      <c r="F62" s="406">
        <f>D62*E62</f>
        <v>0</v>
      </c>
      <c r="G62" s="402"/>
      <c r="H62" s="373"/>
      <c r="I62" s="374"/>
      <c r="J62" s="374"/>
      <c r="K62" s="407"/>
      <c r="L62" s="408"/>
      <c r="O62" s="389"/>
    </row>
    <row r="63" spans="1:15" ht="15" customHeight="1">
      <c r="A63" s="403">
        <v>20</v>
      </c>
      <c r="B63" s="409" t="s">
        <v>227</v>
      </c>
      <c r="C63" s="410" t="s">
        <v>228</v>
      </c>
      <c r="D63" s="411">
        <v>3.5</v>
      </c>
      <c r="E63" s="411"/>
      <c r="F63" s="411">
        <f>D63*E63</f>
        <v>0</v>
      </c>
      <c r="G63" s="362"/>
      <c r="H63" s="412"/>
      <c r="I63" s="407"/>
      <c r="J63" s="407"/>
      <c r="K63" s="413"/>
      <c r="L63" s="408"/>
      <c r="O63" s="727"/>
    </row>
    <row r="64" spans="1:15" ht="15" customHeight="1">
      <c r="A64" s="674">
        <v>21</v>
      </c>
      <c r="B64" s="728" t="s">
        <v>232</v>
      </c>
      <c r="C64" s="716" t="s">
        <v>151</v>
      </c>
      <c r="D64" s="701">
        <v>2</v>
      </c>
      <c r="E64" s="701"/>
      <c r="F64" s="701">
        <f>D64*E64</f>
        <v>0</v>
      </c>
      <c r="G64" s="363" t="s">
        <v>300</v>
      </c>
      <c r="H64" s="412" t="s">
        <v>151</v>
      </c>
      <c r="I64" s="366">
        <v>1</v>
      </c>
      <c r="J64" s="395">
        <f>I64*D63</f>
        <v>3.5</v>
      </c>
      <c r="K64" s="392"/>
      <c r="L64" s="396">
        <f t="shared" ref="L64:L68" si="3">ROUND(K64*J64,2)</f>
        <v>0</v>
      </c>
      <c r="O64" s="727"/>
    </row>
    <row r="65" spans="1:15" ht="15" customHeight="1">
      <c r="A65" s="674"/>
      <c r="B65" s="728"/>
      <c r="C65" s="716"/>
      <c r="D65" s="701"/>
      <c r="E65" s="701"/>
      <c r="F65" s="701"/>
      <c r="G65" s="414" t="s">
        <v>299</v>
      </c>
      <c r="H65" s="412" t="s">
        <v>151</v>
      </c>
      <c r="I65" s="366">
        <v>1</v>
      </c>
      <c r="J65" s="395">
        <f>I65*D64</f>
        <v>2</v>
      </c>
      <c r="K65" s="392"/>
      <c r="L65" s="396">
        <f t="shared" si="3"/>
        <v>0</v>
      </c>
      <c r="O65" s="389"/>
    </row>
    <row r="66" spans="1:15" s="397" customFormat="1" ht="30" customHeight="1">
      <c r="A66" s="702" t="s">
        <v>431</v>
      </c>
      <c r="B66" s="703" t="s">
        <v>224</v>
      </c>
      <c r="C66" s="704" t="s">
        <v>27</v>
      </c>
      <c r="D66" s="705">
        <v>38.64</v>
      </c>
      <c r="E66" s="705"/>
      <c r="F66" s="706">
        <f>ROUND(D66*E66,2)</f>
        <v>0</v>
      </c>
      <c r="G66" s="391" t="s">
        <v>298</v>
      </c>
      <c r="H66" s="394" t="s">
        <v>23</v>
      </c>
      <c r="I66" s="552">
        <v>1.2999999999999999E-2</v>
      </c>
      <c r="J66" s="395">
        <f>I66*D66</f>
        <v>0.50231999999999999</v>
      </c>
      <c r="K66" s="392"/>
      <c r="L66" s="396">
        <f t="shared" si="3"/>
        <v>0</v>
      </c>
      <c r="N66" s="398"/>
    </row>
    <row r="67" spans="1:15" s="397" customFormat="1" ht="15" customHeight="1">
      <c r="A67" s="702"/>
      <c r="B67" s="703"/>
      <c r="C67" s="704"/>
      <c r="D67" s="705"/>
      <c r="E67" s="705"/>
      <c r="F67" s="706"/>
      <c r="G67" s="399" t="s">
        <v>221</v>
      </c>
      <c r="H67" s="394" t="s">
        <v>24</v>
      </c>
      <c r="I67" s="395">
        <v>3.5</v>
      </c>
      <c r="J67" s="395">
        <f>D66*I67</f>
        <v>135.24</v>
      </c>
      <c r="K67" s="400"/>
      <c r="L67" s="396">
        <f t="shared" si="3"/>
        <v>0</v>
      </c>
      <c r="N67" s="398"/>
    </row>
    <row r="68" spans="1:15" s="397" customFormat="1" ht="15">
      <c r="A68" s="702"/>
      <c r="B68" s="703"/>
      <c r="C68" s="704"/>
      <c r="D68" s="705"/>
      <c r="E68" s="705"/>
      <c r="F68" s="706"/>
      <c r="G68" s="399" t="s">
        <v>222</v>
      </c>
      <c r="H68" s="394" t="s">
        <v>45</v>
      </c>
      <c r="I68" s="400">
        <v>1.01</v>
      </c>
      <c r="J68" s="400">
        <f>D66*I68</f>
        <v>39.026400000000002</v>
      </c>
      <c r="K68" s="395"/>
      <c r="L68" s="396">
        <f t="shared" si="3"/>
        <v>0</v>
      </c>
      <c r="N68" s="398"/>
    </row>
    <row r="69" spans="1:15" s="397" customFormat="1" ht="15">
      <c r="A69" s="702" t="s">
        <v>432</v>
      </c>
      <c r="B69" s="703" t="s">
        <v>225</v>
      </c>
      <c r="C69" s="704" t="s">
        <v>40</v>
      </c>
      <c r="D69" s="705">
        <f>D66</f>
        <v>38.64</v>
      </c>
      <c r="E69" s="705"/>
      <c r="F69" s="706">
        <f>ROUND(D69*E69,2)</f>
        <v>0</v>
      </c>
      <c r="G69" s="399"/>
      <c r="H69" s="394"/>
      <c r="I69" s="400"/>
      <c r="J69" s="400"/>
      <c r="K69" s="395"/>
      <c r="L69" s="396"/>
      <c r="N69" s="398"/>
    </row>
    <row r="70" spans="1:15" s="397" customFormat="1" ht="15">
      <c r="A70" s="702"/>
      <c r="B70" s="703"/>
      <c r="C70" s="704"/>
      <c r="D70" s="705"/>
      <c r="E70" s="705"/>
      <c r="F70" s="706"/>
      <c r="G70" s="391" t="s">
        <v>298</v>
      </c>
      <c r="H70" s="394" t="s">
        <v>23</v>
      </c>
      <c r="I70" s="552">
        <v>1.2999999999999999E-2</v>
      </c>
      <c r="J70" s="395">
        <f>I70*D69</f>
        <v>0.50231999999999999</v>
      </c>
      <c r="K70" s="392"/>
      <c r="L70" s="396">
        <f t="shared" ref="L70:L75" si="4">ROUND(K70*J70,2)</f>
        <v>0</v>
      </c>
      <c r="N70" s="398"/>
    </row>
    <row r="71" spans="1:15" s="397" customFormat="1" ht="15">
      <c r="A71" s="702"/>
      <c r="B71" s="703"/>
      <c r="C71" s="704"/>
      <c r="D71" s="705"/>
      <c r="E71" s="705"/>
      <c r="F71" s="706"/>
      <c r="G71" s="399" t="s">
        <v>223</v>
      </c>
      <c r="H71" s="401" t="s">
        <v>15</v>
      </c>
      <c r="I71" s="395">
        <v>1.8</v>
      </c>
      <c r="J71" s="400">
        <f>I71*D69</f>
        <v>69.552000000000007</v>
      </c>
      <c r="K71" s="395"/>
      <c r="L71" s="396">
        <f t="shared" si="4"/>
        <v>0</v>
      </c>
      <c r="N71" s="398"/>
    </row>
    <row r="72" spans="1:15" s="397" customFormat="1" ht="30" customHeight="1">
      <c r="A72" s="702" t="s">
        <v>433</v>
      </c>
      <c r="B72" s="703" t="s">
        <v>226</v>
      </c>
      <c r="C72" s="704" t="s">
        <v>11</v>
      </c>
      <c r="D72" s="705">
        <f>D69</f>
        <v>38.64</v>
      </c>
      <c r="E72" s="705"/>
      <c r="F72" s="706">
        <f>ROUND(D72*E72,2)</f>
        <v>0</v>
      </c>
      <c r="G72" s="391" t="s">
        <v>298</v>
      </c>
      <c r="H72" s="394" t="s">
        <v>23</v>
      </c>
      <c r="I72" s="552">
        <v>1.2999999999999999E-2</v>
      </c>
      <c r="J72" s="395">
        <f>I72*D72</f>
        <v>0.50231999999999999</v>
      </c>
      <c r="K72" s="392"/>
      <c r="L72" s="396">
        <f t="shared" si="4"/>
        <v>0</v>
      </c>
      <c r="N72" s="398"/>
    </row>
    <row r="73" spans="1:15" s="397" customFormat="1" ht="15">
      <c r="A73" s="702"/>
      <c r="B73" s="703"/>
      <c r="C73" s="704"/>
      <c r="D73" s="705"/>
      <c r="E73" s="705"/>
      <c r="F73" s="706"/>
      <c r="G73" s="391" t="s">
        <v>296</v>
      </c>
      <c r="H73" s="384" t="s">
        <v>15</v>
      </c>
      <c r="I73" s="553">
        <v>3.5000000000000003E-2</v>
      </c>
      <c r="J73" s="400">
        <f>I73*D72</f>
        <v>1.3524</v>
      </c>
      <c r="K73" s="385"/>
      <c r="L73" s="396">
        <f t="shared" si="4"/>
        <v>0</v>
      </c>
      <c r="N73" s="398"/>
    </row>
    <row r="74" spans="1:15" s="372" customFormat="1" ht="15" customHeight="1">
      <c r="A74" s="674">
        <v>25</v>
      </c>
      <c r="B74" s="675" t="s">
        <v>219</v>
      </c>
      <c r="C74" s="700" t="s">
        <v>27</v>
      </c>
      <c r="D74" s="701">
        <v>15</v>
      </c>
      <c r="E74" s="701"/>
      <c r="F74" s="701">
        <f>D74*E74</f>
        <v>0</v>
      </c>
      <c r="G74" s="402" t="s">
        <v>308</v>
      </c>
      <c r="H74" s="373" t="s">
        <v>147</v>
      </c>
      <c r="I74" s="374">
        <v>1.1000000000000001</v>
      </c>
      <c r="J74" s="374">
        <f>D74*I74</f>
        <v>16.5</v>
      </c>
      <c r="K74" s="375"/>
      <c r="L74" s="387">
        <f t="shared" si="4"/>
        <v>0</v>
      </c>
      <c r="O74" s="389"/>
    </row>
    <row r="75" spans="1:15" s="372" customFormat="1" ht="15" customHeight="1">
      <c r="A75" s="674"/>
      <c r="B75" s="675"/>
      <c r="C75" s="700"/>
      <c r="D75" s="701"/>
      <c r="E75" s="701"/>
      <c r="F75" s="701"/>
      <c r="G75" s="402" t="s">
        <v>220</v>
      </c>
      <c r="H75" s="373" t="s">
        <v>22</v>
      </c>
      <c r="I75" s="374">
        <v>1.01</v>
      </c>
      <c r="J75" s="374">
        <f>10.93*I75</f>
        <v>11.039299999999999</v>
      </c>
      <c r="K75" s="375"/>
      <c r="L75" s="387">
        <f t="shared" si="4"/>
        <v>0</v>
      </c>
      <c r="O75" s="389"/>
    </row>
    <row r="76" spans="1:15" ht="15" customHeight="1">
      <c r="A76" s="677">
        <v>26</v>
      </c>
      <c r="B76" s="715" t="s">
        <v>245</v>
      </c>
      <c r="C76" s="681" t="s">
        <v>22</v>
      </c>
      <c r="D76" s="682">
        <v>10.93</v>
      </c>
      <c r="E76" s="682"/>
      <c r="F76" s="682">
        <f>D76*E76</f>
        <v>0</v>
      </c>
      <c r="G76" s="363" t="s">
        <v>293</v>
      </c>
      <c r="H76" s="373" t="s">
        <v>22</v>
      </c>
      <c r="I76" s="374">
        <v>1.01</v>
      </c>
      <c r="J76" s="374">
        <f>10.93*I76</f>
        <v>11.039299999999999</v>
      </c>
      <c r="K76" s="375"/>
      <c r="L76" s="367">
        <f>J76*K76</f>
        <v>0</v>
      </c>
    </row>
    <row r="77" spans="1:15" ht="15" customHeight="1">
      <c r="A77" s="677"/>
      <c r="B77" s="715"/>
      <c r="C77" s="681"/>
      <c r="D77" s="682"/>
      <c r="E77" s="682"/>
      <c r="F77" s="682"/>
      <c r="G77" s="363" t="s">
        <v>295</v>
      </c>
      <c r="H77" s="376" t="s">
        <v>294</v>
      </c>
      <c r="I77" s="376">
        <v>0.1</v>
      </c>
      <c r="J77" s="374">
        <f>I77*D76</f>
        <v>1.093</v>
      </c>
      <c r="K77" s="375"/>
      <c r="L77" s="367">
        <f>J77*K77</f>
        <v>0</v>
      </c>
    </row>
    <row r="78" spans="1:15" ht="15" customHeight="1">
      <c r="A78" s="361"/>
      <c r="B78" s="362" t="s">
        <v>233</v>
      </c>
      <c r="C78" s="363"/>
      <c r="D78" s="365"/>
      <c r="E78" s="365"/>
      <c r="F78" s="415"/>
      <c r="G78" s="365"/>
      <c r="H78" s="365"/>
      <c r="I78" s="365"/>
      <c r="J78" s="416"/>
      <c r="K78" s="416"/>
      <c r="L78" s="417"/>
    </row>
    <row r="79" spans="1:15" ht="15" customHeight="1">
      <c r="A79" s="361"/>
      <c r="B79" s="362" t="s">
        <v>235</v>
      </c>
      <c r="C79" s="363"/>
      <c r="D79" s="364"/>
      <c r="E79" s="364"/>
      <c r="F79" s="364"/>
      <c r="G79" s="363"/>
      <c r="H79" s="365"/>
      <c r="I79" s="365"/>
      <c r="J79" s="366"/>
      <c r="K79" s="366"/>
      <c r="L79" s="367"/>
    </row>
    <row r="80" spans="1:15" s="372" customFormat="1" ht="15" customHeight="1">
      <c r="A80" s="403">
        <v>27</v>
      </c>
      <c r="B80" s="409" t="s">
        <v>234</v>
      </c>
      <c r="C80" s="412" t="s">
        <v>228</v>
      </c>
      <c r="D80" s="411">
        <v>0.6</v>
      </c>
      <c r="E80" s="411"/>
      <c r="F80" s="411">
        <f>D80*E80</f>
        <v>0</v>
      </c>
      <c r="G80" s="363"/>
      <c r="H80" s="412"/>
      <c r="I80" s="407"/>
      <c r="J80" s="407"/>
      <c r="K80" s="407"/>
      <c r="L80" s="408"/>
      <c r="O80" s="389"/>
    </row>
    <row r="81" spans="1:15" ht="15" customHeight="1">
      <c r="A81" s="403">
        <v>28</v>
      </c>
      <c r="B81" s="409" t="s">
        <v>232</v>
      </c>
      <c r="C81" s="410" t="s">
        <v>151</v>
      </c>
      <c r="D81" s="406">
        <v>3</v>
      </c>
      <c r="E81" s="406"/>
      <c r="F81" s="406">
        <f>D81*E81</f>
        <v>0</v>
      </c>
      <c r="G81" s="363" t="s">
        <v>300</v>
      </c>
      <c r="H81" s="412" t="s">
        <v>151</v>
      </c>
      <c r="I81" s="366">
        <v>1</v>
      </c>
      <c r="J81" s="395">
        <f>I81*D81</f>
        <v>3</v>
      </c>
      <c r="K81" s="392"/>
      <c r="L81" s="396">
        <f t="shared" ref="L81" si="5">ROUND(K81*J81,2)</f>
        <v>0</v>
      </c>
      <c r="O81" s="372"/>
    </row>
    <row r="82" spans="1:15" s="372" customFormat="1" ht="15" customHeight="1">
      <c r="A82" s="361"/>
      <c r="B82" s="362" t="s">
        <v>31</v>
      </c>
      <c r="C82" s="363"/>
      <c r="D82" s="364"/>
      <c r="E82" s="368"/>
      <c r="F82" s="368"/>
      <c r="G82" s="363"/>
      <c r="H82" s="369"/>
      <c r="I82" s="370"/>
      <c r="J82" s="370"/>
      <c r="K82" s="370"/>
      <c r="L82" s="371"/>
    </row>
    <row r="83" spans="1:15" s="393" customFormat="1" ht="30">
      <c r="A83" s="418" t="s">
        <v>434</v>
      </c>
      <c r="B83" s="419" t="s">
        <v>238</v>
      </c>
      <c r="C83" s="420" t="s">
        <v>11</v>
      </c>
      <c r="D83" s="421">
        <v>8.1999999999999993</v>
      </c>
      <c r="E83" s="422"/>
      <c r="F83" s="423">
        <f>ROUND(D83*E83,2)</f>
        <v>0</v>
      </c>
      <c r="G83" s="424" t="s">
        <v>237</v>
      </c>
      <c r="H83" s="425" t="s">
        <v>15</v>
      </c>
      <c r="I83" s="426">
        <v>6</v>
      </c>
      <c r="J83" s="426">
        <f>I83*D83</f>
        <v>49.199999999999996</v>
      </c>
      <c r="K83" s="427"/>
      <c r="L83" s="396">
        <f t="shared" ref="L83:L88" si="6">ROUND(K83*J83,2)</f>
        <v>0</v>
      </c>
    </row>
    <row r="84" spans="1:15" s="372" customFormat="1" ht="15" customHeight="1">
      <c r="A84" s="361">
        <v>30</v>
      </c>
      <c r="B84" s="362" t="s">
        <v>239</v>
      </c>
      <c r="C84" s="363" t="s">
        <v>40</v>
      </c>
      <c r="D84" s="421">
        <v>6</v>
      </c>
      <c r="E84" s="422"/>
      <c r="F84" s="423">
        <f>ROUND(D84*E84,2)</f>
        <v>0</v>
      </c>
      <c r="G84" s="363" t="s">
        <v>387</v>
      </c>
      <c r="H84" s="425" t="s">
        <v>15</v>
      </c>
      <c r="I84" s="426">
        <v>3.6</v>
      </c>
      <c r="J84" s="426">
        <f>I84*D84</f>
        <v>21.6</v>
      </c>
      <c r="K84" s="427"/>
      <c r="L84" s="396">
        <f t="shared" si="6"/>
        <v>0</v>
      </c>
    </row>
    <row r="85" spans="1:15" s="397" customFormat="1" ht="15">
      <c r="A85" s="718">
        <v>31</v>
      </c>
      <c r="B85" s="707" t="s">
        <v>236</v>
      </c>
      <c r="C85" s="708" t="s">
        <v>11</v>
      </c>
      <c r="D85" s="720">
        <v>6</v>
      </c>
      <c r="E85" s="709"/>
      <c r="F85" s="709">
        <f>ROUND(E85*D85,2)</f>
        <v>0</v>
      </c>
      <c r="G85" s="391" t="s">
        <v>298</v>
      </c>
      <c r="H85" s="384" t="s">
        <v>13</v>
      </c>
      <c r="I85" s="385">
        <v>0.2</v>
      </c>
      <c r="J85" s="385">
        <f>I85*D85</f>
        <v>1.2000000000000002</v>
      </c>
      <c r="K85" s="392"/>
      <c r="L85" s="387">
        <f t="shared" si="6"/>
        <v>0</v>
      </c>
    </row>
    <row r="86" spans="1:15" s="397" customFormat="1" ht="15">
      <c r="A86" s="719"/>
      <c r="B86" s="707"/>
      <c r="C86" s="708"/>
      <c r="D86" s="720"/>
      <c r="E86" s="709"/>
      <c r="F86" s="709"/>
      <c r="G86" s="391" t="s">
        <v>307</v>
      </c>
      <c r="H86" s="384" t="s">
        <v>11</v>
      </c>
      <c r="I86" s="386">
        <v>1.03</v>
      </c>
      <c r="J86" s="386">
        <f>D85*I86</f>
        <v>6.18</v>
      </c>
      <c r="K86" s="375"/>
      <c r="L86" s="387">
        <f t="shared" si="6"/>
        <v>0</v>
      </c>
    </row>
    <row r="87" spans="1:15" s="397" customFormat="1" ht="15">
      <c r="A87" s="719"/>
      <c r="B87" s="707"/>
      <c r="C87" s="708"/>
      <c r="D87" s="720"/>
      <c r="E87" s="709"/>
      <c r="F87" s="709"/>
      <c r="G87" s="391" t="s">
        <v>303</v>
      </c>
      <c r="H87" s="384" t="s">
        <v>15</v>
      </c>
      <c r="I87" s="385">
        <v>6.5</v>
      </c>
      <c r="J87" s="385">
        <f>D85*I87</f>
        <v>39</v>
      </c>
      <c r="K87" s="375"/>
      <c r="L87" s="387">
        <f t="shared" si="6"/>
        <v>0</v>
      </c>
    </row>
    <row r="88" spans="1:15" s="397" customFormat="1" ht="15">
      <c r="A88" s="719"/>
      <c r="B88" s="707"/>
      <c r="C88" s="708"/>
      <c r="D88" s="720"/>
      <c r="E88" s="709"/>
      <c r="F88" s="709"/>
      <c r="G88" s="391" t="s">
        <v>302</v>
      </c>
      <c r="H88" s="384" t="s">
        <v>15</v>
      </c>
      <c r="I88" s="386">
        <v>0.45</v>
      </c>
      <c r="J88" s="386">
        <f>D85*I88</f>
        <v>2.7</v>
      </c>
      <c r="K88" s="385"/>
      <c r="L88" s="387">
        <f t="shared" si="6"/>
        <v>0</v>
      </c>
    </row>
    <row r="89" spans="1:15" s="393" customFormat="1" ht="15" customHeight="1">
      <c r="A89" s="428"/>
      <c r="B89" s="391" t="s">
        <v>20</v>
      </c>
      <c r="C89" s="429"/>
      <c r="D89" s="430"/>
      <c r="E89" s="430"/>
      <c r="F89" s="431"/>
      <c r="G89" s="431"/>
      <c r="H89" s="432"/>
      <c r="I89" s="433"/>
      <c r="J89" s="433"/>
      <c r="K89" s="433"/>
      <c r="L89" s="434"/>
    </row>
    <row r="90" spans="1:15" s="397" customFormat="1" ht="15">
      <c r="A90" s="718">
        <v>32</v>
      </c>
      <c r="B90" s="707" t="s">
        <v>240</v>
      </c>
      <c r="C90" s="708" t="s">
        <v>11</v>
      </c>
      <c r="D90" s="720">
        <v>24.08</v>
      </c>
      <c r="E90" s="709"/>
      <c r="F90" s="709">
        <f>ROUND(E90*D90,2)</f>
        <v>0</v>
      </c>
      <c r="G90" s="391" t="s">
        <v>298</v>
      </c>
      <c r="H90" s="384" t="s">
        <v>13</v>
      </c>
      <c r="I90" s="385">
        <v>0.2</v>
      </c>
      <c r="J90" s="385">
        <f>I90*D90</f>
        <v>4.8159999999999998</v>
      </c>
      <c r="K90" s="392"/>
      <c r="L90" s="387">
        <f t="shared" ref="L90:L93" si="7">ROUND(K90*J90,2)</f>
        <v>0</v>
      </c>
    </row>
    <row r="91" spans="1:15" s="397" customFormat="1" ht="15">
      <c r="A91" s="719"/>
      <c r="B91" s="707"/>
      <c r="C91" s="708"/>
      <c r="D91" s="720"/>
      <c r="E91" s="709"/>
      <c r="F91" s="709"/>
      <c r="G91" s="391" t="s">
        <v>307</v>
      </c>
      <c r="H91" s="384" t="s">
        <v>11</v>
      </c>
      <c r="I91" s="386">
        <v>1.03</v>
      </c>
      <c r="J91" s="386">
        <f>D90*I91</f>
        <v>24.802399999999999</v>
      </c>
      <c r="K91" s="375"/>
      <c r="L91" s="387">
        <f t="shared" si="7"/>
        <v>0</v>
      </c>
    </row>
    <row r="92" spans="1:15" s="397" customFormat="1" ht="15">
      <c r="A92" s="719"/>
      <c r="B92" s="707"/>
      <c r="C92" s="708"/>
      <c r="D92" s="720"/>
      <c r="E92" s="709"/>
      <c r="F92" s="709"/>
      <c r="G92" s="391" t="s">
        <v>303</v>
      </c>
      <c r="H92" s="384" t="s">
        <v>15</v>
      </c>
      <c r="I92" s="385">
        <v>6.5</v>
      </c>
      <c r="J92" s="385">
        <f>D90*I92</f>
        <v>156.51999999999998</v>
      </c>
      <c r="K92" s="375"/>
      <c r="L92" s="387">
        <f t="shared" si="7"/>
        <v>0</v>
      </c>
    </row>
    <row r="93" spans="1:15" s="397" customFormat="1" ht="15">
      <c r="A93" s="719"/>
      <c r="B93" s="707"/>
      <c r="C93" s="708"/>
      <c r="D93" s="720"/>
      <c r="E93" s="709"/>
      <c r="F93" s="709"/>
      <c r="G93" s="391" t="s">
        <v>302</v>
      </c>
      <c r="H93" s="384" t="s">
        <v>15</v>
      </c>
      <c r="I93" s="386">
        <v>0.45</v>
      </c>
      <c r="J93" s="386">
        <f>D90*I93</f>
        <v>10.836</v>
      </c>
      <c r="K93" s="385"/>
      <c r="L93" s="387">
        <f t="shared" si="7"/>
        <v>0</v>
      </c>
    </row>
    <row r="94" spans="1:15" s="372" customFormat="1" ht="15" customHeight="1">
      <c r="A94" s="403"/>
      <c r="B94" s="362" t="s">
        <v>244</v>
      </c>
      <c r="C94" s="412"/>
      <c r="D94" s="435"/>
      <c r="E94" s="436"/>
      <c r="F94" s="436"/>
      <c r="G94" s="437"/>
      <c r="H94" s="438"/>
      <c r="I94" s="439"/>
      <c r="J94" s="439"/>
      <c r="K94" s="439"/>
      <c r="L94" s="371"/>
    </row>
    <row r="95" spans="1:15" s="372" customFormat="1" ht="15" customHeight="1">
      <c r="A95" s="361"/>
      <c r="B95" s="362" t="s">
        <v>31</v>
      </c>
      <c r="C95" s="410"/>
      <c r="D95" s="411"/>
      <c r="E95" s="440"/>
      <c r="F95" s="440"/>
      <c r="G95" s="441"/>
      <c r="H95" s="438"/>
      <c r="I95" s="439"/>
      <c r="J95" s="439"/>
      <c r="K95" s="439"/>
      <c r="L95" s="371"/>
    </row>
    <row r="96" spans="1:15" s="372" customFormat="1" ht="15" customHeight="1">
      <c r="A96" s="361">
        <v>33</v>
      </c>
      <c r="B96" s="362" t="s">
        <v>241</v>
      </c>
      <c r="C96" s="410" t="s">
        <v>40</v>
      </c>
      <c r="D96" s="411">
        <v>320.27999999999997</v>
      </c>
      <c r="E96" s="422"/>
      <c r="F96" s="423">
        <f>ROUND(D96*E96,2)</f>
        <v>0</v>
      </c>
      <c r="G96" s="442"/>
      <c r="H96" s="438"/>
      <c r="I96" s="439"/>
      <c r="J96" s="439"/>
      <c r="K96" s="439"/>
      <c r="L96" s="371"/>
    </row>
    <row r="97" spans="1:15" s="372" customFormat="1" ht="15" customHeight="1">
      <c r="A97" s="361">
        <v>34</v>
      </c>
      <c r="B97" s="362" t="s">
        <v>216</v>
      </c>
      <c r="C97" s="410" t="s">
        <v>22</v>
      </c>
      <c r="D97" s="411">
        <f>1.99+44.96+44.96+8.91+8.91+1.99+5+6.85+6.85+5.52+6.21+6.21+18.66</f>
        <v>167.02</v>
      </c>
      <c r="E97" s="422"/>
      <c r="F97" s="423">
        <f>ROUND(D97*E97,2)</f>
        <v>0</v>
      </c>
      <c r="G97" s="442"/>
      <c r="H97" s="438"/>
      <c r="I97" s="439"/>
      <c r="J97" s="439"/>
      <c r="K97" s="439"/>
      <c r="L97" s="371"/>
    </row>
    <row r="98" spans="1:15" s="372" customFormat="1" ht="15" customHeight="1">
      <c r="A98" s="361">
        <v>35</v>
      </c>
      <c r="B98" s="362" t="s">
        <v>242</v>
      </c>
      <c r="C98" s="410" t="s">
        <v>40</v>
      </c>
      <c r="D98" s="411">
        <f>D96</f>
        <v>320.27999999999997</v>
      </c>
      <c r="E98" s="422"/>
      <c r="F98" s="423">
        <f>ROUND(D98*E98,2)</f>
        <v>0</v>
      </c>
      <c r="G98" s="391" t="s">
        <v>298</v>
      </c>
      <c r="H98" s="401" t="s">
        <v>13</v>
      </c>
      <c r="I98" s="395">
        <v>0.15</v>
      </c>
      <c r="J98" s="395">
        <f>D98*I98</f>
        <v>48.041999999999994</v>
      </c>
      <c r="K98" s="392"/>
      <c r="L98" s="396">
        <f t="shared" ref="L98" si="8">ROUND(K98*J98,2)</f>
        <v>0</v>
      </c>
    </row>
    <row r="99" spans="1:15" s="372" customFormat="1" ht="15" customHeight="1">
      <c r="A99" s="677">
        <v>36</v>
      </c>
      <c r="B99" s="721" t="s">
        <v>243</v>
      </c>
      <c r="C99" s="716" t="s">
        <v>40</v>
      </c>
      <c r="D99" s="717">
        <f>D96+(D97*0.2)</f>
        <v>353.68399999999997</v>
      </c>
      <c r="E99" s="709"/>
      <c r="F99" s="706">
        <f>ROUND(D99*E99,2)</f>
        <v>0</v>
      </c>
      <c r="G99" s="442" t="s">
        <v>388</v>
      </c>
      <c r="H99" s="438" t="s">
        <v>40</v>
      </c>
      <c r="I99" s="439">
        <v>1.01</v>
      </c>
      <c r="J99" s="439">
        <f>D99*I99</f>
        <v>357.22083999999995</v>
      </c>
      <c r="K99" s="439"/>
      <c r="L99" s="371">
        <f>J99*K99</f>
        <v>0</v>
      </c>
    </row>
    <row r="100" spans="1:15" s="372" customFormat="1" ht="15" customHeight="1">
      <c r="A100" s="677"/>
      <c r="B100" s="721"/>
      <c r="C100" s="716"/>
      <c r="D100" s="717"/>
      <c r="E100" s="709"/>
      <c r="F100" s="706"/>
      <c r="G100" s="442" t="s">
        <v>311</v>
      </c>
      <c r="H100" s="438" t="s">
        <v>312</v>
      </c>
      <c r="I100" s="439">
        <v>0.4</v>
      </c>
      <c r="J100" s="439">
        <f>I100*D99</f>
        <v>141.4736</v>
      </c>
      <c r="K100" s="439"/>
      <c r="L100" s="371">
        <f>J100*K100</f>
        <v>0</v>
      </c>
    </row>
    <row r="101" spans="1:15" s="372" customFormat="1" ht="15" customHeight="1">
      <c r="A101" s="677">
        <v>37</v>
      </c>
      <c r="B101" s="715" t="s">
        <v>245</v>
      </c>
      <c r="C101" s="716" t="s">
        <v>22</v>
      </c>
      <c r="D101" s="717">
        <f>1.99+44.96+44.96+8.91+8.91+1.99+5+6.85+6.85+5.52+6.21+6.21+18.66</f>
        <v>167.02</v>
      </c>
      <c r="E101" s="709"/>
      <c r="F101" s="706">
        <f>ROUND(D101*E101,2)</f>
        <v>0</v>
      </c>
      <c r="G101" s="363" t="s">
        <v>293</v>
      </c>
      <c r="H101" s="373" t="s">
        <v>22</v>
      </c>
      <c r="I101" s="374">
        <v>1.01</v>
      </c>
      <c r="J101" s="374">
        <f>10.93*I101</f>
        <v>11.039299999999999</v>
      </c>
      <c r="K101" s="375"/>
      <c r="L101" s="387">
        <f t="shared" ref="L101" si="9">ROUND(K101*J101,2)</f>
        <v>0</v>
      </c>
    </row>
    <row r="102" spans="1:15" s="372" customFormat="1" ht="15" customHeight="1">
      <c r="A102" s="677"/>
      <c r="B102" s="715"/>
      <c r="C102" s="716"/>
      <c r="D102" s="717"/>
      <c r="E102" s="709"/>
      <c r="F102" s="706"/>
      <c r="G102" s="363" t="s">
        <v>295</v>
      </c>
      <c r="H102" s="376" t="s">
        <v>294</v>
      </c>
      <c r="I102" s="376">
        <v>0.1</v>
      </c>
      <c r="J102" s="374">
        <f>I102*D101</f>
        <v>16.702000000000002</v>
      </c>
      <c r="K102" s="375"/>
      <c r="L102" s="367">
        <f>J102*K102</f>
        <v>0</v>
      </c>
    </row>
    <row r="103" spans="1:15" s="372" customFormat="1" ht="15" customHeight="1">
      <c r="A103" s="361"/>
      <c r="B103" s="362" t="s">
        <v>247</v>
      </c>
      <c r="C103" s="410"/>
      <c r="D103" s="411"/>
      <c r="E103" s="440"/>
      <c r="F103" s="440"/>
      <c r="G103" s="442"/>
      <c r="H103" s="438"/>
      <c r="I103" s="439"/>
      <c r="J103" s="439"/>
      <c r="K103" s="439"/>
      <c r="L103" s="371"/>
    </row>
    <row r="104" spans="1:15" s="372" customFormat="1" ht="15" customHeight="1">
      <c r="A104" s="361">
        <v>38</v>
      </c>
      <c r="B104" s="362" t="s">
        <v>241</v>
      </c>
      <c r="C104" s="410" t="s">
        <v>40</v>
      </c>
      <c r="D104" s="411">
        <f>11.44+11.58+19.11+18.84+18.89+18.84+18.84+2.64+2+13.69+119+12.69+26.55+12.65+22.5+2.87+27.57+18.28+18.28+18.29+18.28+18.31+5.49+4.93+28.36+18.83+18.83+26.8+2.27+5.39+4.68+13.58+9.65+9.65</f>
        <v>599.59999999999991</v>
      </c>
      <c r="E104" s="422"/>
      <c r="F104" s="423">
        <f>ROUND(D104*E104,2)</f>
        <v>0</v>
      </c>
      <c r="G104" s="442"/>
      <c r="H104" s="438"/>
      <c r="I104" s="439"/>
      <c r="J104" s="439"/>
      <c r="K104" s="439"/>
      <c r="L104" s="371"/>
    </row>
    <row r="105" spans="1:15" s="372" customFormat="1" ht="15" customHeight="1">
      <c r="A105" s="361">
        <v>39</v>
      </c>
      <c r="B105" s="362" t="s">
        <v>216</v>
      </c>
      <c r="C105" s="410" t="s">
        <v>22</v>
      </c>
      <c r="D105" s="411">
        <v>546.24</v>
      </c>
      <c r="E105" s="422"/>
      <c r="F105" s="423">
        <f>ROUND(D105*E105,2)</f>
        <v>0</v>
      </c>
      <c r="G105" s="442"/>
      <c r="H105" s="438"/>
      <c r="I105" s="439"/>
      <c r="J105" s="439"/>
      <c r="K105" s="439"/>
      <c r="L105" s="371"/>
    </row>
    <row r="106" spans="1:15" s="372" customFormat="1" ht="15" customHeight="1">
      <c r="A106" s="361">
        <v>40</v>
      </c>
      <c r="B106" s="362" t="s">
        <v>242</v>
      </c>
      <c r="C106" s="410" t="s">
        <v>40</v>
      </c>
      <c r="D106" s="411">
        <f>D104</f>
        <v>599.59999999999991</v>
      </c>
      <c r="E106" s="422"/>
      <c r="F106" s="423">
        <f>ROUND(D106*E106,2)</f>
        <v>0</v>
      </c>
      <c r="G106" s="391" t="s">
        <v>298</v>
      </c>
      <c r="H106" s="401" t="s">
        <v>13</v>
      </c>
      <c r="I106" s="395">
        <v>0.15</v>
      </c>
      <c r="J106" s="395">
        <f>D106*I106</f>
        <v>89.939999999999984</v>
      </c>
      <c r="K106" s="392"/>
      <c r="L106" s="396">
        <f t="shared" ref="L106" si="10">ROUND(K106*J106,2)</f>
        <v>0</v>
      </c>
    </row>
    <row r="107" spans="1:15" s="372" customFormat="1" ht="15" customHeight="1">
      <c r="A107" s="677">
        <v>41</v>
      </c>
      <c r="B107" s="721" t="s">
        <v>246</v>
      </c>
      <c r="C107" s="716" t="s">
        <v>40</v>
      </c>
      <c r="D107" s="717">
        <f>D104+(D105*0.2)</f>
        <v>708.84799999999996</v>
      </c>
      <c r="E107" s="709"/>
      <c r="F107" s="706">
        <f>ROUND(D107*E107,2)</f>
        <v>0</v>
      </c>
      <c r="G107" s="442" t="s">
        <v>310</v>
      </c>
      <c r="H107" s="438" t="s">
        <v>40</v>
      </c>
      <c r="I107" s="439">
        <v>1.01</v>
      </c>
      <c r="J107" s="439">
        <f>D107*I107</f>
        <v>715.93647999999996</v>
      </c>
      <c r="K107" s="439"/>
      <c r="L107" s="371">
        <f>J107*K107</f>
        <v>0</v>
      </c>
    </row>
    <row r="108" spans="1:15" s="372" customFormat="1" ht="15" customHeight="1">
      <c r="A108" s="677"/>
      <c r="B108" s="721"/>
      <c r="C108" s="716"/>
      <c r="D108" s="717"/>
      <c r="E108" s="709"/>
      <c r="F108" s="706"/>
      <c r="G108" s="442" t="s">
        <v>311</v>
      </c>
      <c r="H108" s="438" t="s">
        <v>312</v>
      </c>
      <c r="I108" s="439">
        <v>0.4</v>
      </c>
      <c r="J108" s="439">
        <f>I108*D107</f>
        <v>283.53919999999999</v>
      </c>
      <c r="K108" s="439"/>
      <c r="L108" s="371">
        <f>J108*K108</f>
        <v>0</v>
      </c>
    </row>
    <row r="109" spans="1:15" s="372" customFormat="1" ht="15" customHeight="1">
      <c r="A109" s="677">
        <v>42</v>
      </c>
      <c r="B109" s="715" t="s">
        <v>245</v>
      </c>
      <c r="C109" s="716" t="s">
        <v>22</v>
      </c>
      <c r="D109" s="717">
        <f>D105</f>
        <v>546.24</v>
      </c>
      <c r="E109" s="709"/>
      <c r="F109" s="706">
        <f>ROUND(D109*E109,2)</f>
        <v>0</v>
      </c>
      <c r="G109" s="363" t="s">
        <v>293</v>
      </c>
      <c r="H109" s="373" t="s">
        <v>22</v>
      </c>
      <c r="I109" s="374">
        <v>1.01</v>
      </c>
      <c r="J109" s="374">
        <f>10.93*I109</f>
        <v>11.039299999999999</v>
      </c>
      <c r="K109" s="375"/>
      <c r="L109" s="387">
        <f t="shared" ref="L109" si="11">ROUND(K109*J109,2)</f>
        <v>0</v>
      </c>
    </row>
    <row r="110" spans="1:15" s="372" customFormat="1" ht="15" customHeight="1">
      <c r="A110" s="677"/>
      <c r="B110" s="715"/>
      <c r="C110" s="716"/>
      <c r="D110" s="717"/>
      <c r="E110" s="709"/>
      <c r="F110" s="706"/>
      <c r="G110" s="363" t="s">
        <v>295</v>
      </c>
      <c r="H110" s="376" t="s">
        <v>294</v>
      </c>
      <c r="I110" s="376">
        <v>0.1</v>
      </c>
      <c r="J110" s="374">
        <f>I110*D109</f>
        <v>54.624000000000002</v>
      </c>
      <c r="K110" s="375"/>
      <c r="L110" s="367">
        <f>J110*K110</f>
        <v>0</v>
      </c>
    </row>
    <row r="111" spans="1:15" s="372" customFormat="1" ht="15" customHeight="1">
      <c r="A111" s="674">
        <v>43</v>
      </c>
      <c r="B111" s="675" t="s">
        <v>248</v>
      </c>
      <c r="C111" s="700" t="s">
        <v>40</v>
      </c>
      <c r="D111" s="701">
        <f>(D96+D104)*3</f>
        <v>2759.6399999999994</v>
      </c>
      <c r="E111" s="701"/>
      <c r="F111" s="701">
        <f>D111*E111</f>
        <v>0</v>
      </c>
      <c r="G111" s="402" t="s">
        <v>308</v>
      </c>
      <c r="H111" s="373" t="s">
        <v>147</v>
      </c>
      <c r="I111" s="374">
        <v>1.1000000000000001</v>
      </c>
      <c r="J111" s="374">
        <f>D111*I111</f>
        <v>3035.6039999999998</v>
      </c>
      <c r="K111" s="375"/>
      <c r="L111" s="387">
        <f t="shared" ref="L111:L112" si="12">ROUND(K111*J111,2)</f>
        <v>0</v>
      </c>
      <c r="O111" s="389"/>
    </row>
    <row r="112" spans="1:15" s="372" customFormat="1" ht="15" customHeight="1">
      <c r="A112" s="674"/>
      <c r="B112" s="675"/>
      <c r="C112" s="700"/>
      <c r="D112" s="701"/>
      <c r="E112" s="701"/>
      <c r="F112" s="701"/>
      <c r="G112" s="402" t="s">
        <v>220</v>
      </c>
      <c r="H112" s="373" t="s">
        <v>22</v>
      </c>
      <c r="I112" s="374">
        <v>1.01</v>
      </c>
      <c r="J112" s="374">
        <f>10.93*I112</f>
        <v>11.039299999999999</v>
      </c>
      <c r="K112" s="375"/>
      <c r="L112" s="387">
        <f t="shared" si="12"/>
        <v>0</v>
      </c>
      <c r="O112" s="389"/>
    </row>
    <row r="113" spans="1:15" s="372" customFormat="1" ht="15" customHeight="1">
      <c r="A113" s="403"/>
      <c r="B113" s="362" t="s">
        <v>249</v>
      </c>
      <c r="C113" s="410"/>
      <c r="D113" s="411"/>
      <c r="E113" s="440"/>
      <c r="F113" s="440"/>
      <c r="G113" s="442"/>
      <c r="H113" s="438"/>
      <c r="I113" s="439"/>
      <c r="J113" s="439"/>
      <c r="K113" s="413"/>
      <c r="L113" s="408"/>
    </row>
    <row r="114" spans="1:15" ht="15" customHeight="1">
      <c r="A114" s="403">
        <v>44</v>
      </c>
      <c r="B114" s="409" t="s">
        <v>250</v>
      </c>
      <c r="C114" s="410" t="s">
        <v>228</v>
      </c>
      <c r="D114" s="411">
        <f>4*0.25*1.2</f>
        <v>1.2</v>
      </c>
      <c r="E114" s="411"/>
      <c r="F114" s="411">
        <f>D114*E114</f>
        <v>0</v>
      </c>
      <c r="G114" s="362"/>
      <c r="H114" s="412"/>
      <c r="I114" s="407"/>
      <c r="J114" s="407"/>
      <c r="K114" s="413"/>
      <c r="L114" s="408"/>
      <c r="O114" s="372"/>
    </row>
    <row r="115" spans="1:15" ht="15" customHeight="1">
      <c r="A115" s="403">
        <v>45</v>
      </c>
      <c r="B115" s="409" t="s">
        <v>251</v>
      </c>
      <c r="C115" s="410" t="s">
        <v>40</v>
      </c>
      <c r="D115" s="411">
        <v>8</v>
      </c>
      <c r="E115" s="411"/>
      <c r="F115" s="411">
        <f>D115*E115</f>
        <v>0</v>
      </c>
      <c r="G115" s="362"/>
      <c r="H115" s="412"/>
      <c r="I115" s="407"/>
      <c r="J115" s="407"/>
      <c r="K115" s="413"/>
      <c r="L115" s="408"/>
      <c r="O115" s="372"/>
    </row>
    <row r="116" spans="1:15" s="372" customFormat="1" ht="15" customHeight="1">
      <c r="A116" s="674">
        <v>46</v>
      </c>
      <c r="B116" s="724" t="s">
        <v>252</v>
      </c>
      <c r="C116" s="725" t="s">
        <v>228</v>
      </c>
      <c r="D116" s="726">
        <f>(2.35+2)*0.25*1.4</f>
        <v>1.5224999999999997</v>
      </c>
      <c r="E116" s="706"/>
      <c r="F116" s="706">
        <f>ROUND(D116*E116,2)</f>
        <v>0</v>
      </c>
      <c r="G116" s="443" t="s">
        <v>467</v>
      </c>
      <c r="H116" s="444" t="s">
        <v>151</v>
      </c>
      <c r="I116" s="445">
        <v>51</v>
      </c>
      <c r="J116" s="446">
        <f>D115*I116</f>
        <v>408</v>
      </c>
      <c r="K116" s="423"/>
      <c r="L116" s="396">
        <f t="shared" ref="L116:L128" si="13">ROUND(K116*J116,2)</f>
        <v>0</v>
      </c>
    </row>
    <row r="117" spans="1:15" s="372" customFormat="1" ht="15" customHeight="1">
      <c r="A117" s="674"/>
      <c r="B117" s="724"/>
      <c r="C117" s="725"/>
      <c r="D117" s="726"/>
      <c r="E117" s="706"/>
      <c r="F117" s="706"/>
      <c r="G117" s="443" t="s">
        <v>253</v>
      </c>
      <c r="H117" s="444" t="s">
        <v>228</v>
      </c>
      <c r="I117" s="445">
        <v>2.9000000000000001E-2</v>
      </c>
      <c r="J117" s="447">
        <f>D115*I117</f>
        <v>0.23200000000000001</v>
      </c>
      <c r="K117" s="423"/>
      <c r="L117" s="396">
        <f t="shared" si="13"/>
        <v>0</v>
      </c>
    </row>
    <row r="118" spans="1:15" s="372" customFormat="1" ht="15" customHeight="1">
      <c r="A118" s="674"/>
      <c r="B118" s="724"/>
      <c r="C118" s="725"/>
      <c r="D118" s="726"/>
      <c r="E118" s="706"/>
      <c r="F118" s="706"/>
      <c r="G118" s="443" t="s">
        <v>254</v>
      </c>
      <c r="H118" s="444" t="s">
        <v>40</v>
      </c>
      <c r="I118" s="445">
        <v>0.55000000000000004</v>
      </c>
      <c r="J118" s="447">
        <f>D115*I118</f>
        <v>4.4000000000000004</v>
      </c>
      <c r="K118" s="423"/>
      <c r="L118" s="396">
        <f t="shared" si="13"/>
        <v>0</v>
      </c>
    </row>
    <row r="119" spans="1:15" s="372" customFormat="1" ht="15">
      <c r="A119" s="674"/>
      <c r="B119" s="724"/>
      <c r="C119" s="725"/>
      <c r="D119" s="726"/>
      <c r="E119" s="706"/>
      <c r="F119" s="706"/>
      <c r="G119" s="443" t="s">
        <v>255</v>
      </c>
      <c r="H119" s="444" t="s">
        <v>256</v>
      </c>
      <c r="I119" s="445">
        <v>3.6999999999999999E-4</v>
      </c>
      <c r="J119" s="448">
        <f>D115*I119</f>
        <v>2.96E-3</v>
      </c>
      <c r="K119" s="423"/>
      <c r="L119" s="396">
        <f t="shared" si="13"/>
        <v>0</v>
      </c>
    </row>
    <row r="120" spans="1:15" s="372" customFormat="1" ht="15">
      <c r="A120" s="674">
        <v>47</v>
      </c>
      <c r="B120" s="722" t="s">
        <v>60</v>
      </c>
      <c r="C120" s="723" t="s">
        <v>11</v>
      </c>
      <c r="D120" s="709">
        <f>(2.35+2*2)*1.4*2</f>
        <v>17.779999999999998</v>
      </c>
      <c r="E120" s="709"/>
      <c r="F120" s="706">
        <f>ROUND(D120*E120,2)</f>
        <v>0</v>
      </c>
      <c r="G120" s="391" t="s">
        <v>257</v>
      </c>
      <c r="H120" s="401" t="s">
        <v>15</v>
      </c>
      <c r="I120" s="395">
        <v>0.33</v>
      </c>
      <c r="J120" s="395">
        <f>D120*I120</f>
        <v>5.8673999999999991</v>
      </c>
      <c r="K120" s="400"/>
      <c r="L120" s="396">
        <f t="shared" si="13"/>
        <v>0</v>
      </c>
    </row>
    <row r="121" spans="1:15" s="372" customFormat="1" ht="15">
      <c r="A121" s="674"/>
      <c r="B121" s="722"/>
      <c r="C121" s="723"/>
      <c r="D121" s="709"/>
      <c r="E121" s="709"/>
      <c r="F121" s="706"/>
      <c r="G121" s="399" t="s">
        <v>221</v>
      </c>
      <c r="H121" s="401" t="s">
        <v>15</v>
      </c>
      <c r="I121" s="395">
        <v>20</v>
      </c>
      <c r="J121" s="395">
        <f>D120*I121</f>
        <v>355.59999999999997</v>
      </c>
      <c r="K121" s="400"/>
      <c r="L121" s="396">
        <f t="shared" si="13"/>
        <v>0</v>
      </c>
    </row>
    <row r="122" spans="1:15" s="372" customFormat="1" ht="15">
      <c r="A122" s="674"/>
      <c r="B122" s="722"/>
      <c r="C122" s="723"/>
      <c r="D122" s="709"/>
      <c r="E122" s="709"/>
      <c r="F122" s="706"/>
      <c r="G122" s="399" t="s">
        <v>258</v>
      </c>
      <c r="H122" s="401" t="s">
        <v>18</v>
      </c>
      <c r="I122" s="449">
        <v>0.1</v>
      </c>
      <c r="J122" s="395">
        <f>D120*I122</f>
        <v>1.7779999999999998</v>
      </c>
      <c r="K122" s="395"/>
      <c r="L122" s="396">
        <f t="shared" si="13"/>
        <v>0</v>
      </c>
    </row>
    <row r="123" spans="1:15" s="372" customFormat="1" ht="15">
      <c r="A123" s="674">
        <v>48</v>
      </c>
      <c r="B123" s="707" t="s">
        <v>259</v>
      </c>
      <c r="C123" s="708" t="s">
        <v>11</v>
      </c>
      <c r="D123" s="709">
        <f>D120</f>
        <v>17.779999999999998</v>
      </c>
      <c r="E123" s="709"/>
      <c r="F123" s="706">
        <f>ROUND(D123*E123,2)</f>
        <v>0</v>
      </c>
      <c r="G123" s="399" t="s">
        <v>260</v>
      </c>
      <c r="H123" s="401" t="s">
        <v>15</v>
      </c>
      <c r="I123" s="395">
        <v>3.2</v>
      </c>
      <c r="J123" s="395">
        <f>D123*I123</f>
        <v>56.895999999999994</v>
      </c>
      <c r="K123" s="395"/>
      <c r="L123" s="396">
        <f t="shared" si="13"/>
        <v>0</v>
      </c>
    </row>
    <row r="124" spans="1:15" s="372" customFormat="1" ht="15">
      <c r="A124" s="674"/>
      <c r="B124" s="707"/>
      <c r="C124" s="708"/>
      <c r="D124" s="709"/>
      <c r="E124" s="709"/>
      <c r="F124" s="706"/>
      <c r="G124" s="391" t="s">
        <v>298</v>
      </c>
      <c r="H124" s="401" t="s">
        <v>13</v>
      </c>
      <c r="I124" s="395">
        <v>0.15</v>
      </c>
      <c r="J124" s="395">
        <f>D123*I124</f>
        <v>2.6669999999999994</v>
      </c>
      <c r="K124" s="392"/>
      <c r="L124" s="396">
        <f t="shared" si="13"/>
        <v>0</v>
      </c>
    </row>
    <row r="125" spans="1:15" s="372" customFormat="1" ht="15" customHeight="1">
      <c r="A125" s="674"/>
      <c r="B125" s="707"/>
      <c r="C125" s="708"/>
      <c r="D125" s="709"/>
      <c r="E125" s="709"/>
      <c r="F125" s="706"/>
      <c r="G125" s="399" t="s">
        <v>223</v>
      </c>
      <c r="H125" s="401" t="s">
        <v>15</v>
      </c>
      <c r="I125" s="395">
        <v>1.8</v>
      </c>
      <c r="J125" s="395">
        <f>D123*I125</f>
        <v>32.003999999999998</v>
      </c>
      <c r="K125" s="395"/>
      <c r="L125" s="396">
        <f t="shared" si="13"/>
        <v>0</v>
      </c>
    </row>
    <row r="126" spans="1:15" s="372" customFormat="1" ht="15" customHeight="1">
      <c r="A126" s="674"/>
      <c r="B126" s="707"/>
      <c r="C126" s="708"/>
      <c r="D126" s="709"/>
      <c r="E126" s="709"/>
      <c r="F126" s="706"/>
      <c r="G126" s="391" t="s">
        <v>298</v>
      </c>
      <c r="H126" s="384" t="s">
        <v>13</v>
      </c>
      <c r="I126" s="449">
        <v>0.15</v>
      </c>
      <c r="J126" s="449">
        <f>I126*D123</f>
        <v>2.6669999999999994</v>
      </c>
      <c r="K126" s="392"/>
      <c r="L126" s="396">
        <f t="shared" si="13"/>
        <v>0</v>
      </c>
    </row>
    <row r="127" spans="1:15" s="397" customFormat="1" ht="30" customHeight="1">
      <c r="A127" s="702" t="s">
        <v>435</v>
      </c>
      <c r="B127" s="703" t="s">
        <v>226</v>
      </c>
      <c r="C127" s="704" t="s">
        <v>11</v>
      </c>
      <c r="D127" s="705">
        <f>D123</f>
        <v>17.779999999999998</v>
      </c>
      <c r="E127" s="705"/>
      <c r="F127" s="706">
        <f>ROUND(D127*E127,2)</f>
        <v>0</v>
      </c>
      <c r="G127" s="391" t="s">
        <v>298</v>
      </c>
      <c r="H127" s="394" t="s">
        <v>23</v>
      </c>
      <c r="I127" s="552">
        <v>1.2999999999999999E-2</v>
      </c>
      <c r="J127" s="395">
        <f>I127*D127</f>
        <v>0.23113999999999996</v>
      </c>
      <c r="K127" s="392"/>
      <c r="L127" s="396">
        <f t="shared" si="13"/>
        <v>0</v>
      </c>
      <c r="N127" s="398"/>
    </row>
    <row r="128" spans="1:15" s="397" customFormat="1" ht="15">
      <c r="A128" s="702"/>
      <c r="B128" s="703"/>
      <c r="C128" s="704"/>
      <c r="D128" s="705"/>
      <c r="E128" s="705"/>
      <c r="F128" s="706"/>
      <c r="G128" s="391" t="s">
        <v>296</v>
      </c>
      <c r="H128" s="384" t="s">
        <v>15</v>
      </c>
      <c r="I128" s="553">
        <v>3.5000000000000003E-2</v>
      </c>
      <c r="J128" s="400">
        <f>I128*D127</f>
        <v>0.62229999999999996</v>
      </c>
      <c r="K128" s="385"/>
      <c r="L128" s="396">
        <f t="shared" si="13"/>
        <v>0</v>
      </c>
      <c r="N128" s="398"/>
    </row>
    <row r="129" spans="1:14" s="397" customFormat="1" ht="15">
      <c r="A129" s="418"/>
      <c r="B129" s="362" t="s">
        <v>419</v>
      </c>
      <c r="C129" s="394"/>
      <c r="D129" s="450"/>
      <c r="E129" s="450"/>
      <c r="F129" s="423"/>
      <c r="G129" s="391"/>
      <c r="H129" s="384"/>
      <c r="I129" s="553"/>
      <c r="J129" s="400"/>
      <c r="K129" s="385"/>
      <c r="L129" s="396"/>
      <c r="N129" s="398"/>
    </row>
    <row r="130" spans="1:14" s="397" customFormat="1" ht="30" customHeight="1">
      <c r="A130" s="702" t="s">
        <v>436</v>
      </c>
      <c r="B130" s="703" t="s">
        <v>420</v>
      </c>
      <c r="C130" s="704" t="s">
        <v>11</v>
      </c>
      <c r="D130" s="705">
        <v>843.25</v>
      </c>
      <c r="E130" s="705"/>
      <c r="F130" s="706">
        <f>ROUND(D130*E130,2)</f>
        <v>0</v>
      </c>
      <c r="G130" s="391" t="s">
        <v>298</v>
      </c>
      <c r="H130" s="394" t="s">
        <v>23</v>
      </c>
      <c r="I130" s="552">
        <v>1.2999999999999999E-2</v>
      </c>
      <c r="J130" s="395">
        <f>I130*D130</f>
        <v>10.962249999999999</v>
      </c>
      <c r="K130" s="392"/>
      <c r="L130" s="396">
        <f t="shared" ref="L130:L131" si="14">ROUND(K130*J130,2)</f>
        <v>0</v>
      </c>
      <c r="N130" s="398"/>
    </row>
    <row r="131" spans="1:14" s="397" customFormat="1" ht="15">
      <c r="A131" s="702"/>
      <c r="B131" s="703"/>
      <c r="C131" s="704"/>
      <c r="D131" s="705"/>
      <c r="E131" s="705"/>
      <c r="F131" s="706"/>
      <c r="G131" s="391" t="s">
        <v>296</v>
      </c>
      <c r="H131" s="384" t="s">
        <v>15</v>
      </c>
      <c r="I131" s="553">
        <v>3.5000000000000003E-2</v>
      </c>
      <c r="J131" s="400">
        <f>I131*D130</f>
        <v>29.513750000000002</v>
      </c>
      <c r="K131" s="385"/>
      <c r="L131" s="396">
        <f t="shared" si="14"/>
        <v>0</v>
      </c>
      <c r="N131" s="398"/>
    </row>
    <row r="132" spans="1:14" ht="17.25" customHeight="1">
      <c r="A132" s="361"/>
      <c r="B132" s="362" t="s">
        <v>261</v>
      </c>
      <c r="C132" s="363"/>
      <c r="D132" s="365"/>
      <c r="E132" s="365"/>
      <c r="F132" s="415"/>
      <c r="G132" s="365"/>
      <c r="H132" s="365"/>
      <c r="I132" s="365"/>
      <c r="J132" s="416"/>
      <c r="K132" s="416"/>
      <c r="L132" s="417"/>
    </row>
    <row r="133" spans="1:14" ht="17.25" customHeight="1">
      <c r="A133" s="361"/>
      <c r="B133" s="362" t="s">
        <v>262</v>
      </c>
      <c r="C133" s="363"/>
      <c r="D133" s="365"/>
      <c r="E133" s="365"/>
      <c r="F133" s="415"/>
      <c r="G133" s="365"/>
      <c r="H133" s="365"/>
      <c r="I133" s="365"/>
      <c r="J133" s="416"/>
      <c r="K133" s="416"/>
      <c r="L133" s="417"/>
    </row>
    <row r="134" spans="1:14" s="372" customFormat="1" ht="17.25" customHeight="1">
      <c r="A134" s="674">
        <v>51</v>
      </c>
      <c r="B134" s="715" t="s">
        <v>263</v>
      </c>
      <c r="C134" s="716" t="s">
        <v>40</v>
      </c>
      <c r="D134" s="717">
        <f>(5.55*3.1)+(0.55*3.1)</f>
        <v>18.91</v>
      </c>
      <c r="E134" s="717"/>
      <c r="F134" s="717">
        <f>D134*E134</f>
        <v>0</v>
      </c>
      <c r="G134" s="362" t="s">
        <v>264</v>
      </c>
      <c r="H134" s="438" t="s">
        <v>265</v>
      </c>
      <c r="I134" s="439">
        <v>1</v>
      </c>
      <c r="J134" s="439">
        <v>1</v>
      </c>
      <c r="K134" s="439"/>
      <c r="L134" s="371">
        <f>J134*K134</f>
        <v>0</v>
      </c>
    </row>
    <row r="135" spans="1:14" s="372" customFormat="1" ht="17.25" customHeight="1">
      <c r="A135" s="674"/>
      <c r="B135" s="715"/>
      <c r="C135" s="716"/>
      <c r="D135" s="717"/>
      <c r="E135" s="717"/>
      <c r="F135" s="717"/>
      <c r="G135" s="442" t="s">
        <v>268</v>
      </c>
      <c r="H135" s="438" t="s">
        <v>265</v>
      </c>
      <c r="I135" s="439">
        <v>1</v>
      </c>
      <c r="J135" s="439">
        <v>1</v>
      </c>
      <c r="K135" s="439"/>
      <c r="L135" s="371">
        <f>J135*K135</f>
        <v>0</v>
      </c>
    </row>
    <row r="136" spans="1:14" ht="17.25" customHeight="1">
      <c r="A136" s="361"/>
      <c r="B136" s="362" t="s">
        <v>413</v>
      </c>
      <c r="C136" s="363"/>
      <c r="D136" s="365"/>
      <c r="E136" s="365"/>
      <c r="F136" s="415"/>
      <c r="G136" s="365"/>
      <c r="H136" s="365"/>
      <c r="I136" s="365"/>
      <c r="J136" s="416"/>
      <c r="K136" s="416"/>
      <c r="L136" s="417"/>
    </row>
    <row r="137" spans="1:14" ht="17.25" customHeight="1">
      <c r="A137" s="361"/>
      <c r="B137" s="362" t="s">
        <v>31</v>
      </c>
      <c r="C137" s="363"/>
      <c r="D137" s="365"/>
      <c r="E137" s="365"/>
      <c r="F137" s="415"/>
      <c r="G137" s="365"/>
      <c r="H137" s="365"/>
      <c r="I137" s="365"/>
      <c r="J137" s="416"/>
      <c r="K137" s="416"/>
      <c r="L137" s="417"/>
    </row>
    <row r="138" spans="1:14" s="372" customFormat="1" ht="15" customHeight="1">
      <c r="A138" s="361">
        <v>52</v>
      </c>
      <c r="B138" s="362" t="s">
        <v>241</v>
      </c>
      <c r="C138" s="410" t="s">
        <v>40</v>
      </c>
      <c r="D138" s="411">
        <f>45.4+59.58+52.08</f>
        <v>157.06</v>
      </c>
      <c r="E138" s="422"/>
      <c r="F138" s="423">
        <f>ROUND(D138*E138,2)</f>
        <v>0</v>
      </c>
      <c r="G138" s="442"/>
      <c r="H138" s="438"/>
      <c r="I138" s="439"/>
      <c r="J138" s="439"/>
      <c r="K138" s="439"/>
      <c r="L138" s="371"/>
    </row>
    <row r="139" spans="1:14" s="372" customFormat="1" ht="15" customHeight="1">
      <c r="A139" s="361">
        <v>53</v>
      </c>
      <c r="B139" s="362" t="s">
        <v>216</v>
      </c>
      <c r="C139" s="410" t="s">
        <v>22</v>
      </c>
      <c r="D139" s="411">
        <v>565.32000000000005</v>
      </c>
      <c r="E139" s="422"/>
      <c r="F139" s="423">
        <f>ROUND(D139*E139,2)</f>
        <v>0</v>
      </c>
      <c r="G139" s="442"/>
      <c r="H139" s="438"/>
      <c r="I139" s="439"/>
      <c r="J139" s="439"/>
      <c r="K139" s="439"/>
      <c r="L139" s="371"/>
    </row>
    <row r="140" spans="1:14" s="372" customFormat="1" ht="15" customHeight="1">
      <c r="A140" s="361">
        <v>54</v>
      </c>
      <c r="B140" s="362" t="s">
        <v>242</v>
      </c>
      <c r="C140" s="410" t="s">
        <v>40</v>
      </c>
      <c r="D140" s="411">
        <f>D138</f>
        <v>157.06</v>
      </c>
      <c r="E140" s="422"/>
      <c r="F140" s="423">
        <f>ROUND(D140*E140,2)</f>
        <v>0</v>
      </c>
      <c r="G140" s="391" t="s">
        <v>298</v>
      </c>
      <c r="H140" s="401" t="s">
        <v>13</v>
      </c>
      <c r="I140" s="395">
        <v>0.15</v>
      </c>
      <c r="J140" s="395">
        <f>D140*I140</f>
        <v>23.559000000000001</v>
      </c>
      <c r="K140" s="392"/>
      <c r="L140" s="396">
        <f t="shared" ref="L140" si="15">ROUND(K140*J140,2)</f>
        <v>0</v>
      </c>
    </row>
    <row r="141" spans="1:14" s="372" customFormat="1" ht="15" customHeight="1">
      <c r="A141" s="677">
        <v>55</v>
      </c>
      <c r="B141" s="721" t="s">
        <v>243</v>
      </c>
      <c r="C141" s="716" t="s">
        <v>40</v>
      </c>
      <c r="D141" s="717">
        <f>D138</f>
        <v>157.06</v>
      </c>
      <c r="E141" s="709"/>
      <c r="F141" s="706">
        <f>ROUND(D141*E141,2)</f>
        <v>0</v>
      </c>
      <c r="G141" s="442" t="s">
        <v>388</v>
      </c>
      <c r="H141" s="438" t="s">
        <v>40</v>
      </c>
      <c r="I141" s="439">
        <v>1.01</v>
      </c>
      <c r="J141" s="439">
        <f>D141*I141</f>
        <v>158.63060000000002</v>
      </c>
      <c r="K141" s="439"/>
      <c r="L141" s="371">
        <f>J141*K141</f>
        <v>0</v>
      </c>
    </row>
    <row r="142" spans="1:14" s="372" customFormat="1" ht="15" customHeight="1">
      <c r="A142" s="677"/>
      <c r="B142" s="721"/>
      <c r="C142" s="716"/>
      <c r="D142" s="717"/>
      <c r="E142" s="709"/>
      <c r="F142" s="706"/>
      <c r="G142" s="442" t="s">
        <v>311</v>
      </c>
      <c r="H142" s="438" t="s">
        <v>312</v>
      </c>
      <c r="I142" s="439">
        <v>0.4</v>
      </c>
      <c r="J142" s="439">
        <f>I142*D141</f>
        <v>62.824000000000005</v>
      </c>
      <c r="K142" s="439"/>
      <c r="L142" s="371">
        <f>J142*K142</f>
        <v>0</v>
      </c>
    </row>
    <row r="143" spans="1:14" s="372" customFormat="1" ht="15" customHeight="1">
      <c r="A143" s="677">
        <v>56</v>
      </c>
      <c r="B143" s="715" t="s">
        <v>245</v>
      </c>
      <c r="C143" s="716" t="s">
        <v>22</v>
      </c>
      <c r="D143" s="717">
        <f>D139</f>
        <v>565.32000000000005</v>
      </c>
      <c r="E143" s="709"/>
      <c r="F143" s="706">
        <f>ROUND(D143*E143,2)</f>
        <v>0</v>
      </c>
      <c r="G143" s="363" t="s">
        <v>293</v>
      </c>
      <c r="H143" s="373" t="s">
        <v>22</v>
      </c>
      <c r="I143" s="374">
        <v>1.01</v>
      </c>
      <c r="J143" s="374">
        <f>10.93*I143</f>
        <v>11.039299999999999</v>
      </c>
      <c r="K143" s="375"/>
      <c r="L143" s="387">
        <f t="shared" ref="L143" si="16">ROUND(K143*J143,2)</f>
        <v>0</v>
      </c>
    </row>
    <row r="144" spans="1:14" s="372" customFormat="1" ht="15" customHeight="1">
      <c r="A144" s="677"/>
      <c r="B144" s="715"/>
      <c r="C144" s="716"/>
      <c r="D144" s="717"/>
      <c r="E144" s="709"/>
      <c r="F144" s="706"/>
      <c r="G144" s="363" t="s">
        <v>295</v>
      </c>
      <c r="H144" s="376" t="s">
        <v>294</v>
      </c>
      <c r="I144" s="376">
        <v>0.1</v>
      </c>
      <c r="J144" s="374">
        <f>I144*D143</f>
        <v>56.532000000000011</v>
      </c>
      <c r="K144" s="375"/>
      <c r="L144" s="367">
        <f>J144*K144</f>
        <v>0</v>
      </c>
    </row>
    <row r="145" spans="1:15" s="372" customFormat="1" ht="15" customHeight="1">
      <c r="A145" s="361"/>
      <c r="B145" s="362" t="s">
        <v>20</v>
      </c>
      <c r="C145" s="412"/>
      <c r="D145" s="411"/>
      <c r="E145" s="422"/>
      <c r="F145" s="423"/>
      <c r="G145" s="363"/>
      <c r="H145" s="376"/>
      <c r="I145" s="376"/>
      <c r="J145" s="374"/>
      <c r="K145" s="375"/>
      <c r="L145" s="367"/>
    </row>
    <row r="146" spans="1:15" s="397" customFormat="1" ht="30" customHeight="1">
      <c r="A146" s="702" t="s">
        <v>437</v>
      </c>
      <c r="B146" s="703" t="s">
        <v>288</v>
      </c>
      <c r="C146" s="704" t="s">
        <v>11</v>
      </c>
      <c r="D146" s="705">
        <f>151.59*3.1</f>
        <v>469.92900000000003</v>
      </c>
      <c r="E146" s="705"/>
      <c r="F146" s="706">
        <f>ROUND(D146*E146,2)</f>
        <v>0</v>
      </c>
      <c r="G146" s="391" t="s">
        <v>298</v>
      </c>
      <c r="H146" s="394" t="s">
        <v>23</v>
      </c>
      <c r="I146" s="552">
        <v>1.2999999999999999E-2</v>
      </c>
      <c r="J146" s="395">
        <f>I146*D146</f>
        <v>6.1090770000000001</v>
      </c>
      <c r="K146" s="392"/>
      <c r="L146" s="396">
        <f t="shared" ref="L146:L147" si="17">ROUND(K146*J146,2)</f>
        <v>0</v>
      </c>
      <c r="O146" s="398"/>
    </row>
    <row r="147" spans="1:15" s="397" customFormat="1" ht="15">
      <c r="A147" s="702"/>
      <c r="B147" s="703"/>
      <c r="C147" s="704"/>
      <c r="D147" s="705"/>
      <c r="E147" s="705"/>
      <c r="F147" s="706"/>
      <c r="G147" s="391" t="s">
        <v>296</v>
      </c>
      <c r="H147" s="384" t="s">
        <v>15</v>
      </c>
      <c r="I147" s="553">
        <v>3.5000000000000003E-2</v>
      </c>
      <c r="J147" s="400">
        <f>I147*D146</f>
        <v>16.447515000000003</v>
      </c>
      <c r="K147" s="385"/>
      <c r="L147" s="396">
        <f t="shared" si="17"/>
        <v>0</v>
      </c>
      <c r="O147" s="398"/>
    </row>
    <row r="148" spans="1:15" ht="24.75" customHeight="1">
      <c r="A148" s="361"/>
      <c r="B148" s="362" t="s">
        <v>417</v>
      </c>
      <c r="C148" s="363"/>
      <c r="D148" s="365"/>
      <c r="E148" s="365"/>
      <c r="F148" s="415"/>
      <c r="G148" s="365"/>
      <c r="H148" s="365"/>
      <c r="I148" s="365"/>
      <c r="J148" s="416"/>
      <c r="K148" s="416"/>
      <c r="L148" s="417"/>
    </row>
    <row r="149" spans="1:15" ht="17.25" customHeight="1">
      <c r="A149" s="361"/>
      <c r="B149" s="362" t="s">
        <v>31</v>
      </c>
      <c r="C149" s="363"/>
      <c r="D149" s="365"/>
      <c r="E149" s="365"/>
      <c r="F149" s="415"/>
      <c r="G149" s="365"/>
      <c r="H149" s="365"/>
      <c r="I149" s="365"/>
      <c r="J149" s="416"/>
      <c r="K149" s="416"/>
      <c r="L149" s="417"/>
    </row>
    <row r="150" spans="1:15" s="372" customFormat="1" ht="15" customHeight="1">
      <c r="A150" s="361">
        <v>58</v>
      </c>
      <c r="B150" s="362" t="s">
        <v>241</v>
      </c>
      <c r="C150" s="410" t="s">
        <v>40</v>
      </c>
      <c r="D150" s="411">
        <f>19.5*19</f>
        <v>370.5</v>
      </c>
      <c r="E150" s="422"/>
      <c r="F150" s="423">
        <f>ROUND(D150*E150,2)</f>
        <v>0</v>
      </c>
      <c r="G150" s="442"/>
      <c r="H150" s="438"/>
      <c r="I150" s="439"/>
      <c r="J150" s="439"/>
      <c r="K150" s="439"/>
      <c r="L150" s="371"/>
    </row>
    <row r="151" spans="1:15" s="372" customFormat="1" ht="15" customHeight="1">
      <c r="A151" s="361">
        <v>59</v>
      </c>
      <c r="B151" s="362" t="s">
        <v>216</v>
      </c>
      <c r="C151" s="410" t="s">
        <v>22</v>
      </c>
      <c r="D151" s="411">
        <v>589</v>
      </c>
      <c r="E151" s="422"/>
      <c r="F151" s="423">
        <f>ROUND(D151*E151,2)</f>
        <v>0</v>
      </c>
      <c r="G151" s="442"/>
      <c r="H151" s="438"/>
      <c r="I151" s="439"/>
      <c r="J151" s="439"/>
      <c r="K151" s="439"/>
      <c r="L151" s="371"/>
    </row>
    <row r="152" spans="1:15" s="372" customFormat="1" ht="15" customHeight="1">
      <c r="A152" s="361">
        <v>60</v>
      </c>
      <c r="B152" s="362" t="s">
        <v>242</v>
      </c>
      <c r="C152" s="410" t="s">
        <v>40</v>
      </c>
      <c r="D152" s="411">
        <f>D150</f>
        <v>370.5</v>
      </c>
      <c r="E152" s="422"/>
      <c r="F152" s="423">
        <f>ROUND(D152*E152,2)</f>
        <v>0</v>
      </c>
      <c r="G152" s="391" t="s">
        <v>298</v>
      </c>
      <c r="H152" s="401" t="s">
        <v>13</v>
      </c>
      <c r="I152" s="395">
        <v>0.15</v>
      </c>
      <c r="J152" s="395">
        <f>D152*I152</f>
        <v>55.574999999999996</v>
      </c>
      <c r="K152" s="392"/>
      <c r="L152" s="396">
        <f t="shared" ref="L152" si="18">ROUND(K152*J152,2)</f>
        <v>0</v>
      </c>
    </row>
    <row r="153" spans="1:15" s="372" customFormat="1" ht="15" customHeight="1">
      <c r="A153" s="677">
        <v>61</v>
      </c>
      <c r="B153" s="721" t="s">
        <v>246</v>
      </c>
      <c r="C153" s="716" t="s">
        <v>40</v>
      </c>
      <c r="D153" s="717">
        <f>D150</f>
        <v>370.5</v>
      </c>
      <c r="E153" s="709"/>
      <c r="F153" s="706">
        <f>ROUND(D153*E153,2)</f>
        <v>0</v>
      </c>
      <c r="G153" s="442" t="s">
        <v>310</v>
      </c>
      <c r="H153" s="438" t="s">
        <v>40</v>
      </c>
      <c r="I153" s="439">
        <v>1.01</v>
      </c>
      <c r="J153" s="439">
        <f>D153*I153</f>
        <v>374.20499999999998</v>
      </c>
      <c r="K153" s="439"/>
      <c r="L153" s="371">
        <f>J153*K153</f>
        <v>0</v>
      </c>
    </row>
    <row r="154" spans="1:15" s="372" customFormat="1" ht="15" customHeight="1">
      <c r="A154" s="677"/>
      <c r="B154" s="721"/>
      <c r="C154" s="716"/>
      <c r="D154" s="717"/>
      <c r="E154" s="709"/>
      <c r="F154" s="706"/>
      <c r="G154" s="442" t="s">
        <v>311</v>
      </c>
      <c r="H154" s="438" t="s">
        <v>312</v>
      </c>
      <c r="I154" s="439">
        <v>0.4</v>
      </c>
      <c r="J154" s="439">
        <f>I154*D153</f>
        <v>148.20000000000002</v>
      </c>
      <c r="K154" s="439"/>
      <c r="L154" s="371">
        <f>J154*K154</f>
        <v>0</v>
      </c>
    </row>
    <row r="155" spans="1:15" s="372" customFormat="1" ht="15" customHeight="1">
      <c r="A155" s="677">
        <v>62</v>
      </c>
      <c r="B155" s="715" t="s">
        <v>245</v>
      </c>
      <c r="C155" s="716" t="s">
        <v>22</v>
      </c>
      <c r="D155" s="717">
        <v>589</v>
      </c>
      <c r="E155" s="709"/>
      <c r="F155" s="706">
        <f>ROUND(D155*E155,2)</f>
        <v>0</v>
      </c>
      <c r="G155" s="363" t="s">
        <v>293</v>
      </c>
      <c r="H155" s="373" t="s">
        <v>22</v>
      </c>
      <c r="I155" s="374">
        <v>1.01</v>
      </c>
      <c r="J155" s="374">
        <f>10.93*I155</f>
        <v>11.039299999999999</v>
      </c>
      <c r="K155" s="375"/>
      <c r="L155" s="387">
        <f t="shared" ref="L155" si="19">ROUND(K155*J155,2)</f>
        <v>0</v>
      </c>
    </row>
    <row r="156" spans="1:15" s="372" customFormat="1" ht="15" customHeight="1">
      <c r="A156" s="677"/>
      <c r="B156" s="715"/>
      <c r="C156" s="716"/>
      <c r="D156" s="717"/>
      <c r="E156" s="709"/>
      <c r="F156" s="706"/>
      <c r="G156" s="363" t="s">
        <v>295</v>
      </c>
      <c r="H156" s="376" t="s">
        <v>294</v>
      </c>
      <c r="I156" s="376">
        <v>0.1</v>
      </c>
      <c r="J156" s="374">
        <f>I156*D155</f>
        <v>58.900000000000006</v>
      </c>
      <c r="K156" s="375"/>
      <c r="L156" s="367">
        <f>J156*K156</f>
        <v>0</v>
      </c>
    </row>
    <row r="157" spans="1:15" s="372" customFormat="1" ht="15" customHeight="1">
      <c r="A157" s="361"/>
      <c r="B157" s="362" t="s">
        <v>20</v>
      </c>
      <c r="C157" s="412"/>
      <c r="D157" s="411"/>
      <c r="E157" s="422"/>
      <c r="F157" s="423"/>
      <c r="G157" s="363"/>
      <c r="H157" s="376"/>
      <c r="I157" s="376"/>
      <c r="J157" s="374"/>
      <c r="K157" s="375"/>
      <c r="L157" s="367"/>
    </row>
    <row r="158" spans="1:15" s="397" customFormat="1" ht="30" customHeight="1">
      <c r="A158" s="702" t="s">
        <v>438</v>
      </c>
      <c r="B158" s="703" t="s">
        <v>288</v>
      </c>
      <c r="C158" s="704" t="s">
        <v>11</v>
      </c>
      <c r="D158" s="705">
        <v>458</v>
      </c>
      <c r="E158" s="705"/>
      <c r="F158" s="706">
        <f>ROUND(D158*E158,2)</f>
        <v>0</v>
      </c>
      <c r="G158" s="391" t="s">
        <v>298</v>
      </c>
      <c r="H158" s="394" t="s">
        <v>23</v>
      </c>
      <c r="I158" s="552">
        <v>1.2999999999999999E-2</v>
      </c>
      <c r="J158" s="395">
        <f>I158*D158</f>
        <v>5.9539999999999997</v>
      </c>
      <c r="K158" s="392"/>
      <c r="L158" s="396">
        <f t="shared" ref="L158:L159" si="20">ROUND(K158*J158,2)</f>
        <v>0</v>
      </c>
      <c r="O158" s="398"/>
    </row>
    <row r="159" spans="1:15" s="397" customFormat="1" ht="15">
      <c r="A159" s="702"/>
      <c r="B159" s="703"/>
      <c r="C159" s="704"/>
      <c r="D159" s="705"/>
      <c r="E159" s="705"/>
      <c r="F159" s="706"/>
      <c r="G159" s="391" t="s">
        <v>296</v>
      </c>
      <c r="H159" s="384" t="s">
        <v>15</v>
      </c>
      <c r="I159" s="553">
        <v>3.5000000000000003E-2</v>
      </c>
      <c r="J159" s="400">
        <f>I159*D158</f>
        <v>16.03</v>
      </c>
      <c r="K159" s="385"/>
      <c r="L159" s="396">
        <f t="shared" si="20"/>
        <v>0</v>
      </c>
      <c r="O159" s="398"/>
    </row>
    <row r="160" spans="1:15" ht="17.25" customHeight="1">
      <c r="A160" s="361"/>
      <c r="B160" s="362" t="s">
        <v>416</v>
      </c>
      <c r="C160" s="363"/>
      <c r="D160" s="365"/>
      <c r="E160" s="365"/>
      <c r="F160" s="415"/>
      <c r="G160" s="365"/>
      <c r="H160" s="365"/>
      <c r="I160" s="365"/>
      <c r="J160" s="416"/>
      <c r="K160" s="416"/>
      <c r="L160" s="417"/>
    </row>
    <row r="161" spans="1:15" ht="17.25" customHeight="1">
      <c r="A161" s="361"/>
      <c r="B161" s="362" t="s">
        <v>413</v>
      </c>
      <c r="C161" s="363"/>
      <c r="D161" s="365"/>
      <c r="E161" s="365"/>
      <c r="F161" s="415"/>
      <c r="G161" s="365"/>
      <c r="H161" s="365"/>
      <c r="I161" s="365"/>
      <c r="J161" s="416"/>
      <c r="K161" s="416"/>
      <c r="L161" s="417"/>
    </row>
    <row r="162" spans="1:15" ht="17.25" customHeight="1">
      <c r="A162" s="361"/>
      <c r="B162" s="362" t="s">
        <v>31</v>
      </c>
      <c r="C162" s="363"/>
      <c r="D162" s="365"/>
      <c r="E162" s="365"/>
      <c r="F162" s="415"/>
      <c r="G162" s="365"/>
      <c r="H162" s="365"/>
      <c r="I162" s="365"/>
      <c r="J162" s="416"/>
      <c r="K162" s="416"/>
      <c r="L162" s="417"/>
    </row>
    <row r="163" spans="1:15" s="372" customFormat="1" ht="15" customHeight="1">
      <c r="A163" s="361">
        <v>64</v>
      </c>
      <c r="B163" s="362" t="s">
        <v>241</v>
      </c>
      <c r="C163" s="410" t="s">
        <v>40</v>
      </c>
      <c r="D163" s="411">
        <f>45.4+59.58+52.08</f>
        <v>157.06</v>
      </c>
      <c r="E163" s="422"/>
      <c r="F163" s="423">
        <f>ROUND(D163*E163,2)</f>
        <v>0</v>
      </c>
      <c r="G163" s="442"/>
      <c r="H163" s="438"/>
      <c r="I163" s="439"/>
      <c r="J163" s="439"/>
      <c r="K163" s="439"/>
      <c r="L163" s="371"/>
    </row>
    <row r="164" spans="1:15" s="372" customFormat="1" ht="15" customHeight="1">
      <c r="A164" s="361">
        <v>65</v>
      </c>
      <c r="B164" s="362" t="s">
        <v>216</v>
      </c>
      <c r="C164" s="410" t="s">
        <v>22</v>
      </c>
      <c r="D164" s="411">
        <v>565.32000000000005</v>
      </c>
      <c r="E164" s="422"/>
      <c r="F164" s="423">
        <f>ROUND(D164*E164,2)</f>
        <v>0</v>
      </c>
      <c r="G164" s="442"/>
      <c r="H164" s="438"/>
      <c r="I164" s="439"/>
      <c r="J164" s="439"/>
      <c r="K164" s="439"/>
      <c r="L164" s="371"/>
    </row>
    <row r="165" spans="1:15" s="372" customFormat="1" ht="15" customHeight="1">
      <c r="A165" s="361">
        <v>66</v>
      </c>
      <c r="B165" s="362" t="s">
        <v>242</v>
      </c>
      <c r="C165" s="410" t="s">
        <v>40</v>
      </c>
      <c r="D165" s="411">
        <f>D163</f>
        <v>157.06</v>
      </c>
      <c r="E165" s="422"/>
      <c r="F165" s="423">
        <f>ROUND(D165*E165,2)</f>
        <v>0</v>
      </c>
      <c r="G165" s="391" t="s">
        <v>298</v>
      </c>
      <c r="H165" s="401" t="s">
        <v>13</v>
      </c>
      <c r="I165" s="395">
        <v>0.15</v>
      </c>
      <c r="J165" s="395">
        <f>D165*I165</f>
        <v>23.559000000000001</v>
      </c>
      <c r="K165" s="392"/>
      <c r="L165" s="396">
        <f t="shared" ref="L165" si="21">ROUND(K165*J165,2)</f>
        <v>0</v>
      </c>
    </row>
    <row r="166" spans="1:15" s="372" customFormat="1" ht="15" customHeight="1">
      <c r="A166" s="677">
        <v>67</v>
      </c>
      <c r="B166" s="721" t="s">
        <v>243</v>
      </c>
      <c r="C166" s="716" t="s">
        <v>40</v>
      </c>
      <c r="D166" s="717">
        <f>D163</f>
        <v>157.06</v>
      </c>
      <c r="E166" s="709"/>
      <c r="F166" s="706">
        <f>ROUND(D166*E166,2)</f>
        <v>0</v>
      </c>
      <c r="G166" s="442" t="s">
        <v>388</v>
      </c>
      <c r="H166" s="438" t="s">
        <v>40</v>
      </c>
      <c r="I166" s="439">
        <v>1.01</v>
      </c>
      <c r="J166" s="439">
        <f>D166*I166</f>
        <v>158.63060000000002</v>
      </c>
      <c r="K166" s="439"/>
      <c r="L166" s="371">
        <f>J166*K166</f>
        <v>0</v>
      </c>
    </row>
    <row r="167" spans="1:15" s="372" customFormat="1" ht="15" customHeight="1">
      <c r="A167" s="677"/>
      <c r="B167" s="721"/>
      <c r="C167" s="716"/>
      <c r="D167" s="717"/>
      <c r="E167" s="709"/>
      <c r="F167" s="706"/>
      <c r="G167" s="442" t="s">
        <v>311</v>
      </c>
      <c r="H167" s="438" t="s">
        <v>312</v>
      </c>
      <c r="I167" s="439">
        <v>0.4</v>
      </c>
      <c r="J167" s="439">
        <f>I167*D166</f>
        <v>62.824000000000005</v>
      </c>
      <c r="K167" s="439"/>
      <c r="L167" s="371">
        <f>J167*K167</f>
        <v>0</v>
      </c>
    </row>
    <row r="168" spans="1:15" s="372" customFormat="1" ht="15" customHeight="1">
      <c r="A168" s="677">
        <v>68</v>
      </c>
      <c r="B168" s="715" t="s">
        <v>245</v>
      </c>
      <c r="C168" s="716" t="s">
        <v>22</v>
      </c>
      <c r="D168" s="717">
        <f>D164</f>
        <v>565.32000000000005</v>
      </c>
      <c r="E168" s="709"/>
      <c r="F168" s="706">
        <f>ROUND(D168*E168,2)</f>
        <v>0</v>
      </c>
      <c r="G168" s="363" t="s">
        <v>293</v>
      </c>
      <c r="H168" s="373" t="s">
        <v>22</v>
      </c>
      <c r="I168" s="374">
        <v>1.01</v>
      </c>
      <c r="J168" s="374">
        <f>10.93*I168</f>
        <v>11.039299999999999</v>
      </c>
      <c r="K168" s="375"/>
      <c r="L168" s="387">
        <f t="shared" ref="L168" si="22">ROUND(K168*J168,2)</f>
        <v>0</v>
      </c>
    </row>
    <row r="169" spans="1:15" s="372" customFormat="1" ht="15" customHeight="1">
      <c r="A169" s="677"/>
      <c r="B169" s="715"/>
      <c r="C169" s="716"/>
      <c r="D169" s="717"/>
      <c r="E169" s="709"/>
      <c r="F169" s="706"/>
      <c r="G169" s="363" t="s">
        <v>295</v>
      </c>
      <c r="H169" s="376" t="s">
        <v>294</v>
      </c>
      <c r="I169" s="376">
        <v>0.1</v>
      </c>
      <c r="J169" s="374">
        <f>I169*D168</f>
        <v>56.532000000000011</v>
      </c>
      <c r="K169" s="375"/>
      <c r="L169" s="367">
        <f>J169*K169</f>
        <v>0</v>
      </c>
    </row>
    <row r="170" spans="1:15" s="372" customFormat="1" ht="15" customHeight="1">
      <c r="A170" s="361"/>
      <c r="B170" s="362" t="s">
        <v>20</v>
      </c>
      <c r="C170" s="412"/>
      <c r="D170" s="411"/>
      <c r="E170" s="422"/>
      <c r="F170" s="423"/>
      <c r="G170" s="363"/>
      <c r="H170" s="376"/>
      <c r="I170" s="376"/>
      <c r="J170" s="374"/>
      <c r="K170" s="375"/>
      <c r="L170" s="367"/>
    </row>
    <row r="171" spans="1:15" s="397" customFormat="1" ht="30" customHeight="1">
      <c r="A171" s="702" t="s">
        <v>439</v>
      </c>
      <c r="B171" s="703" t="s">
        <v>288</v>
      </c>
      <c r="C171" s="704" t="s">
        <v>11</v>
      </c>
      <c r="D171" s="705">
        <f>151.59*3.1</f>
        <v>469.92900000000003</v>
      </c>
      <c r="E171" s="705"/>
      <c r="F171" s="706">
        <f>ROUND(D171*E171,2)</f>
        <v>0</v>
      </c>
      <c r="G171" s="391" t="s">
        <v>298</v>
      </c>
      <c r="H171" s="394" t="s">
        <v>23</v>
      </c>
      <c r="I171" s="552">
        <v>1.2999999999999999E-2</v>
      </c>
      <c r="J171" s="395">
        <f>I171*D171</f>
        <v>6.1090770000000001</v>
      </c>
      <c r="K171" s="392"/>
      <c r="L171" s="396">
        <f t="shared" ref="L171:L172" si="23">ROUND(K171*J171,2)</f>
        <v>0</v>
      </c>
      <c r="O171" s="398"/>
    </row>
    <row r="172" spans="1:15" s="397" customFormat="1" ht="15">
      <c r="A172" s="702"/>
      <c r="B172" s="703"/>
      <c r="C172" s="704"/>
      <c r="D172" s="705"/>
      <c r="E172" s="705"/>
      <c r="F172" s="706"/>
      <c r="G172" s="391" t="s">
        <v>296</v>
      </c>
      <c r="H172" s="384" t="s">
        <v>15</v>
      </c>
      <c r="I172" s="553">
        <v>3.5000000000000003E-2</v>
      </c>
      <c r="J172" s="400">
        <f>I172*D171</f>
        <v>16.447515000000003</v>
      </c>
      <c r="K172" s="385"/>
      <c r="L172" s="396">
        <f t="shared" si="23"/>
        <v>0</v>
      </c>
      <c r="O172" s="398"/>
    </row>
    <row r="173" spans="1:15" ht="24.75" customHeight="1">
      <c r="A173" s="361"/>
      <c r="B173" s="362" t="s">
        <v>415</v>
      </c>
      <c r="C173" s="363"/>
      <c r="D173" s="365"/>
      <c r="E173" s="365"/>
      <c r="F173" s="415"/>
      <c r="G173" s="365"/>
      <c r="H173" s="365"/>
      <c r="I173" s="365"/>
      <c r="J173" s="416"/>
      <c r="K173" s="416"/>
      <c r="L173" s="417"/>
    </row>
    <row r="174" spans="1:15" ht="17.25" customHeight="1">
      <c r="A174" s="361"/>
      <c r="B174" s="362" t="s">
        <v>31</v>
      </c>
      <c r="C174" s="363"/>
      <c r="D174" s="365"/>
      <c r="E174" s="365"/>
      <c r="F174" s="415"/>
      <c r="G174" s="365"/>
      <c r="H174" s="365"/>
      <c r="I174" s="365"/>
      <c r="J174" s="416"/>
      <c r="K174" s="416"/>
      <c r="L174" s="417"/>
    </row>
    <row r="175" spans="1:15" s="372" customFormat="1" ht="15" customHeight="1">
      <c r="A175" s="361">
        <v>70</v>
      </c>
      <c r="B175" s="362" t="s">
        <v>241</v>
      </c>
      <c r="C175" s="410" t="s">
        <v>40</v>
      </c>
      <c r="D175" s="411">
        <f>17.64*15</f>
        <v>264.60000000000002</v>
      </c>
      <c r="E175" s="422"/>
      <c r="F175" s="423">
        <f>ROUND(D175*E175,2)</f>
        <v>0</v>
      </c>
      <c r="G175" s="442"/>
      <c r="H175" s="438"/>
      <c r="I175" s="439"/>
      <c r="J175" s="439"/>
      <c r="K175" s="439"/>
      <c r="L175" s="371"/>
    </row>
    <row r="176" spans="1:15" s="372" customFormat="1" ht="15" customHeight="1">
      <c r="A176" s="361">
        <v>71</v>
      </c>
      <c r="B176" s="362" t="s">
        <v>216</v>
      </c>
      <c r="C176" s="410" t="s">
        <v>22</v>
      </c>
      <c r="D176" s="411">
        <v>565.32000000000005</v>
      </c>
      <c r="E176" s="422"/>
      <c r="F176" s="423">
        <f>ROUND(D176*E176,2)</f>
        <v>0</v>
      </c>
      <c r="G176" s="442"/>
      <c r="H176" s="438"/>
      <c r="I176" s="439"/>
      <c r="J176" s="439"/>
      <c r="K176" s="439"/>
      <c r="L176" s="371"/>
    </row>
    <row r="177" spans="1:15" s="372" customFormat="1" ht="15" customHeight="1">
      <c r="A177" s="361">
        <v>72</v>
      </c>
      <c r="B177" s="362" t="s">
        <v>242</v>
      </c>
      <c r="C177" s="410" t="s">
        <v>40</v>
      </c>
      <c r="D177" s="411">
        <f>D175</f>
        <v>264.60000000000002</v>
      </c>
      <c r="E177" s="422"/>
      <c r="F177" s="423">
        <f>ROUND(D177*E177,2)</f>
        <v>0</v>
      </c>
      <c r="G177" s="391" t="s">
        <v>298</v>
      </c>
      <c r="H177" s="401" t="s">
        <v>13</v>
      </c>
      <c r="I177" s="395">
        <v>0.15</v>
      </c>
      <c r="J177" s="395">
        <f>D177*I177</f>
        <v>39.690000000000005</v>
      </c>
      <c r="K177" s="392"/>
      <c r="L177" s="396">
        <f t="shared" ref="L177" si="24">ROUND(K177*J177,2)</f>
        <v>0</v>
      </c>
    </row>
    <row r="178" spans="1:15" s="372" customFormat="1" ht="15" customHeight="1">
      <c r="A178" s="677">
        <v>73</v>
      </c>
      <c r="B178" s="721" t="s">
        <v>246</v>
      </c>
      <c r="C178" s="716" t="s">
        <v>40</v>
      </c>
      <c r="D178" s="717">
        <f>D175</f>
        <v>264.60000000000002</v>
      </c>
      <c r="E178" s="709"/>
      <c r="F178" s="706">
        <f>ROUND(D178*E178,2)</f>
        <v>0</v>
      </c>
      <c r="G178" s="442" t="s">
        <v>310</v>
      </c>
      <c r="H178" s="438" t="s">
        <v>40</v>
      </c>
      <c r="I178" s="439">
        <v>1.01</v>
      </c>
      <c r="J178" s="439">
        <f>D178*I178</f>
        <v>267.24600000000004</v>
      </c>
      <c r="K178" s="439"/>
      <c r="L178" s="371">
        <f>J178*K178</f>
        <v>0</v>
      </c>
    </row>
    <row r="179" spans="1:15" s="372" customFormat="1" ht="15" customHeight="1">
      <c r="A179" s="677"/>
      <c r="B179" s="721"/>
      <c r="C179" s="716"/>
      <c r="D179" s="717"/>
      <c r="E179" s="709"/>
      <c r="F179" s="706"/>
      <c r="G179" s="442" t="s">
        <v>311</v>
      </c>
      <c r="H179" s="438" t="s">
        <v>312</v>
      </c>
      <c r="I179" s="439">
        <v>0.4</v>
      </c>
      <c r="J179" s="439">
        <f>I179*D178</f>
        <v>105.84000000000002</v>
      </c>
      <c r="K179" s="439"/>
      <c r="L179" s="371">
        <f>J179*K179</f>
        <v>0</v>
      </c>
    </row>
    <row r="180" spans="1:15" s="372" customFormat="1" ht="15" customHeight="1">
      <c r="A180" s="677">
        <v>74</v>
      </c>
      <c r="B180" s="715" t="s">
        <v>245</v>
      </c>
      <c r="C180" s="716" t="s">
        <v>22</v>
      </c>
      <c r="D180" s="717">
        <v>540</v>
      </c>
      <c r="E180" s="709"/>
      <c r="F180" s="706">
        <f>ROUND(D180*E180,2)</f>
        <v>0</v>
      </c>
      <c r="G180" s="363" t="s">
        <v>293</v>
      </c>
      <c r="H180" s="373" t="s">
        <v>22</v>
      </c>
      <c r="I180" s="374">
        <v>1.01</v>
      </c>
      <c r="J180" s="374">
        <f>10.93*I180</f>
        <v>11.039299999999999</v>
      </c>
      <c r="K180" s="375"/>
      <c r="L180" s="387">
        <f t="shared" ref="L180" si="25">ROUND(K180*J180,2)</f>
        <v>0</v>
      </c>
    </row>
    <row r="181" spans="1:15" s="372" customFormat="1" ht="15" customHeight="1">
      <c r="A181" s="677"/>
      <c r="B181" s="715"/>
      <c r="C181" s="716"/>
      <c r="D181" s="717"/>
      <c r="E181" s="709"/>
      <c r="F181" s="706"/>
      <c r="G181" s="363" t="s">
        <v>295</v>
      </c>
      <c r="H181" s="376" t="s">
        <v>294</v>
      </c>
      <c r="I181" s="376">
        <v>0.1</v>
      </c>
      <c r="J181" s="374">
        <f>I181*D180</f>
        <v>54</v>
      </c>
      <c r="K181" s="375"/>
      <c r="L181" s="367">
        <f>J181*K181</f>
        <v>0</v>
      </c>
    </row>
    <row r="182" spans="1:15" s="372" customFormat="1" ht="15" customHeight="1">
      <c r="A182" s="361"/>
      <c r="B182" s="362" t="s">
        <v>20</v>
      </c>
      <c r="C182" s="412"/>
      <c r="D182" s="411"/>
      <c r="E182" s="422"/>
      <c r="F182" s="423"/>
      <c r="G182" s="363"/>
      <c r="H182" s="376"/>
      <c r="I182" s="376"/>
      <c r="J182" s="374"/>
      <c r="K182" s="375"/>
      <c r="L182" s="367"/>
    </row>
    <row r="183" spans="1:15" s="397" customFormat="1" ht="30" customHeight="1">
      <c r="A183" s="702" t="s">
        <v>440</v>
      </c>
      <c r="B183" s="703" t="s">
        <v>288</v>
      </c>
      <c r="C183" s="704" t="s">
        <v>11</v>
      </c>
      <c r="D183" s="705">
        <v>898</v>
      </c>
      <c r="E183" s="705"/>
      <c r="F183" s="706">
        <f>ROUND(D183*E183,2)</f>
        <v>0</v>
      </c>
      <c r="G183" s="391" t="s">
        <v>298</v>
      </c>
      <c r="H183" s="394" t="s">
        <v>23</v>
      </c>
      <c r="I183" s="552">
        <v>1.2999999999999999E-2</v>
      </c>
      <c r="J183" s="395">
        <f>I183*D183</f>
        <v>11.673999999999999</v>
      </c>
      <c r="K183" s="392"/>
      <c r="L183" s="396">
        <f t="shared" ref="L183:L184" si="26">ROUND(K183*J183,2)</f>
        <v>0</v>
      </c>
      <c r="O183" s="398"/>
    </row>
    <row r="184" spans="1:15" s="397" customFormat="1" ht="15">
      <c r="A184" s="702"/>
      <c r="B184" s="703"/>
      <c r="C184" s="704"/>
      <c r="D184" s="705"/>
      <c r="E184" s="705"/>
      <c r="F184" s="706"/>
      <c r="G184" s="391" t="s">
        <v>296</v>
      </c>
      <c r="H184" s="384" t="s">
        <v>15</v>
      </c>
      <c r="I184" s="553">
        <v>3.5000000000000003E-2</v>
      </c>
      <c r="J184" s="400">
        <f>I184*D183</f>
        <v>31.430000000000003</v>
      </c>
      <c r="K184" s="385"/>
      <c r="L184" s="396">
        <f t="shared" si="26"/>
        <v>0</v>
      </c>
      <c r="O184" s="398"/>
    </row>
    <row r="185" spans="1:15" s="397" customFormat="1" ht="15">
      <c r="A185" s="418"/>
      <c r="B185" s="362" t="s">
        <v>419</v>
      </c>
      <c r="C185" s="394"/>
      <c r="D185" s="450"/>
      <c r="E185" s="450"/>
      <c r="F185" s="423"/>
      <c r="G185" s="391"/>
      <c r="H185" s="384"/>
      <c r="I185" s="553"/>
      <c r="J185" s="400"/>
      <c r="K185" s="385"/>
      <c r="L185" s="396"/>
      <c r="N185" s="398"/>
    </row>
    <row r="186" spans="1:15" s="397" customFormat="1" ht="30" customHeight="1">
      <c r="A186" s="702" t="s">
        <v>441</v>
      </c>
      <c r="B186" s="703" t="s">
        <v>420</v>
      </c>
      <c r="C186" s="704" t="s">
        <v>11</v>
      </c>
      <c r="D186" s="705">
        <v>854.35</v>
      </c>
      <c r="E186" s="705"/>
      <c r="F186" s="706">
        <f>ROUND(D186*E186,2)</f>
        <v>0</v>
      </c>
      <c r="G186" s="391" t="s">
        <v>298</v>
      </c>
      <c r="H186" s="394" t="s">
        <v>23</v>
      </c>
      <c r="I186" s="552">
        <v>1.2999999999999999E-2</v>
      </c>
      <c r="J186" s="395">
        <f>I186*D186</f>
        <v>11.10655</v>
      </c>
      <c r="K186" s="392"/>
      <c r="L186" s="396">
        <f t="shared" ref="L186:L187" si="27">ROUND(K186*J186,2)</f>
        <v>0</v>
      </c>
      <c r="N186" s="398"/>
    </row>
    <row r="187" spans="1:15" s="397" customFormat="1" ht="15">
      <c r="A187" s="702"/>
      <c r="B187" s="703"/>
      <c r="C187" s="704"/>
      <c r="D187" s="705"/>
      <c r="E187" s="705"/>
      <c r="F187" s="706"/>
      <c r="G187" s="391" t="s">
        <v>296</v>
      </c>
      <c r="H187" s="384" t="s">
        <v>15</v>
      </c>
      <c r="I187" s="553">
        <v>3.5000000000000003E-2</v>
      </c>
      <c r="J187" s="400">
        <f>I187*D186</f>
        <v>29.902250000000002</v>
      </c>
      <c r="K187" s="385"/>
      <c r="L187" s="396">
        <f t="shared" si="27"/>
        <v>0</v>
      </c>
      <c r="N187" s="398"/>
    </row>
    <row r="188" spans="1:15" ht="17.25" customHeight="1">
      <c r="A188" s="361"/>
      <c r="B188" s="362" t="s">
        <v>266</v>
      </c>
      <c r="C188" s="363"/>
      <c r="D188" s="365"/>
      <c r="E188" s="365"/>
      <c r="F188" s="415"/>
      <c r="G188" s="365"/>
      <c r="H188" s="365"/>
      <c r="I188" s="365"/>
      <c r="J188" s="416"/>
      <c r="K188" s="416"/>
      <c r="L188" s="417"/>
    </row>
    <row r="189" spans="1:15" ht="17.25" customHeight="1">
      <c r="A189" s="361"/>
      <c r="B189" s="362" t="s">
        <v>273</v>
      </c>
      <c r="C189" s="363"/>
      <c r="D189" s="365"/>
      <c r="E189" s="365"/>
      <c r="F189" s="415"/>
      <c r="G189" s="365"/>
      <c r="H189" s="365"/>
      <c r="I189" s="365"/>
      <c r="J189" s="416"/>
      <c r="K189" s="416"/>
      <c r="L189" s="417"/>
    </row>
    <row r="190" spans="1:15" ht="17.25" customHeight="1">
      <c r="A190" s="361">
        <v>77</v>
      </c>
      <c r="B190" s="362" t="s">
        <v>272</v>
      </c>
      <c r="C190" s="412" t="s">
        <v>151</v>
      </c>
      <c r="D190" s="411">
        <f>1*1</f>
        <v>1</v>
      </c>
      <c r="E190" s="411"/>
      <c r="F190" s="411">
        <f>D190*E190</f>
        <v>0</v>
      </c>
      <c r="G190" s="365"/>
      <c r="H190" s="365"/>
      <c r="I190" s="365"/>
      <c r="J190" s="416"/>
      <c r="K190" s="416"/>
      <c r="L190" s="417"/>
    </row>
    <row r="191" spans="1:15" s="372" customFormat="1" ht="15">
      <c r="A191" s="674">
        <v>78</v>
      </c>
      <c r="B191" s="707" t="s">
        <v>259</v>
      </c>
      <c r="C191" s="708" t="s">
        <v>11</v>
      </c>
      <c r="D191" s="709">
        <v>5</v>
      </c>
      <c r="E191" s="709"/>
      <c r="F191" s="706">
        <f>ROUND(D191*E191,2)</f>
        <v>0</v>
      </c>
      <c r="G191" s="399" t="s">
        <v>260</v>
      </c>
      <c r="H191" s="401" t="s">
        <v>15</v>
      </c>
      <c r="I191" s="395">
        <v>3.2</v>
      </c>
      <c r="J191" s="395">
        <f>D191*I191</f>
        <v>16</v>
      </c>
      <c r="K191" s="395"/>
      <c r="L191" s="396">
        <f t="shared" ref="L191:L194" si="28">ROUND(K191*J191,2)</f>
        <v>0</v>
      </c>
    </row>
    <row r="192" spans="1:15" s="372" customFormat="1" ht="15">
      <c r="A192" s="674"/>
      <c r="B192" s="707"/>
      <c r="C192" s="708"/>
      <c r="D192" s="709"/>
      <c r="E192" s="709"/>
      <c r="F192" s="706"/>
      <c r="G192" s="391" t="s">
        <v>298</v>
      </c>
      <c r="H192" s="401" t="s">
        <v>13</v>
      </c>
      <c r="I192" s="395">
        <v>0.15</v>
      </c>
      <c r="J192" s="395">
        <f>D191*I192</f>
        <v>0.75</v>
      </c>
      <c r="K192" s="392"/>
      <c r="L192" s="396">
        <f t="shared" si="28"/>
        <v>0</v>
      </c>
    </row>
    <row r="193" spans="1:15" s="372" customFormat="1" ht="15" customHeight="1">
      <c r="A193" s="674"/>
      <c r="B193" s="707"/>
      <c r="C193" s="708"/>
      <c r="D193" s="709"/>
      <c r="E193" s="709"/>
      <c r="F193" s="706"/>
      <c r="G193" s="399" t="s">
        <v>223</v>
      </c>
      <c r="H193" s="401" t="s">
        <v>15</v>
      </c>
      <c r="I193" s="395">
        <v>1.8</v>
      </c>
      <c r="J193" s="395">
        <f>D191*I193</f>
        <v>9</v>
      </c>
      <c r="K193" s="395"/>
      <c r="L193" s="396">
        <f t="shared" si="28"/>
        <v>0</v>
      </c>
    </row>
    <row r="194" spans="1:15" s="372" customFormat="1" ht="15" customHeight="1">
      <c r="A194" s="674"/>
      <c r="B194" s="707"/>
      <c r="C194" s="708"/>
      <c r="D194" s="709"/>
      <c r="E194" s="709"/>
      <c r="F194" s="706"/>
      <c r="G194" s="391" t="s">
        <v>298</v>
      </c>
      <c r="H194" s="384" t="s">
        <v>13</v>
      </c>
      <c r="I194" s="449">
        <v>0.15</v>
      </c>
      <c r="J194" s="449">
        <f>I194*D191</f>
        <v>0.75</v>
      </c>
      <c r="K194" s="392"/>
      <c r="L194" s="396">
        <f t="shared" si="28"/>
        <v>0</v>
      </c>
    </row>
    <row r="195" spans="1:15" ht="17.25" customHeight="1">
      <c r="A195" s="361"/>
      <c r="B195" s="362" t="s">
        <v>274</v>
      </c>
      <c r="C195" s="363"/>
      <c r="D195" s="365"/>
      <c r="E195" s="365"/>
      <c r="F195" s="415"/>
      <c r="G195" s="365"/>
      <c r="H195" s="365"/>
      <c r="I195" s="365"/>
      <c r="J195" s="416"/>
      <c r="K195" s="416"/>
      <c r="L195" s="417"/>
    </row>
    <row r="196" spans="1:15" s="372" customFormat="1" ht="15" customHeight="1">
      <c r="A196" s="403">
        <v>79</v>
      </c>
      <c r="B196" s="409" t="s">
        <v>269</v>
      </c>
      <c r="C196" s="412" t="s">
        <v>228</v>
      </c>
      <c r="D196" s="411">
        <f>1*1</f>
        <v>1</v>
      </c>
      <c r="E196" s="411"/>
      <c r="F196" s="411">
        <f>D196*E196</f>
        <v>0</v>
      </c>
      <c r="G196" s="363"/>
      <c r="H196" s="412"/>
      <c r="I196" s="407"/>
      <c r="J196" s="407"/>
      <c r="K196" s="407"/>
      <c r="L196" s="408"/>
      <c r="O196" s="389"/>
    </row>
    <row r="197" spans="1:15" s="372" customFormat="1" ht="15" customHeight="1">
      <c r="A197" s="403">
        <v>80</v>
      </c>
      <c r="B197" s="409" t="s">
        <v>270</v>
      </c>
      <c r="C197" s="412" t="s">
        <v>40</v>
      </c>
      <c r="D197" s="411">
        <f>1*1</f>
        <v>1</v>
      </c>
      <c r="E197" s="411"/>
      <c r="F197" s="411">
        <f>D197*E197</f>
        <v>0</v>
      </c>
      <c r="G197" s="363" t="s">
        <v>271</v>
      </c>
      <c r="H197" s="412" t="s">
        <v>151</v>
      </c>
      <c r="I197" s="407">
        <v>1</v>
      </c>
      <c r="J197" s="407">
        <v>1</v>
      </c>
      <c r="K197" s="407"/>
      <c r="L197" s="408">
        <f>J197*K197</f>
        <v>0</v>
      </c>
      <c r="O197" s="389"/>
    </row>
    <row r="198" spans="1:15" s="372" customFormat="1" ht="15" customHeight="1">
      <c r="A198" s="674">
        <v>81</v>
      </c>
      <c r="B198" s="675" t="s">
        <v>248</v>
      </c>
      <c r="C198" s="700" t="s">
        <v>40</v>
      </c>
      <c r="D198" s="701">
        <v>125</v>
      </c>
      <c r="E198" s="701"/>
      <c r="F198" s="701">
        <f>D198*E198</f>
        <v>0</v>
      </c>
      <c r="G198" s="402" t="s">
        <v>308</v>
      </c>
      <c r="H198" s="373" t="s">
        <v>147</v>
      </c>
      <c r="I198" s="374">
        <v>1.1000000000000001</v>
      </c>
      <c r="J198" s="374">
        <f>D198*I198</f>
        <v>137.5</v>
      </c>
      <c r="K198" s="375"/>
      <c r="L198" s="387">
        <f t="shared" ref="L198:L199" si="29">ROUND(K198*J198,2)</f>
        <v>0</v>
      </c>
      <c r="O198" s="389"/>
    </row>
    <row r="199" spans="1:15" s="372" customFormat="1" ht="15" customHeight="1">
      <c r="A199" s="674"/>
      <c r="B199" s="675"/>
      <c r="C199" s="700"/>
      <c r="D199" s="701"/>
      <c r="E199" s="701"/>
      <c r="F199" s="701"/>
      <c r="G199" s="402" t="s">
        <v>220</v>
      </c>
      <c r="H199" s="373" t="s">
        <v>22</v>
      </c>
      <c r="I199" s="374">
        <v>1.01</v>
      </c>
      <c r="J199" s="374">
        <f>10.93*I199</f>
        <v>11.039299999999999</v>
      </c>
      <c r="K199" s="375"/>
      <c r="L199" s="387">
        <f t="shared" si="29"/>
        <v>0</v>
      </c>
      <c r="O199" s="389"/>
    </row>
    <row r="200" spans="1:15" s="372" customFormat="1" ht="15" customHeight="1">
      <c r="A200" s="403"/>
      <c r="B200" s="362" t="s">
        <v>267</v>
      </c>
      <c r="C200" s="410"/>
      <c r="D200" s="411"/>
      <c r="E200" s="440"/>
      <c r="F200" s="440"/>
      <c r="G200" s="442"/>
      <c r="H200" s="438"/>
      <c r="I200" s="439"/>
      <c r="J200" s="439"/>
      <c r="K200" s="439"/>
      <c r="L200" s="371"/>
    </row>
    <row r="201" spans="1:15" s="372" customFormat="1" ht="15" customHeight="1">
      <c r="A201" s="403">
        <v>82</v>
      </c>
      <c r="B201" s="409" t="s">
        <v>269</v>
      </c>
      <c r="C201" s="412" t="s">
        <v>228</v>
      </c>
      <c r="D201" s="411">
        <f>1*1.5</f>
        <v>1.5</v>
      </c>
      <c r="E201" s="411"/>
      <c r="F201" s="411">
        <f>D201*E201</f>
        <v>0</v>
      </c>
      <c r="G201" s="363"/>
      <c r="H201" s="412"/>
      <c r="I201" s="407"/>
      <c r="J201" s="407"/>
      <c r="K201" s="407"/>
      <c r="L201" s="408"/>
      <c r="O201" s="389"/>
    </row>
    <row r="202" spans="1:15" s="372" customFormat="1" ht="15" customHeight="1">
      <c r="A202" s="403">
        <v>83</v>
      </c>
      <c r="B202" s="409" t="s">
        <v>270</v>
      </c>
      <c r="C202" s="412" t="s">
        <v>40</v>
      </c>
      <c r="D202" s="411">
        <f>1*1.5</f>
        <v>1.5</v>
      </c>
      <c r="E202" s="411"/>
      <c r="F202" s="411">
        <f>D202*E202</f>
        <v>0</v>
      </c>
      <c r="G202" s="363" t="s">
        <v>275</v>
      </c>
      <c r="H202" s="412" t="s">
        <v>151</v>
      </c>
      <c r="I202" s="407">
        <v>1</v>
      </c>
      <c r="J202" s="407">
        <v>1</v>
      </c>
      <c r="K202" s="407"/>
      <c r="L202" s="408">
        <f>J202*K202</f>
        <v>0</v>
      </c>
      <c r="O202" s="389"/>
    </row>
    <row r="203" spans="1:15" ht="17.25" customHeight="1">
      <c r="A203" s="361">
        <v>84</v>
      </c>
      <c r="B203" s="362" t="s">
        <v>272</v>
      </c>
      <c r="C203" s="412" t="s">
        <v>151</v>
      </c>
      <c r="D203" s="411">
        <v>2</v>
      </c>
      <c r="E203" s="411"/>
      <c r="F203" s="411">
        <f>D203*E203</f>
        <v>0</v>
      </c>
      <c r="G203" s="365"/>
      <c r="H203" s="365"/>
      <c r="I203" s="365"/>
      <c r="J203" s="416"/>
      <c r="K203" s="416"/>
      <c r="L203" s="417"/>
    </row>
    <row r="204" spans="1:15" s="372" customFormat="1" ht="15">
      <c r="A204" s="674">
        <v>85</v>
      </c>
      <c r="B204" s="707" t="s">
        <v>259</v>
      </c>
      <c r="C204" s="708" t="s">
        <v>11</v>
      </c>
      <c r="D204" s="709">
        <v>6</v>
      </c>
      <c r="E204" s="709"/>
      <c r="F204" s="706">
        <f>ROUND(D204*E204,2)</f>
        <v>0</v>
      </c>
      <c r="G204" s="399" t="s">
        <v>260</v>
      </c>
      <c r="H204" s="401" t="s">
        <v>15</v>
      </c>
      <c r="I204" s="395">
        <v>3.2</v>
      </c>
      <c r="J204" s="395">
        <f>D204*I204</f>
        <v>19.200000000000003</v>
      </c>
      <c r="K204" s="395"/>
      <c r="L204" s="396">
        <f t="shared" ref="L204:L207" si="30">ROUND(K204*J204,2)</f>
        <v>0</v>
      </c>
    </row>
    <row r="205" spans="1:15" s="372" customFormat="1" ht="15">
      <c r="A205" s="674"/>
      <c r="B205" s="707"/>
      <c r="C205" s="708"/>
      <c r="D205" s="709"/>
      <c r="E205" s="709"/>
      <c r="F205" s="706"/>
      <c r="G205" s="391" t="s">
        <v>298</v>
      </c>
      <c r="H205" s="401" t="s">
        <v>13</v>
      </c>
      <c r="I205" s="395">
        <v>0.15</v>
      </c>
      <c r="J205" s="395">
        <f>D204*I205</f>
        <v>0.89999999999999991</v>
      </c>
      <c r="K205" s="392"/>
      <c r="L205" s="396">
        <f t="shared" si="30"/>
        <v>0</v>
      </c>
    </row>
    <row r="206" spans="1:15" s="372" customFormat="1" ht="15" customHeight="1">
      <c r="A206" s="674"/>
      <c r="B206" s="707"/>
      <c r="C206" s="708"/>
      <c r="D206" s="709"/>
      <c r="E206" s="709"/>
      <c r="F206" s="706"/>
      <c r="G206" s="399" t="s">
        <v>223</v>
      </c>
      <c r="H206" s="401" t="s">
        <v>15</v>
      </c>
      <c r="I206" s="395">
        <v>1.8</v>
      </c>
      <c r="J206" s="395">
        <f>D204*I206</f>
        <v>10.8</v>
      </c>
      <c r="K206" s="395"/>
      <c r="L206" s="396">
        <f t="shared" si="30"/>
        <v>0</v>
      </c>
    </row>
    <row r="207" spans="1:15" s="372" customFormat="1" ht="15" customHeight="1">
      <c r="A207" s="674"/>
      <c r="B207" s="707"/>
      <c r="C207" s="708"/>
      <c r="D207" s="709"/>
      <c r="E207" s="709"/>
      <c r="F207" s="706"/>
      <c r="G207" s="391" t="s">
        <v>298</v>
      </c>
      <c r="H207" s="384" t="s">
        <v>13</v>
      </c>
      <c r="I207" s="449">
        <v>0.15</v>
      </c>
      <c r="J207" s="449">
        <f>I207*D204</f>
        <v>0.89999999999999991</v>
      </c>
      <c r="K207" s="392"/>
      <c r="L207" s="396">
        <f t="shared" si="30"/>
        <v>0</v>
      </c>
    </row>
    <row r="208" spans="1:15" s="372" customFormat="1" ht="15" customHeight="1">
      <c r="A208" s="403"/>
      <c r="B208" s="362" t="s">
        <v>276</v>
      </c>
      <c r="C208" s="410"/>
      <c r="D208" s="411"/>
      <c r="E208" s="440"/>
      <c r="F208" s="440"/>
      <c r="G208" s="442"/>
      <c r="H208" s="438"/>
      <c r="I208" s="439"/>
      <c r="J208" s="439"/>
      <c r="K208" s="439"/>
      <c r="L208" s="371"/>
    </row>
    <row r="209" spans="1:15" ht="17.25" customHeight="1">
      <c r="A209" s="361">
        <v>86</v>
      </c>
      <c r="B209" s="362" t="s">
        <v>272</v>
      </c>
      <c r="C209" s="412" t="s">
        <v>151</v>
      </c>
      <c r="D209" s="411">
        <v>3</v>
      </c>
      <c r="E209" s="411"/>
      <c r="F209" s="411">
        <f>D209*E209</f>
        <v>0</v>
      </c>
      <c r="G209" s="365"/>
      <c r="H209" s="365"/>
      <c r="I209" s="365"/>
      <c r="J209" s="416"/>
      <c r="K209" s="416"/>
      <c r="L209" s="417"/>
    </row>
    <row r="210" spans="1:15" s="372" customFormat="1" ht="15" customHeight="1">
      <c r="A210" s="361"/>
      <c r="B210" s="362" t="s">
        <v>31</v>
      </c>
      <c r="C210" s="410"/>
      <c r="D210" s="411"/>
      <c r="E210" s="440"/>
      <c r="F210" s="440"/>
      <c r="G210" s="441"/>
      <c r="H210" s="438"/>
      <c r="I210" s="439"/>
      <c r="J210" s="439"/>
      <c r="K210" s="439"/>
      <c r="L210" s="371"/>
    </row>
    <row r="211" spans="1:15" s="372" customFormat="1" ht="15" customHeight="1">
      <c r="A211" s="361">
        <v>87</v>
      </c>
      <c r="B211" s="362" t="s">
        <v>241</v>
      </c>
      <c r="C211" s="410" t="s">
        <v>40</v>
      </c>
      <c r="D211" s="411">
        <f>2.15+1.89+13.37+15.7</f>
        <v>33.11</v>
      </c>
      <c r="E211" s="422"/>
      <c r="F211" s="423">
        <f>ROUND(D211*E211,2)</f>
        <v>0</v>
      </c>
      <c r="G211" s="442"/>
      <c r="H211" s="438"/>
      <c r="I211" s="439"/>
      <c r="J211" s="439"/>
      <c r="K211" s="439"/>
      <c r="L211" s="371"/>
    </row>
    <row r="212" spans="1:15" s="372" customFormat="1" ht="15" customHeight="1">
      <c r="A212" s="361">
        <v>88</v>
      </c>
      <c r="B212" s="362" t="s">
        <v>216</v>
      </c>
      <c r="C212" s="410" t="s">
        <v>22</v>
      </c>
      <c r="D212" s="411">
        <f>(7.57+2.72+2.74)*2</f>
        <v>26.060000000000002</v>
      </c>
      <c r="E212" s="422"/>
      <c r="F212" s="423">
        <f>ROUND(D212*E212,2)</f>
        <v>0</v>
      </c>
      <c r="G212" s="442"/>
      <c r="H212" s="438"/>
      <c r="I212" s="439"/>
      <c r="J212" s="439"/>
      <c r="K212" s="439"/>
      <c r="L212" s="371"/>
    </row>
    <row r="213" spans="1:15" s="372" customFormat="1" ht="15" customHeight="1">
      <c r="A213" s="361">
        <v>89</v>
      </c>
      <c r="B213" s="362" t="s">
        <v>242</v>
      </c>
      <c r="C213" s="410" t="s">
        <v>40</v>
      </c>
      <c r="D213" s="411">
        <f>D211</f>
        <v>33.11</v>
      </c>
      <c r="E213" s="422"/>
      <c r="F213" s="423">
        <f>ROUND(D213*E213,2)</f>
        <v>0</v>
      </c>
      <c r="G213" s="391" t="s">
        <v>298</v>
      </c>
      <c r="H213" s="401" t="s">
        <v>13</v>
      </c>
      <c r="I213" s="395">
        <v>0.15</v>
      </c>
      <c r="J213" s="395">
        <f>D213*I213</f>
        <v>4.9664999999999999</v>
      </c>
      <c r="K213" s="392"/>
      <c r="L213" s="396">
        <f t="shared" ref="L213" si="31">ROUND(K213*J213,2)</f>
        <v>0</v>
      </c>
    </row>
    <row r="214" spans="1:15" s="372" customFormat="1" ht="15" customHeight="1">
      <c r="A214" s="677">
        <v>90</v>
      </c>
      <c r="B214" s="721" t="s">
        <v>246</v>
      </c>
      <c r="C214" s="716" t="s">
        <v>40</v>
      </c>
      <c r="D214" s="717">
        <f>D211+(D212*0.2)</f>
        <v>38.322000000000003</v>
      </c>
      <c r="E214" s="709"/>
      <c r="F214" s="706">
        <f>ROUND(D214*E214,2)</f>
        <v>0</v>
      </c>
      <c r="G214" s="442" t="s">
        <v>310</v>
      </c>
      <c r="H214" s="438" t="s">
        <v>40</v>
      </c>
      <c r="I214" s="439">
        <v>1.01</v>
      </c>
      <c r="J214" s="439">
        <f>D214*I214</f>
        <v>38.705220000000004</v>
      </c>
      <c r="K214" s="439"/>
      <c r="L214" s="371">
        <f>J214*K214</f>
        <v>0</v>
      </c>
    </row>
    <row r="215" spans="1:15" s="372" customFormat="1" ht="15" customHeight="1">
      <c r="A215" s="677"/>
      <c r="B215" s="721"/>
      <c r="C215" s="716"/>
      <c r="D215" s="717"/>
      <c r="E215" s="709"/>
      <c r="F215" s="706"/>
      <c r="G215" s="442" t="s">
        <v>311</v>
      </c>
      <c r="H215" s="438" t="s">
        <v>312</v>
      </c>
      <c r="I215" s="439">
        <v>0.4</v>
      </c>
      <c r="J215" s="439">
        <f>I215*D214</f>
        <v>15.328800000000001</v>
      </c>
      <c r="K215" s="439"/>
      <c r="L215" s="371">
        <f>J215*K215</f>
        <v>0</v>
      </c>
    </row>
    <row r="216" spans="1:15" s="372" customFormat="1" ht="15" customHeight="1">
      <c r="A216" s="677">
        <v>91</v>
      </c>
      <c r="B216" s="715" t="s">
        <v>245</v>
      </c>
      <c r="C216" s="716" t="s">
        <v>22</v>
      </c>
      <c r="D216" s="717">
        <f>15.5+4.75+5+2.18+2.18</f>
        <v>29.61</v>
      </c>
      <c r="E216" s="709"/>
      <c r="F216" s="706">
        <f>ROUND(D216*E216,2)</f>
        <v>0</v>
      </c>
      <c r="G216" s="363" t="s">
        <v>293</v>
      </c>
      <c r="H216" s="373" t="s">
        <v>22</v>
      </c>
      <c r="I216" s="374">
        <v>1.01</v>
      </c>
      <c r="J216" s="374">
        <f>10.93*I216</f>
        <v>11.039299999999999</v>
      </c>
      <c r="K216" s="375"/>
      <c r="L216" s="387">
        <f t="shared" ref="L216" si="32">ROUND(K216*J216,2)</f>
        <v>0</v>
      </c>
    </row>
    <row r="217" spans="1:15" s="372" customFormat="1" ht="15" customHeight="1">
      <c r="A217" s="677"/>
      <c r="B217" s="715"/>
      <c r="C217" s="716"/>
      <c r="D217" s="717"/>
      <c r="E217" s="709"/>
      <c r="F217" s="706"/>
      <c r="G217" s="363" t="s">
        <v>295</v>
      </c>
      <c r="H217" s="376" t="s">
        <v>294</v>
      </c>
      <c r="I217" s="376">
        <v>0.1</v>
      </c>
      <c r="J217" s="374">
        <f>I217*D216</f>
        <v>2.9610000000000003</v>
      </c>
      <c r="K217" s="375"/>
      <c r="L217" s="367">
        <f>J217*K217</f>
        <v>0</v>
      </c>
    </row>
    <row r="218" spans="1:15" s="372" customFormat="1" ht="15" customHeight="1">
      <c r="A218" s="674">
        <v>92</v>
      </c>
      <c r="B218" s="675" t="s">
        <v>278</v>
      </c>
      <c r="C218" s="700" t="s">
        <v>40</v>
      </c>
      <c r="D218" s="701">
        <v>84.131</v>
      </c>
      <c r="E218" s="701"/>
      <c r="F218" s="701">
        <f>D218*E218</f>
        <v>0</v>
      </c>
      <c r="G218" s="402" t="s">
        <v>308</v>
      </c>
      <c r="H218" s="373" t="s">
        <v>147</v>
      </c>
      <c r="I218" s="374">
        <v>1.1000000000000001</v>
      </c>
      <c r="J218" s="374">
        <f>D218*I218</f>
        <v>92.544100000000014</v>
      </c>
      <c r="K218" s="375"/>
      <c r="L218" s="387">
        <f t="shared" ref="L218:L219" si="33">ROUND(K218*J218,2)</f>
        <v>0</v>
      </c>
      <c r="O218" s="389"/>
    </row>
    <row r="219" spans="1:15" s="372" customFormat="1" ht="15" customHeight="1">
      <c r="A219" s="674"/>
      <c r="B219" s="675"/>
      <c r="C219" s="700"/>
      <c r="D219" s="701"/>
      <c r="E219" s="701"/>
      <c r="F219" s="701"/>
      <c r="G219" s="402" t="s">
        <v>220</v>
      </c>
      <c r="H219" s="373" t="s">
        <v>22</v>
      </c>
      <c r="I219" s="374">
        <v>1.01</v>
      </c>
      <c r="J219" s="374">
        <f>10.93*I219</f>
        <v>11.039299999999999</v>
      </c>
      <c r="K219" s="375"/>
      <c r="L219" s="387">
        <f t="shared" si="33"/>
        <v>0</v>
      </c>
      <c r="O219" s="389"/>
    </row>
    <row r="220" spans="1:15" s="372" customFormat="1" ht="15" customHeight="1">
      <c r="A220" s="403"/>
      <c r="B220" s="362" t="s">
        <v>277</v>
      </c>
      <c r="C220" s="410"/>
      <c r="D220" s="411"/>
      <c r="E220" s="440"/>
      <c r="F220" s="440"/>
      <c r="G220" s="442"/>
      <c r="H220" s="438"/>
      <c r="I220" s="439"/>
      <c r="J220" s="439"/>
      <c r="K220" s="439"/>
      <c r="L220" s="371"/>
    </row>
    <row r="221" spans="1:15" ht="17.25" customHeight="1">
      <c r="A221" s="361">
        <v>93</v>
      </c>
      <c r="B221" s="362" t="s">
        <v>272</v>
      </c>
      <c r="C221" s="412" t="s">
        <v>151</v>
      </c>
      <c r="D221" s="411">
        <v>3</v>
      </c>
      <c r="E221" s="411"/>
      <c r="F221" s="411">
        <f>D221*E221</f>
        <v>0</v>
      </c>
      <c r="G221" s="365"/>
      <c r="H221" s="365"/>
      <c r="I221" s="365"/>
      <c r="J221" s="416"/>
      <c r="K221" s="416"/>
      <c r="L221" s="417"/>
    </row>
    <row r="222" spans="1:15" s="372" customFormat="1" ht="15" customHeight="1">
      <c r="A222" s="361"/>
      <c r="B222" s="362" t="s">
        <v>31</v>
      </c>
      <c r="C222" s="410"/>
      <c r="D222" s="411"/>
      <c r="E222" s="440"/>
      <c r="F222" s="440"/>
      <c r="G222" s="441"/>
      <c r="H222" s="438"/>
      <c r="I222" s="439"/>
      <c r="J222" s="439"/>
      <c r="K222" s="439"/>
      <c r="L222" s="371"/>
    </row>
    <row r="223" spans="1:15" s="372" customFormat="1" ht="15" customHeight="1">
      <c r="A223" s="361">
        <v>94</v>
      </c>
      <c r="B223" s="362" t="s">
        <v>241</v>
      </c>
      <c r="C223" s="410" t="s">
        <v>40</v>
      </c>
      <c r="D223" s="411">
        <f>2.15+1.89+13.37+15.7</f>
        <v>33.11</v>
      </c>
      <c r="E223" s="422"/>
      <c r="F223" s="423">
        <f>ROUND(D223*E223,2)</f>
        <v>0</v>
      </c>
      <c r="G223" s="442"/>
      <c r="H223" s="438"/>
      <c r="I223" s="439"/>
      <c r="J223" s="439"/>
      <c r="K223" s="439"/>
      <c r="L223" s="371"/>
    </row>
    <row r="224" spans="1:15" s="372" customFormat="1" ht="15" customHeight="1">
      <c r="A224" s="361">
        <v>95</v>
      </c>
      <c r="B224" s="362" t="s">
        <v>216</v>
      </c>
      <c r="C224" s="410" t="s">
        <v>22</v>
      </c>
      <c r="D224" s="411">
        <f>(7.57+2.72+2.74)*2</f>
        <v>26.060000000000002</v>
      </c>
      <c r="E224" s="422"/>
      <c r="F224" s="423">
        <f>ROUND(D224*E224,2)</f>
        <v>0</v>
      </c>
      <c r="G224" s="442"/>
      <c r="H224" s="438"/>
      <c r="I224" s="439"/>
      <c r="J224" s="439"/>
      <c r="K224" s="439"/>
      <c r="L224" s="371"/>
    </row>
    <row r="225" spans="1:15" s="372" customFormat="1" ht="15" customHeight="1">
      <c r="A225" s="361">
        <v>96</v>
      </c>
      <c r="B225" s="362" t="s">
        <v>242</v>
      </c>
      <c r="C225" s="410" t="s">
        <v>40</v>
      </c>
      <c r="D225" s="411">
        <f>D223</f>
        <v>33.11</v>
      </c>
      <c r="E225" s="422"/>
      <c r="F225" s="423">
        <f>ROUND(D225*E225,2)</f>
        <v>0</v>
      </c>
      <c r="G225" s="391" t="s">
        <v>298</v>
      </c>
      <c r="H225" s="401" t="s">
        <v>13</v>
      </c>
      <c r="I225" s="395">
        <v>0.15</v>
      </c>
      <c r="J225" s="395">
        <f>D225*I225</f>
        <v>4.9664999999999999</v>
      </c>
      <c r="K225" s="392"/>
      <c r="L225" s="396">
        <f t="shared" ref="L225" si="34">ROUND(K225*J225,2)</f>
        <v>0</v>
      </c>
    </row>
    <row r="226" spans="1:15" s="372" customFormat="1" ht="15" customHeight="1">
      <c r="A226" s="677">
        <v>97</v>
      </c>
      <c r="B226" s="721" t="s">
        <v>246</v>
      </c>
      <c r="C226" s="716" t="s">
        <v>40</v>
      </c>
      <c r="D226" s="717">
        <f>D223+(D224*0.2)</f>
        <v>38.322000000000003</v>
      </c>
      <c r="E226" s="709"/>
      <c r="F226" s="706">
        <f>ROUND(D226*E226,2)</f>
        <v>0</v>
      </c>
      <c r="G226" s="442" t="s">
        <v>310</v>
      </c>
      <c r="H226" s="438" t="s">
        <v>40</v>
      </c>
      <c r="I226" s="439">
        <v>1.01</v>
      </c>
      <c r="J226" s="439">
        <f>D226*I226</f>
        <v>38.705220000000004</v>
      </c>
      <c r="K226" s="439"/>
      <c r="L226" s="371">
        <f>J226*K226</f>
        <v>0</v>
      </c>
    </row>
    <row r="227" spans="1:15" s="372" customFormat="1" ht="15" customHeight="1">
      <c r="A227" s="677"/>
      <c r="B227" s="721"/>
      <c r="C227" s="716"/>
      <c r="D227" s="717"/>
      <c r="E227" s="709"/>
      <c r="F227" s="706"/>
      <c r="G227" s="442" t="s">
        <v>311</v>
      </c>
      <c r="H227" s="438" t="s">
        <v>312</v>
      </c>
      <c r="I227" s="439">
        <v>0.4</v>
      </c>
      <c r="J227" s="439">
        <f>I227*D226</f>
        <v>15.328800000000001</v>
      </c>
      <c r="K227" s="439"/>
      <c r="L227" s="371">
        <f>J227*K227</f>
        <v>0</v>
      </c>
    </row>
    <row r="228" spans="1:15" s="372" customFormat="1" ht="15" customHeight="1">
      <c r="A228" s="677">
        <v>98</v>
      </c>
      <c r="B228" s="715" t="s">
        <v>245</v>
      </c>
      <c r="C228" s="716" t="s">
        <v>22</v>
      </c>
      <c r="D228" s="717">
        <f>15.5+4.75+5+2.18+2.18</f>
        <v>29.61</v>
      </c>
      <c r="E228" s="709"/>
      <c r="F228" s="706">
        <f>ROUND(D228*E228,2)</f>
        <v>0</v>
      </c>
      <c r="G228" s="363" t="s">
        <v>293</v>
      </c>
      <c r="H228" s="373" t="s">
        <v>22</v>
      </c>
      <c r="I228" s="374">
        <v>1.01</v>
      </c>
      <c r="J228" s="374">
        <f>10.93*I228</f>
        <v>11.039299999999999</v>
      </c>
      <c r="K228" s="375"/>
      <c r="L228" s="387">
        <f t="shared" ref="L228" si="35">ROUND(K228*J228,2)</f>
        <v>0</v>
      </c>
    </row>
    <row r="229" spans="1:15" s="372" customFormat="1" ht="15" customHeight="1">
      <c r="A229" s="677"/>
      <c r="B229" s="715"/>
      <c r="C229" s="716"/>
      <c r="D229" s="717"/>
      <c r="E229" s="709"/>
      <c r="F229" s="706"/>
      <c r="G229" s="363" t="s">
        <v>295</v>
      </c>
      <c r="H229" s="376" t="s">
        <v>294</v>
      </c>
      <c r="I229" s="376">
        <v>0.1</v>
      </c>
      <c r="J229" s="374">
        <f>I229*D228</f>
        <v>2.9610000000000003</v>
      </c>
      <c r="K229" s="375"/>
      <c r="L229" s="367">
        <f>J229*K229</f>
        <v>0</v>
      </c>
    </row>
    <row r="230" spans="1:15" s="372" customFormat="1" ht="15" customHeight="1">
      <c r="A230" s="674">
        <v>99</v>
      </c>
      <c r="B230" s="675" t="s">
        <v>278</v>
      </c>
      <c r="C230" s="700" t="s">
        <v>40</v>
      </c>
      <c r="D230" s="701">
        <v>84.131</v>
      </c>
      <c r="E230" s="701"/>
      <c r="F230" s="701">
        <f>D230*E230</f>
        <v>0</v>
      </c>
      <c r="G230" s="402" t="s">
        <v>308</v>
      </c>
      <c r="H230" s="373" t="s">
        <v>147</v>
      </c>
      <c r="I230" s="374">
        <v>1.1000000000000001</v>
      </c>
      <c r="J230" s="374">
        <f>D230*I230</f>
        <v>92.544100000000014</v>
      </c>
      <c r="K230" s="375"/>
      <c r="L230" s="387">
        <f t="shared" ref="L230:L231" si="36">ROUND(K230*J230,2)</f>
        <v>0</v>
      </c>
      <c r="O230" s="389"/>
    </row>
    <row r="231" spans="1:15" s="372" customFormat="1" ht="15" customHeight="1">
      <c r="A231" s="674"/>
      <c r="B231" s="675"/>
      <c r="C231" s="700"/>
      <c r="D231" s="701"/>
      <c r="E231" s="701"/>
      <c r="F231" s="701"/>
      <c r="G231" s="402" t="s">
        <v>220</v>
      </c>
      <c r="H231" s="373" t="s">
        <v>22</v>
      </c>
      <c r="I231" s="374">
        <v>1.01</v>
      </c>
      <c r="J231" s="374">
        <f>10.93*I231</f>
        <v>11.039299999999999</v>
      </c>
      <c r="K231" s="375"/>
      <c r="L231" s="387">
        <f t="shared" si="36"/>
        <v>0</v>
      </c>
      <c r="O231" s="389"/>
    </row>
    <row r="232" spans="1:15" s="372" customFormat="1" ht="15" customHeight="1">
      <c r="A232" s="677">
        <v>100</v>
      </c>
      <c r="B232" s="721" t="s">
        <v>246</v>
      </c>
      <c r="C232" s="716" t="s">
        <v>40</v>
      </c>
      <c r="D232" s="717">
        <f>D223</f>
        <v>33.11</v>
      </c>
      <c r="E232" s="709"/>
      <c r="F232" s="706">
        <f>ROUND(D232*E232,2)</f>
        <v>0</v>
      </c>
      <c r="G232" s="442" t="s">
        <v>310</v>
      </c>
      <c r="H232" s="438" t="s">
        <v>40</v>
      </c>
      <c r="I232" s="439">
        <v>1.01</v>
      </c>
      <c r="J232" s="439">
        <f>D232*I232</f>
        <v>33.441099999999999</v>
      </c>
      <c r="K232" s="439"/>
      <c r="L232" s="371">
        <f>J232*K232</f>
        <v>0</v>
      </c>
    </row>
    <row r="233" spans="1:15" s="372" customFormat="1" ht="15" customHeight="1">
      <c r="A233" s="677"/>
      <c r="B233" s="721"/>
      <c r="C233" s="716"/>
      <c r="D233" s="717"/>
      <c r="E233" s="709"/>
      <c r="F233" s="706"/>
      <c r="G233" s="442" t="s">
        <v>311</v>
      </c>
      <c r="H233" s="438" t="s">
        <v>312</v>
      </c>
      <c r="I233" s="439">
        <v>0.4</v>
      </c>
      <c r="J233" s="439">
        <f>I233*D232</f>
        <v>13.244</v>
      </c>
      <c r="K233" s="439"/>
      <c r="L233" s="371">
        <f>J233*K233</f>
        <v>0</v>
      </c>
    </row>
    <row r="234" spans="1:15" s="372" customFormat="1" ht="15" customHeight="1">
      <c r="A234" s="677">
        <f>A232+1</f>
        <v>101</v>
      </c>
      <c r="B234" s="715" t="s">
        <v>245</v>
      </c>
      <c r="C234" s="716" t="s">
        <v>22</v>
      </c>
      <c r="D234" s="717">
        <f>15.5+4.75+5+2.18+2.18</f>
        <v>29.61</v>
      </c>
      <c r="E234" s="709"/>
      <c r="F234" s="706">
        <f>ROUND(D234*E234,2)</f>
        <v>0</v>
      </c>
      <c r="G234" s="363" t="s">
        <v>293</v>
      </c>
      <c r="H234" s="373" t="s">
        <v>22</v>
      </c>
      <c r="I234" s="374">
        <v>1.01</v>
      </c>
      <c r="J234" s="374">
        <f>10.93*I234</f>
        <v>11.039299999999999</v>
      </c>
      <c r="K234" s="375"/>
      <c r="L234" s="387">
        <f t="shared" ref="L234" si="37">ROUND(K234*J234,2)</f>
        <v>0</v>
      </c>
    </row>
    <row r="235" spans="1:15" s="372" customFormat="1" ht="15" customHeight="1">
      <c r="A235" s="677"/>
      <c r="B235" s="715"/>
      <c r="C235" s="716"/>
      <c r="D235" s="717"/>
      <c r="E235" s="709"/>
      <c r="F235" s="706"/>
      <c r="G235" s="363" t="s">
        <v>295</v>
      </c>
      <c r="H235" s="376" t="s">
        <v>294</v>
      </c>
      <c r="I235" s="376">
        <v>0.1</v>
      </c>
      <c r="J235" s="374">
        <f>I235*D234</f>
        <v>2.9610000000000003</v>
      </c>
      <c r="K235" s="375"/>
      <c r="L235" s="367">
        <f>J235*K235</f>
        <v>0</v>
      </c>
    </row>
    <row r="236" spans="1:15" s="397" customFormat="1" ht="15">
      <c r="A236" s="718">
        <f>A234+1</f>
        <v>102</v>
      </c>
      <c r="B236" s="707" t="s">
        <v>236</v>
      </c>
      <c r="C236" s="708" t="s">
        <v>11</v>
      </c>
      <c r="D236" s="720">
        <f>3.8*2</f>
        <v>7.6</v>
      </c>
      <c r="E236" s="709"/>
      <c r="F236" s="709">
        <f>ROUND(E236*D236,2)</f>
        <v>0</v>
      </c>
      <c r="G236" s="391" t="s">
        <v>298</v>
      </c>
      <c r="H236" s="384" t="s">
        <v>13</v>
      </c>
      <c r="I236" s="385">
        <v>0.2</v>
      </c>
      <c r="J236" s="385">
        <f>I236*D236</f>
        <v>1.52</v>
      </c>
      <c r="K236" s="392"/>
      <c r="L236" s="387">
        <f t="shared" ref="L236:L239" si="38">ROUND(K236*J236,2)</f>
        <v>0</v>
      </c>
    </row>
    <row r="237" spans="1:15" s="397" customFormat="1" ht="15">
      <c r="A237" s="719"/>
      <c r="B237" s="707"/>
      <c r="C237" s="708"/>
      <c r="D237" s="720"/>
      <c r="E237" s="709"/>
      <c r="F237" s="709"/>
      <c r="G237" s="391" t="s">
        <v>307</v>
      </c>
      <c r="H237" s="384" t="s">
        <v>11</v>
      </c>
      <c r="I237" s="386">
        <v>1.03</v>
      </c>
      <c r="J237" s="386">
        <f>D236*I237</f>
        <v>7.8279999999999994</v>
      </c>
      <c r="K237" s="375"/>
      <c r="L237" s="387">
        <f t="shared" si="38"/>
        <v>0</v>
      </c>
    </row>
    <row r="238" spans="1:15" s="397" customFormat="1" ht="15">
      <c r="A238" s="719"/>
      <c r="B238" s="707"/>
      <c r="C238" s="708"/>
      <c r="D238" s="720"/>
      <c r="E238" s="709"/>
      <c r="F238" s="709"/>
      <c r="G238" s="391" t="s">
        <v>303</v>
      </c>
      <c r="H238" s="384" t="s">
        <v>15</v>
      </c>
      <c r="I238" s="385">
        <v>6.5</v>
      </c>
      <c r="J238" s="385">
        <f>D236*I238</f>
        <v>49.4</v>
      </c>
      <c r="K238" s="375"/>
      <c r="L238" s="387">
        <f t="shared" si="38"/>
        <v>0</v>
      </c>
    </row>
    <row r="239" spans="1:15" s="397" customFormat="1" ht="15">
      <c r="A239" s="719"/>
      <c r="B239" s="707"/>
      <c r="C239" s="708"/>
      <c r="D239" s="720"/>
      <c r="E239" s="709"/>
      <c r="F239" s="709"/>
      <c r="G239" s="391" t="s">
        <v>302</v>
      </c>
      <c r="H239" s="384" t="s">
        <v>15</v>
      </c>
      <c r="I239" s="386">
        <v>0.45</v>
      </c>
      <c r="J239" s="386">
        <f>D236*I239</f>
        <v>3.42</v>
      </c>
      <c r="K239" s="385"/>
      <c r="L239" s="387">
        <f t="shared" si="38"/>
        <v>0</v>
      </c>
    </row>
    <row r="240" spans="1:15" s="372" customFormat="1" ht="15" customHeight="1">
      <c r="A240" s="361"/>
      <c r="B240" s="362" t="s">
        <v>20</v>
      </c>
      <c r="C240" s="410"/>
      <c r="D240" s="411"/>
      <c r="E240" s="440"/>
      <c r="F240" s="440"/>
      <c r="G240" s="441"/>
      <c r="H240" s="438"/>
      <c r="I240" s="439"/>
      <c r="J240" s="439"/>
      <c r="K240" s="439"/>
      <c r="L240" s="371"/>
    </row>
    <row r="241" spans="1:15" s="372" customFormat="1" ht="15" customHeight="1">
      <c r="A241" s="403">
        <v>103</v>
      </c>
      <c r="B241" s="409" t="s">
        <v>279</v>
      </c>
      <c r="C241" s="412" t="s">
        <v>40</v>
      </c>
      <c r="D241" s="411">
        <v>87</v>
      </c>
      <c r="E241" s="422"/>
      <c r="F241" s="423">
        <f>ROUND(D241*E241,2)</f>
        <v>0</v>
      </c>
      <c r="G241" s="363"/>
      <c r="H241" s="438"/>
      <c r="I241" s="439"/>
      <c r="J241" s="439"/>
      <c r="K241" s="407"/>
      <c r="L241" s="408"/>
    </row>
    <row r="242" spans="1:15" ht="15" customHeight="1">
      <c r="A242" s="710">
        <v>104</v>
      </c>
      <c r="B242" s="711" t="s">
        <v>207</v>
      </c>
      <c r="C242" s="712" t="s">
        <v>11</v>
      </c>
      <c r="D242" s="713">
        <v>97</v>
      </c>
      <c r="E242" s="713"/>
      <c r="F242" s="714">
        <v>5414.5</v>
      </c>
      <c r="G242" s="378" t="s">
        <v>297</v>
      </c>
      <c r="H242" s="384" t="s">
        <v>11</v>
      </c>
      <c r="I242" s="385">
        <f>1.05*4</f>
        <v>4.2</v>
      </c>
      <c r="J242" s="385">
        <f>D242*I242</f>
        <v>407.40000000000003</v>
      </c>
      <c r="K242" s="386"/>
      <c r="L242" s="387">
        <f t="shared" ref="L242:L266" si="39">ROUND(K242*J242,2)</f>
        <v>0</v>
      </c>
    </row>
    <row r="243" spans="1:15" s="372" customFormat="1" ht="15" customHeight="1">
      <c r="A243" s="710"/>
      <c r="B243" s="711"/>
      <c r="C243" s="712"/>
      <c r="D243" s="713"/>
      <c r="E243" s="713"/>
      <c r="F243" s="714"/>
      <c r="G243" s="378" t="s">
        <v>208</v>
      </c>
      <c r="H243" s="384" t="s">
        <v>37</v>
      </c>
      <c r="I243" s="388">
        <v>2</v>
      </c>
      <c r="J243" s="386">
        <f>I243*D242</f>
        <v>194</v>
      </c>
      <c r="K243" s="375"/>
      <c r="L243" s="387">
        <f t="shared" si="39"/>
        <v>0</v>
      </c>
    </row>
    <row r="244" spans="1:15" s="372" customFormat="1" ht="15" customHeight="1">
      <c r="A244" s="710"/>
      <c r="B244" s="711"/>
      <c r="C244" s="712"/>
      <c r="D244" s="713"/>
      <c r="E244" s="713"/>
      <c r="F244" s="714"/>
      <c r="G244" s="378" t="s">
        <v>209</v>
      </c>
      <c r="H244" s="384" t="s">
        <v>37</v>
      </c>
      <c r="I244" s="385">
        <v>0.8</v>
      </c>
      <c r="J244" s="385">
        <f>I244*D242</f>
        <v>77.600000000000009</v>
      </c>
      <c r="K244" s="375"/>
      <c r="L244" s="387">
        <f t="shared" si="39"/>
        <v>0</v>
      </c>
    </row>
    <row r="245" spans="1:15" s="372" customFormat="1" ht="15" customHeight="1">
      <c r="A245" s="710"/>
      <c r="B245" s="711"/>
      <c r="C245" s="712"/>
      <c r="D245" s="713"/>
      <c r="E245" s="713"/>
      <c r="F245" s="714"/>
      <c r="G245" s="378" t="s">
        <v>305</v>
      </c>
      <c r="H245" s="384" t="s">
        <v>88</v>
      </c>
      <c r="I245" s="388">
        <v>1.32</v>
      </c>
      <c r="J245" s="386">
        <f>D242*I245</f>
        <v>128.04</v>
      </c>
      <c r="K245" s="375"/>
      <c r="L245" s="387">
        <f t="shared" si="39"/>
        <v>0</v>
      </c>
    </row>
    <row r="246" spans="1:15" s="372" customFormat="1" ht="15" customHeight="1">
      <c r="A246" s="710"/>
      <c r="B246" s="711"/>
      <c r="C246" s="712"/>
      <c r="D246" s="713"/>
      <c r="E246" s="713"/>
      <c r="F246" s="714"/>
      <c r="G246" s="378" t="s">
        <v>210</v>
      </c>
      <c r="H246" s="384" t="s">
        <v>88</v>
      </c>
      <c r="I246" s="385">
        <v>0.2</v>
      </c>
      <c r="J246" s="385">
        <f>D242*I246</f>
        <v>19.400000000000002</v>
      </c>
      <c r="K246" s="375"/>
      <c r="L246" s="387">
        <f t="shared" si="39"/>
        <v>0</v>
      </c>
    </row>
    <row r="247" spans="1:15" s="372" customFormat="1" ht="15" customHeight="1">
      <c r="A247" s="710"/>
      <c r="B247" s="711"/>
      <c r="C247" s="712"/>
      <c r="D247" s="713"/>
      <c r="E247" s="713"/>
      <c r="F247" s="714"/>
      <c r="G247" s="378" t="s">
        <v>211</v>
      </c>
      <c r="H247" s="384" t="s">
        <v>37</v>
      </c>
      <c r="I247" s="388">
        <f>0.85*4</f>
        <v>3.4</v>
      </c>
      <c r="J247" s="386">
        <f>D242*I247</f>
        <v>329.8</v>
      </c>
      <c r="K247" s="375"/>
      <c r="L247" s="387">
        <f t="shared" si="39"/>
        <v>0</v>
      </c>
    </row>
    <row r="248" spans="1:15" s="372" customFormat="1" ht="15" customHeight="1">
      <c r="A248" s="710"/>
      <c r="B248" s="711"/>
      <c r="C248" s="712"/>
      <c r="D248" s="713"/>
      <c r="E248" s="713"/>
      <c r="F248" s="714"/>
      <c r="G248" s="378" t="s">
        <v>301</v>
      </c>
      <c r="H248" s="384" t="s">
        <v>88</v>
      </c>
      <c r="I248" s="385">
        <v>3</v>
      </c>
      <c r="J248" s="385">
        <f>I248*D242</f>
        <v>291</v>
      </c>
      <c r="K248" s="385"/>
      <c r="L248" s="387">
        <f t="shared" si="39"/>
        <v>0</v>
      </c>
    </row>
    <row r="249" spans="1:15" s="372" customFormat="1" ht="15" customHeight="1">
      <c r="A249" s="710"/>
      <c r="B249" s="711"/>
      <c r="C249" s="712"/>
      <c r="D249" s="713"/>
      <c r="E249" s="713"/>
      <c r="F249" s="714"/>
      <c r="G249" s="378" t="s">
        <v>212</v>
      </c>
      <c r="H249" s="384" t="s">
        <v>88</v>
      </c>
      <c r="I249" s="388">
        <f>2.7*4</f>
        <v>10.8</v>
      </c>
      <c r="J249" s="386">
        <f>D242*I249</f>
        <v>1047.6000000000001</v>
      </c>
      <c r="K249" s="375"/>
      <c r="L249" s="387">
        <f t="shared" si="39"/>
        <v>0</v>
      </c>
      <c r="O249" s="389"/>
    </row>
    <row r="250" spans="1:15" s="372" customFormat="1" ht="15" customHeight="1">
      <c r="A250" s="710"/>
      <c r="B250" s="711"/>
      <c r="C250" s="712"/>
      <c r="D250" s="713"/>
      <c r="E250" s="713"/>
      <c r="F250" s="714"/>
      <c r="G250" s="378" t="s">
        <v>213</v>
      </c>
      <c r="H250" s="384" t="s">
        <v>88</v>
      </c>
      <c r="I250" s="385">
        <f>1.7*4</f>
        <v>6.8</v>
      </c>
      <c r="J250" s="385">
        <f>I250*D242</f>
        <v>659.6</v>
      </c>
      <c r="K250" s="375"/>
      <c r="L250" s="387">
        <f t="shared" si="39"/>
        <v>0</v>
      </c>
      <c r="M250" s="390"/>
      <c r="N250" s="390"/>
      <c r="O250" s="389"/>
    </row>
    <row r="251" spans="1:15" s="372" customFormat="1" ht="15" customHeight="1">
      <c r="A251" s="710"/>
      <c r="B251" s="711"/>
      <c r="C251" s="712"/>
      <c r="D251" s="713"/>
      <c r="E251" s="713"/>
      <c r="F251" s="714"/>
      <c r="G251" s="378" t="s">
        <v>214</v>
      </c>
      <c r="H251" s="384" t="s">
        <v>15</v>
      </c>
      <c r="I251" s="388">
        <f>0.3*2</f>
        <v>0.6</v>
      </c>
      <c r="J251" s="386">
        <f>D242*I251</f>
        <v>58.199999999999996</v>
      </c>
      <c r="K251" s="375"/>
      <c r="L251" s="387">
        <f t="shared" si="39"/>
        <v>0</v>
      </c>
      <c r="M251" s="390"/>
      <c r="N251" s="390"/>
      <c r="O251" s="389"/>
    </row>
    <row r="252" spans="1:15" s="372" customFormat="1" ht="15" customHeight="1">
      <c r="A252" s="710"/>
      <c r="B252" s="711"/>
      <c r="C252" s="712"/>
      <c r="D252" s="713"/>
      <c r="E252" s="713"/>
      <c r="F252" s="714"/>
      <c r="G252" s="378" t="s">
        <v>215</v>
      </c>
      <c r="H252" s="384" t="s">
        <v>37</v>
      </c>
      <c r="I252" s="385">
        <f>1.1*2</f>
        <v>2.2000000000000002</v>
      </c>
      <c r="J252" s="385">
        <f>D242*I252</f>
        <v>213.4</v>
      </c>
      <c r="K252" s="385"/>
      <c r="L252" s="387">
        <f t="shared" si="39"/>
        <v>0</v>
      </c>
      <c r="M252" s="390"/>
      <c r="N252" s="390"/>
      <c r="O252" s="389"/>
    </row>
    <row r="253" spans="1:15" s="372" customFormat="1" ht="15">
      <c r="A253" s="674">
        <v>105</v>
      </c>
      <c r="B253" s="707" t="s">
        <v>259</v>
      </c>
      <c r="C253" s="708" t="s">
        <v>11</v>
      </c>
      <c r="D253" s="709">
        <f>D242*2</f>
        <v>194</v>
      </c>
      <c r="E253" s="709"/>
      <c r="F253" s="706">
        <f>ROUND(D253*E253,2)</f>
        <v>0</v>
      </c>
      <c r="G253" s="399" t="s">
        <v>260</v>
      </c>
      <c r="H253" s="401" t="s">
        <v>15</v>
      </c>
      <c r="I253" s="395">
        <v>3.2</v>
      </c>
      <c r="J253" s="395">
        <f>D253*I253</f>
        <v>620.80000000000007</v>
      </c>
      <c r="K253" s="395"/>
      <c r="L253" s="396">
        <f t="shared" si="39"/>
        <v>0</v>
      </c>
    </row>
    <row r="254" spans="1:15" s="372" customFormat="1" ht="15">
      <c r="A254" s="674"/>
      <c r="B254" s="707"/>
      <c r="C254" s="708"/>
      <c r="D254" s="709"/>
      <c r="E254" s="709"/>
      <c r="F254" s="706"/>
      <c r="G254" s="391" t="s">
        <v>298</v>
      </c>
      <c r="H254" s="401" t="s">
        <v>13</v>
      </c>
      <c r="I254" s="395">
        <v>0.15</v>
      </c>
      <c r="J254" s="395">
        <f>D253*I254</f>
        <v>29.099999999999998</v>
      </c>
      <c r="K254" s="392"/>
      <c r="L254" s="396">
        <f t="shared" si="39"/>
        <v>0</v>
      </c>
    </row>
    <row r="255" spans="1:15" s="372" customFormat="1" ht="15" customHeight="1">
      <c r="A255" s="674"/>
      <c r="B255" s="707"/>
      <c r="C255" s="708"/>
      <c r="D255" s="709"/>
      <c r="E255" s="709"/>
      <c r="F255" s="706"/>
      <c r="G255" s="399" t="s">
        <v>223</v>
      </c>
      <c r="H255" s="401" t="s">
        <v>15</v>
      </c>
      <c r="I255" s="395">
        <v>1.8</v>
      </c>
      <c r="J255" s="395">
        <f>D253*I255</f>
        <v>349.2</v>
      </c>
      <c r="K255" s="395"/>
      <c r="L255" s="396">
        <f t="shared" si="39"/>
        <v>0</v>
      </c>
    </row>
    <row r="256" spans="1:15" s="372" customFormat="1" ht="15" customHeight="1">
      <c r="A256" s="674"/>
      <c r="B256" s="707"/>
      <c r="C256" s="708"/>
      <c r="D256" s="709"/>
      <c r="E256" s="709"/>
      <c r="F256" s="706"/>
      <c r="G256" s="391" t="s">
        <v>298</v>
      </c>
      <c r="H256" s="384" t="s">
        <v>13</v>
      </c>
      <c r="I256" s="449">
        <v>0.15</v>
      </c>
      <c r="J256" s="449">
        <f>I256*D253</f>
        <v>29.099999999999998</v>
      </c>
      <c r="K256" s="392"/>
      <c r="L256" s="396">
        <f t="shared" si="39"/>
        <v>0</v>
      </c>
    </row>
    <row r="257" spans="1:14" s="397" customFormat="1" ht="30" customHeight="1">
      <c r="A257" s="702" t="s">
        <v>442</v>
      </c>
      <c r="B257" s="703" t="s">
        <v>226</v>
      </c>
      <c r="C257" s="704" t="s">
        <v>11</v>
      </c>
      <c r="D257" s="705">
        <f>D253</f>
        <v>194</v>
      </c>
      <c r="E257" s="705"/>
      <c r="F257" s="706">
        <f>ROUND(D257*E257,2)</f>
        <v>0</v>
      </c>
      <c r="G257" s="391" t="s">
        <v>298</v>
      </c>
      <c r="H257" s="394" t="s">
        <v>23</v>
      </c>
      <c r="I257" s="552">
        <v>1.2999999999999999E-2</v>
      </c>
      <c r="J257" s="395">
        <f>I257*D257</f>
        <v>2.5219999999999998</v>
      </c>
      <c r="K257" s="392"/>
      <c r="L257" s="396">
        <f t="shared" si="39"/>
        <v>0</v>
      </c>
      <c r="N257" s="398"/>
    </row>
    <row r="258" spans="1:14" s="397" customFormat="1" ht="15">
      <c r="A258" s="702"/>
      <c r="B258" s="703"/>
      <c r="C258" s="704"/>
      <c r="D258" s="705"/>
      <c r="E258" s="705"/>
      <c r="F258" s="706"/>
      <c r="G258" s="391" t="s">
        <v>296</v>
      </c>
      <c r="H258" s="384" t="s">
        <v>15</v>
      </c>
      <c r="I258" s="553">
        <v>3.5000000000000003E-2</v>
      </c>
      <c r="J258" s="400">
        <f>I258*D257</f>
        <v>6.7900000000000009</v>
      </c>
      <c r="K258" s="385"/>
      <c r="L258" s="396">
        <f t="shared" si="39"/>
        <v>0</v>
      </c>
      <c r="N258" s="398"/>
    </row>
    <row r="259" spans="1:14" s="397" customFormat="1" ht="15">
      <c r="A259" s="718">
        <v>107</v>
      </c>
      <c r="B259" s="707" t="s">
        <v>240</v>
      </c>
      <c r="C259" s="708" t="s">
        <v>11</v>
      </c>
      <c r="D259" s="720">
        <f>8.2*2*3</f>
        <v>49.199999999999996</v>
      </c>
      <c r="E259" s="709"/>
      <c r="F259" s="709">
        <f>ROUND(E259*D259,2)</f>
        <v>0</v>
      </c>
      <c r="G259" s="391" t="s">
        <v>298</v>
      </c>
      <c r="H259" s="384" t="s">
        <v>13</v>
      </c>
      <c r="I259" s="385">
        <v>0.2</v>
      </c>
      <c r="J259" s="385">
        <f>I259*D259</f>
        <v>9.84</v>
      </c>
      <c r="K259" s="392"/>
      <c r="L259" s="387">
        <f t="shared" si="39"/>
        <v>0</v>
      </c>
    </row>
    <row r="260" spans="1:14" s="397" customFormat="1" ht="15">
      <c r="A260" s="719"/>
      <c r="B260" s="707"/>
      <c r="C260" s="708"/>
      <c r="D260" s="720"/>
      <c r="E260" s="709"/>
      <c r="F260" s="709"/>
      <c r="G260" s="391" t="s">
        <v>307</v>
      </c>
      <c r="H260" s="384" t="s">
        <v>11</v>
      </c>
      <c r="I260" s="386">
        <v>1.03</v>
      </c>
      <c r="J260" s="386">
        <f>D259*I260</f>
        <v>50.675999999999995</v>
      </c>
      <c r="K260" s="375"/>
      <c r="L260" s="387">
        <f t="shared" si="39"/>
        <v>0</v>
      </c>
    </row>
    <row r="261" spans="1:14" s="397" customFormat="1" ht="15">
      <c r="A261" s="719"/>
      <c r="B261" s="707"/>
      <c r="C261" s="708"/>
      <c r="D261" s="720"/>
      <c r="E261" s="709"/>
      <c r="F261" s="709"/>
      <c r="G261" s="391" t="s">
        <v>303</v>
      </c>
      <c r="H261" s="384" t="s">
        <v>15</v>
      </c>
      <c r="I261" s="385">
        <v>6.5</v>
      </c>
      <c r="J261" s="385">
        <f>D259*I261</f>
        <v>319.79999999999995</v>
      </c>
      <c r="K261" s="375"/>
      <c r="L261" s="387">
        <f t="shared" si="39"/>
        <v>0</v>
      </c>
    </row>
    <row r="262" spans="1:14" s="397" customFormat="1" ht="15">
      <c r="A262" s="719"/>
      <c r="B262" s="707"/>
      <c r="C262" s="708"/>
      <c r="D262" s="720"/>
      <c r="E262" s="709"/>
      <c r="F262" s="709"/>
      <c r="G262" s="391" t="s">
        <v>302</v>
      </c>
      <c r="H262" s="384" t="s">
        <v>15</v>
      </c>
      <c r="I262" s="386">
        <v>0.45</v>
      </c>
      <c r="J262" s="386">
        <f>D259*I262</f>
        <v>22.139999999999997</v>
      </c>
      <c r="K262" s="385"/>
      <c r="L262" s="387">
        <f t="shared" si="39"/>
        <v>0</v>
      </c>
    </row>
    <row r="263" spans="1:14" s="397" customFormat="1" ht="15">
      <c r="A263" s="718">
        <f>A259+1</f>
        <v>108</v>
      </c>
      <c r="B263" s="707" t="s">
        <v>280</v>
      </c>
      <c r="C263" s="708" t="s">
        <v>11</v>
      </c>
      <c r="D263" s="720">
        <f>(3.2*2*3)</f>
        <v>19.200000000000003</v>
      </c>
      <c r="E263" s="709"/>
      <c r="F263" s="709">
        <f>ROUND(E263*D263,2)</f>
        <v>0</v>
      </c>
      <c r="G263" s="391" t="s">
        <v>298</v>
      </c>
      <c r="H263" s="384" t="s">
        <v>13</v>
      </c>
      <c r="I263" s="385">
        <v>0.2</v>
      </c>
      <c r="J263" s="385">
        <f>I263*D263</f>
        <v>3.8400000000000007</v>
      </c>
      <c r="K263" s="392"/>
      <c r="L263" s="387">
        <f t="shared" si="39"/>
        <v>0</v>
      </c>
    </row>
    <row r="264" spans="1:14" s="397" customFormat="1" ht="15">
      <c r="A264" s="719"/>
      <c r="B264" s="707"/>
      <c r="C264" s="708"/>
      <c r="D264" s="720"/>
      <c r="E264" s="709"/>
      <c r="F264" s="709"/>
      <c r="G264" s="391" t="s">
        <v>304</v>
      </c>
      <c r="H264" s="384" t="s">
        <v>11</v>
      </c>
      <c r="I264" s="386">
        <v>1.03</v>
      </c>
      <c r="J264" s="386">
        <f>D263*I264</f>
        <v>19.776000000000003</v>
      </c>
      <c r="K264" s="375"/>
      <c r="L264" s="387">
        <f t="shared" si="39"/>
        <v>0</v>
      </c>
    </row>
    <row r="265" spans="1:14" s="397" customFormat="1" ht="15">
      <c r="A265" s="719"/>
      <c r="B265" s="707"/>
      <c r="C265" s="708"/>
      <c r="D265" s="720"/>
      <c r="E265" s="709"/>
      <c r="F265" s="709"/>
      <c r="G265" s="391" t="s">
        <v>303</v>
      </c>
      <c r="H265" s="384" t="s">
        <v>15</v>
      </c>
      <c r="I265" s="385">
        <v>6.5</v>
      </c>
      <c r="J265" s="385">
        <f>D263*I265</f>
        <v>124.80000000000001</v>
      </c>
      <c r="K265" s="375"/>
      <c r="L265" s="387">
        <f t="shared" si="39"/>
        <v>0</v>
      </c>
    </row>
    <row r="266" spans="1:14" s="397" customFormat="1" ht="15">
      <c r="A266" s="719"/>
      <c r="B266" s="707"/>
      <c r="C266" s="708"/>
      <c r="D266" s="720"/>
      <c r="E266" s="709"/>
      <c r="F266" s="709"/>
      <c r="G266" s="391" t="s">
        <v>302</v>
      </c>
      <c r="H266" s="384" t="s">
        <v>15</v>
      </c>
      <c r="I266" s="386">
        <v>0.45</v>
      </c>
      <c r="J266" s="386">
        <f>D263*I266</f>
        <v>8.6400000000000023</v>
      </c>
      <c r="K266" s="385"/>
      <c r="L266" s="387">
        <f t="shared" si="39"/>
        <v>0</v>
      </c>
    </row>
    <row r="267" spans="1:14" s="397" customFormat="1" ht="15">
      <c r="A267" s="451"/>
      <c r="B267" s="362" t="s">
        <v>10</v>
      </c>
      <c r="C267" s="401"/>
      <c r="D267" s="430"/>
      <c r="E267" s="422"/>
      <c r="F267" s="422"/>
      <c r="G267" s="391"/>
      <c r="H267" s="384"/>
      <c r="I267" s="386"/>
      <c r="J267" s="386"/>
      <c r="K267" s="385"/>
      <c r="L267" s="387"/>
    </row>
    <row r="268" spans="1:14" s="372" customFormat="1" ht="15" customHeight="1">
      <c r="A268" s="403">
        <v>109</v>
      </c>
      <c r="B268" s="409" t="s">
        <v>279</v>
      </c>
      <c r="C268" s="412" t="s">
        <v>40</v>
      </c>
      <c r="D268" s="411">
        <v>33.11</v>
      </c>
      <c r="E268" s="422"/>
      <c r="F268" s="423">
        <f>ROUND(D268*E268,2)</f>
        <v>0</v>
      </c>
      <c r="G268" s="363"/>
      <c r="H268" s="438"/>
      <c r="I268" s="439"/>
      <c r="J268" s="439"/>
      <c r="K268" s="407"/>
      <c r="L268" s="408"/>
    </row>
    <row r="269" spans="1:14" s="393" customFormat="1" ht="29.25" customHeight="1">
      <c r="A269" s="702" t="s">
        <v>443</v>
      </c>
      <c r="B269" s="707" t="s">
        <v>85</v>
      </c>
      <c r="C269" s="708" t="s">
        <v>11</v>
      </c>
      <c r="D269" s="709">
        <v>33.11</v>
      </c>
      <c r="E269" s="705"/>
      <c r="F269" s="706">
        <f>ROUND(D269*E269,2)</f>
        <v>0</v>
      </c>
      <c r="G269" s="452"/>
      <c r="H269" s="384"/>
      <c r="I269" s="392"/>
      <c r="J269" s="392"/>
      <c r="K269" s="392"/>
      <c r="L269" s="396"/>
    </row>
    <row r="270" spans="1:14" s="393" customFormat="1" ht="15">
      <c r="A270" s="702"/>
      <c r="B270" s="707"/>
      <c r="C270" s="708"/>
      <c r="D270" s="709"/>
      <c r="E270" s="705"/>
      <c r="F270" s="706"/>
      <c r="G270" s="453" t="s">
        <v>306</v>
      </c>
      <c r="H270" s="384" t="s">
        <v>18</v>
      </c>
      <c r="I270" s="392">
        <v>1.1000000000000001</v>
      </c>
      <c r="J270" s="392">
        <f>D269*I270</f>
        <v>36.420999999999999</v>
      </c>
      <c r="K270" s="454"/>
      <c r="L270" s="396">
        <f t="shared" ref="L270:L280" si="40">ROUND(K270*J270,2)</f>
        <v>0</v>
      </c>
    </row>
    <row r="271" spans="1:14" s="393" customFormat="1" ht="15">
      <c r="A271" s="702"/>
      <c r="B271" s="707"/>
      <c r="C271" s="708"/>
      <c r="D271" s="709"/>
      <c r="E271" s="705"/>
      <c r="F271" s="706"/>
      <c r="G271" s="399" t="s">
        <v>87</v>
      </c>
      <c r="H271" s="384" t="s">
        <v>88</v>
      </c>
      <c r="I271" s="392">
        <v>0.95</v>
      </c>
      <c r="J271" s="392">
        <f>D269*I271</f>
        <v>31.454499999999999</v>
      </c>
      <c r="K271" s="454"/>
      <c r="L271" s="396">
        <f t="shared" si="40"/>
        <v>0</v>
      </c>
    </row>
    <row r="272" spans="1:14" s="393" customFormat="1" ht="15">
      <c r="A272" s="702"/>
      <c r="B272" s="707"/>
      <c r="C272" s="708"/>
      <c r="D272" s="709"/>
      <c r="E272" s="705"/>
      <c r="F272" s="706"/>
      <c r="G272" s="399" t="s">
        <v>89</v>
      </c>
      <c r="H272" s="384" t="s">
        <v>88</v>
      </c>
      <c r="I272" s="392">
        <v>0.95</v>
      </c>
      <c r="J272" s="392">
        <f>D269*I272</f>
        <v>31.454499999999999</v>
      </c>
      <c r="K272" s="454"/>
      <c r="L272" s="396">
        <f t="shared" si="40"/>
        <v>0</v>
      </c>
    </row>
    <row r="273" spans="1:14" s="393" customFormat="1" ht="15">
      <c r="A273" s="702"/>
      <c r="B273" s="707"/>
      <c r="C273" s="708"/>
      <c r="D273" s="709"/>
      <c r="E273" s="705"/>
      <c r="F273" s="706"/>
      <c r="G273" s="399" t="s">
        <v>90</v>
      </c>
      <c r="H273" s="384" t="s">
        <v>88</v>
      </c>
      <c r="I273" s="392">
        <v>1.9</v>
      </c>
      <c r="J273" s="392">
        <f>D269*I273</f>
        <v>62.908999999999999</v>
      </c>
      <c r="K273" s="454"/>
      <c r="L273" s="396">
        <f t="shared" si="40"/>
        <v>0</v>
      </c>
    </row>
    <row r="274" spans="1:14" s="393" customFormat="1" ht="15">
      <c r="A274" s="702"/>
      <c r="B274" s="707"/>
      <c r="C274" s="708"/>
      <c r="D274" s="709"/>
      <c r="E274" s="705"/>
      <c r="F274" s="706"/>
      <c r="G274" s="399" t="s">
        <v>91</v>
      </c>
      <c r="H274" s="384" t="s">
        <v>92</v>
      </c>
      <c r="I274" s="392">
        <v>1.08</v>
      </c>
      <c r="J274" s="392">
        <f>I274*D269</f>
        <v>35.758800000000001</v>
      </c>
      <c r="K274" s="454"/>
      <c r="L274" s="396">
        <f t="shared" si="40"/>
        <v>0</v>
      </c>
    </row>
    <row r="275" spans="1:14" s="393" customFormat="1" ht="15">
      <c r="A275" s="702"/>
      <c r="B275" s="707"/>
      <c r="C275" s="708"/>
      <c r="D275" s="709"/>
      <c r="E275" s="705"/>
      <c r="F275" s="706"/>
      <c r="G275" s="399" t="s">
        <v>93</v>
      </c>
      <c r="H275" s="384" t="s">
        <v>88</v>
      </c>
      <c r="I275" s="392">
        <v>1.5</v>
      </c>
      <c r="J275" s="392">
        <f>D269*I275</f>
        <v>49.664999999999999</v>
      </c>
      <c r="K275" s="454"/>
      <c r="L275" s="396">
        <f t="shared" si="40"/>
        <v>0</v>
      </c>
    </row>
    <row r="276" spans="1:14" s="393" customFormat="1" ht="15">
      <c r="A276" s="702"/>
      <c r="B276" s="707"/>
      <c r="C276" s="708"/>
      <c r="D276" s="709"/>
      <c r="E276" s="705"/>
      <c r="F276" s="706"/>
      <c r="G276" s="399" t="s">
        <v>94</v>
      </c>
      <c r="H276" s="384" t="s">
        <v>88</v>
      </c>
      <c r="I276" s="392">
        <v>1.5</v>
      </c>
      <c r="J276" s="392">
        <f>D269*I276</f>
        <v>49.664999999999999</v>
      </c>
      <c r="K276" s="454"/>
      <c r="L276" s="396">
        <f t="shared" si="40"/>
        <v>0</v>
      </c>
    </row>
    <row r="277" spans="1:14" s="393" customFormat="1" ht="15">
      <c r="A277" s="702"/>
      <c r="B277" s="707"/>
      <c r="C277" s="708"/>
      <c r="D277" s="709"/>
      <c r="E277" s="705"/>
      <c r="F277" s="706"/>
      <c r="G277" s="399" t="s">
        <v>95</v>
      </c>
      <c r="H277" s="384" t="s">
        <v>88</v>
      </c>
      <c r="I277" s="392">
        <v>1.5</v>
      </c>
      <c r="J277" s="392">
        <f>D269*I277</f>
        <v>49.664999999999999</v>
      </c>
      <c r="K277" s="454"/>
      <c r="L277" s="396">
        <f t="shared" si="40"/>
        <v>0</v>
      </c>
    </row>
    <row r="278" spans="1:14" s="393" customFormat="1" ht="15">
      <c r="A278" s="702"/>
      <c r="B278" s="707"/>
      <c r="C278" s="708"/>
      <c r="D278" s="709"/>
      <c r="E278" s="705"/>
      <c r="F278" s="706"/>
      <c r="G278" s="399" t="s">
        <v>309</v>
      </c>
      <c r="H278" s="384" t="s">
        <v>88</v>
      </c>
      <c r="I278" s="392"/>
      <c r="J278" s="392">
        <v>210</v>
      </c>
      <c r="K278" s="454"/>
      <c r="L278" s="396">
        <f t="shared" si="40"/>
        <v>0</v>
      </c>
    </row>
    <row r="279" spans="1:14" s="393" customFormat="1" ht="15">
      <c r="A279" s="702"/>
      <c r="B279" s="707"/>
      <c r="C279" s="708"/>
      <c r="D279" s="709"/>
      <c r="E279" s="705"/>
      <c r="F279" s="706"/>
      <c r="G279" s="399" t="s">
        <v>96</v>
      </c>
      <c r="H279" s="384" t="s">
        <v>88</v>
      </c>
      <c r="I279" s="392">
        <v>1.5</v>
      </c>
      <c r="J279" s="392">
        <f>D269*I279</f>
        <v>49.664999999999999</v>
      </c>
      <c r="K279" s="392"/>
      <c r="L279" s="396">
        <f t="shared" si="40"/>
        <v>0</v>
      </c>
    </row>
    <row r="280" spans="1:14" s="393" customFormat="1" ht="30">
      <c r="A280" s="702"/>
      <c r="B280" s="707"/>
      <c r="C280" s="708"/>
      <c r="D280" s="709"/>
      <c r="E280" s="705"/>
      <c r="F280" s="706"/>
      <c r="G280" s="378" t="s">
        <v>301</v>
      </c>
      <c r="H280" s="455" t="s">
        <v>286</v>
      </c>
      <c r="I280" s="392">
        <v>3</v>
      </c>
      <c r="J280" s="392">
        <f>I280*J278</f>
        <v>630</v>
      </c>
      <c r="K280" s="385"/>
      <c r="L280" s="396">
        <f t="shared" si="40"/>
        <v>0</v>
      </c>
    </row>
    <row r="281" spans="1:14" s="397" customFormat="1" ht="15">
      <c r="A281" s="418"/>
      <c r="B281" s="362" t="s">
        <v>419</v>
      </c>
      <c r="C281" s="394"/>
      <c r="D281" s="450"/>
      <c r="E281" s="450"/>
      <c r="F281" s="423"/>
      <c r="G281" s="391"/>
      <c r="H281" s="384"/>
      <c r="I281" s="553"/>
      <c r="J281" s="400"/>
      <c r="K281" s="385"/>
      <c r="L281" s="396"/>
      <c r="N281" s="398"/>
    </row>
    <row r="282" spans="1:14" s="397" customFormat="1" ht="30" customHeight="1">
      <c r="A282" s="702" t="s">
        <v>444</v>
      </c>
      <c r="B282" s="703" t="s">
        <v>420</v>
      </c>
      <c r="C282" s="704" t="s">
        <v>11</v>
      </c>
      <c r="D282" s="705">
        <v>824.12</v>
      </c>
      <c r="E282" s="705"/>
      <c r="F282" s="706">
        <f>ROUND(D282*E282,2)</f>
        <v>0</v>
      </c>
      <c r="G282" s="391" t="s">
        <v>298</v>
      </c>
      <c r="H282" s="394" t="s">
        <v>23</v>
      </c>
      <c r="I282" s="552">
        <v>1.2999999999999999E-2</v>
      </c>
      <c r="J282" s="395">
        <f>I282*D282</f>
        <v>10.713559999999999</v>
      </c>
      <c r="K282" s="392"/>
      <c r="L282" s="396">
        <f t="shared" ref="L282:L283" si="41">ROUND(K282*J282,2)</f>
        <v>0</v>
      </c>
      <c r="N282" s="398"/>
    </row>
    <row r="283" spans="1:14" s="397" customFormat="1" ht="15">
      <c r="A283" s="702"/>
      <c r="B283" s="703"/>
      <c r="C283" s="704"/>
      <c r="D283" s="705"/>
      <c r="E283" s="705"/>
      <c r="F283" s="706"/>
      <c r="G283" s="391" t="s">
        <v>296</v>
      </c>
      <c r="H283" s="384" t="s">
        <v>15</v>
      </c>
      <c r="I283" s="553">
        <v>3.5000000000000003E-2</v>
      </c>
      <c r="J283" s="400">
        <f>I283*D282</f>
        <v>28.844200000000004</v>
      </c>
      <c r="K283" s="385"/>
      <c r="L283" s="396">
        <f t="shared" si="41"/>
        <v>0</v>
      </c>
      <c r="N283" s="398"/>
    </row>
    <row r="284" spans="1:14" s="372" customFormat="1" ht="15" customHeight="1">
      <c r="A284" s="403"/>
      <c r="B284" s="362" t="s">
        <v>281</v>
      </c>
      <c r="C284" s="410"/>
      <c r="D284" s="411"/>
      <c r="E284" s="440"/>
      <c r="F284" s="440"/>
      <c r="G284" s="442"/>
      <c r="H284" s="438"/>
      <c r="I284" s="439"/>
      <c r="J284" s="439"/>
      <c r="K284" s="439"/>
      <c r="L284" s="371"/>
    </row>
    <row r="285" spans="1:14" ht="17.25" customHeight="1">
      <c r="A285" s="361">
        <v>112</v>
      </c>
      <c r="B285" s="362" t="s">
        <v>272</v>
      </c>
      <c r="C285" s="412" t="s">
        <v>151</v>
      </c>
      <c r="D285" s="411">
        <v>3</v>
      </c>
      <c r="E285" s="411"/>
      <c r="F285" s="411">
        <f>D285*E285</f>
        <v>0</v>
      </c>
      <c r="G285" s="365"/>
      <c r="H285" s="365"/>
      <c r="I285" s="365"/>
      <c r="J285" s="416"/>
      <c r="K285" s="416"/>
      <c r="L285" s="417"/>
    </row>
    <row r="286" spans="1:14" s="372" customFormat="1" ht="15" customHeight="1">
      <c r="A286" s="361"/>
      <c r="B286" s="362" t="s">
        <v>31</v>
      </c>
      <c r="C286" s="410"/>
      <c r="D286" s="411"/>
      <c r="E286" s="440"/>
      <c r="F286" s="440"/>
      <c r="G286" s="441"/>
      <c r="H286" s="438"/>
      <c r="I286" s="439"/>
      <c r="J286" s="439"/>
      <c r="K286" s="439"/>
      <c r="L286" s="371"/>
    </row>
    <row r="287" spans="1:14" s="372" customFormat="1" ht="15" customHeight="1">
      <c r="A287" s="361">
        <v>113</v>
      </c>
      <c r="B287" s="362" t="s">
        <v>241</v>
      </c>
      <c r="C287" s="410" t="s">
        <v>40</v>
      </c>
      <c r="D287" s="411">
        <f>2.15+1.89+13.37+15.7</f>
        <v>33.11</v>
      </c>
      <c r="E287" s="422"/>
      <c r="F287" s="423">
        <f>ROUND(D287*E287,2)</f>
        <v>0</v>
      </c>
      <c r="G287" s="442"/>
      <c r="H287" s="438"/>
      <c r="I287" s="439"/>
      <c r="J287" s="439"/>
      <c r="K287" s="439"/>
      <c r="L287" s="371"/>
    </row>
    <row r="288" spans="1:14" s="372" customFormat="1" ht="15" customHeight="1">
      <c r="A288" s="361">
        <v>114</v>
      </c>
      <c r="B288" s="362" t="s">
        <v>216</v>
      </c>
      <c r="C288" s="410" t="s">
        <v>22</v>
      </c>
      <c r="D288" s="411">
        <f>(7.57+2.72+2.74)*2</f>
        <v>26.060000000000002</v>
      </c>
      <c r="E288" s="422"/>
      <c r="F288" s="423">
        <f>ROUND(D288*E288,2)</f>
        <v>0</v>
      </c>
      <c r="G288" s="442"/>
      <c r="H288" s="438"/>
      <c r="I288" s="439"/>
      <c r="J288" s="439"/>
      <c r="K288" s="439"/>
      <c r="L288" s="371"/>
    </row>
    <row r="289" spans="1:15" s="372" customFormat="1" ht="15" customHeight="1">
      <c r="A289" s="361">
        <v>115</v>
      </c>
      <c r="B289" s="362" t="s">
        <v>242</v>
      </c>
      <c r="C289" s="410" t="s">
        <v>40</v>
      </c>
      <c r="D289" s="411">
        <f>D287</f>
        <v>33.11</v>
      </c>
      <c r="E289" s="422"/>
      <c r="F289" s="423">
        <f>ROUND(D289*E289,2)</f>
        <v>0</v>
      </c>
      <c r="G289" s="391" t="s">
        <v>298</v>
      </c>
      <c r="H289" s="401" t="s">
        <v>13</v>
      </c>
      <c r="I289" s="395">
        <v>0.15</v>
      </c>
      <c r="J289" s="395">
        <f>D289*I289</f>
        <v>4.9664999999999999</v>
      </c>
      <c r="K289" s="392"/>
      <c r="L289" s="396">
        <f t="shared" ref="L289" si="42">ROUND(K289*J289,2)</f>
        <v>0</v>
      </c>
    </row>
    <row r="290" spans="1:15" s="372" customFormat="1" ht="15" customHeight="1">
      <c r="A290" s="677">
        <v>116</v>
      </c>
      <c r="B290" s="721" t="s">
        <v>246</v>
      </c>
      <c r="C290" s="716" t="s">
        <v>40</v>
      </c>
      <c r="D290" s="717">
        <f>D287+(D288*0.2)</f>
        <v>38.322000000000003</v>
      </c>
      <c r="E290" s="709"/>
      <c r="F290" s="706">
        <f>ROUND(D290*E290,2)</f>
        <v>0</v>
      </c>
      <c r="G290" s="442" t="s">
        <v>310</v>
      </c>
      <c r="H290" s="438" t="s">
        <v>40</v>
      </c>
      <c r="I290" s="439">
        <v>1.01</v>
      </c>
      <c r="J290" s="439">
        <f>D290*I290</f>
        <v>38.705220000000004</v>
      </c>
      <c r="K290" s="439"/>
      <c r="L290" s="371">
        <f>J290*K290</f>
        <v>0</v>
      </c>
    </row>
    <row r="291" spans="1:15" s="372" customFormat="1" ht="15" customHeight="1">
      <c r="A291" s="677"/>
      <c r="B291" s="721"/>
      <c r="C291" s="716"/>
      <c r="D291" s="717"/>
      <c r="E291" s="709"/>
      <c r="F291" s="706"/>
      <c r="G291" s="442" t="s">
        <v>311</v>
      </c>
      <c r="H291" s="438" t="s">
        <v>312</v>
      </c>
      <c r="I291" s="439">
        <v>0.4</v>
      </c>
      <c r="J291" s="439">
        <f>I291*D290</f>
        <v>15.328800000000001</v>
      </c>
      <c r="K291" s="439"/>
      <c r="L291" s="371">
        <f>J291*K291</f>
        <v>0</v>
      </c>
    </row>
    <row r="292" spans="1:15" s="372" customFormat="1" ht="15" customHeight="1">
      <c r="A292" s="677">
        <v>117</v>
      </c>
      <c r="B292" s="715" t="s">
        <v>245</v>
      </c>
      <c r="C292" s="716" t="s">
        <v>22</v>
      </c>
      <c r="D292" s="717">
        <f>15.5+4.75+5+2.18+2.18</f>
        <v>29.61</v>
      </c>
      <c r="E292" s="709"/>
      <c r="F292" s="706">
        <f>ROUND(D292*E292,2)</f>
        <v>0</v>
      </c>
      <c r="G292" s="363" t="s">
        <v>293</v>
      </c>
      <c r="H292" s="373" t="s">
        <v>22</v>
      </c>
      <c r="I292" s="374">
        <v>1.01</v>
      </c>
      <c r="J292" s="374">
        <f>10.93*I292</f>
        <v>11.039299999999999</v>
      </c>
      <c r="K292" s="375"/>
      <c r="L292" s="387">
        <f t="shared" ref="L292" si="43">ROUND(K292*J292,2)</f>
        <v>0</v>
      </c>
    </row>
    <row r="293" spans="1:15" s="372" customFormat="1" ht="15" customHeight="1">
      <c r="A293" s="677"/>
      <c r="B293" s="715"/>
      <c r="C293" s="716"/>
      <c r="D293" s="717"/>
      <c r="E293" s="709"/>
      <c r="F293" s="706"/>
      <c r="G293" s="363" t="s">
        <v>295</v>
      </c>
      <c r="H293" s="376" t="s">
        <v>294</v>
      </c>
      <c r="I293" s="376">
        <v>0.1</v>
      </c>
      <c r="J293" s="374">
        <f>I293*D292</f>
        <v>2.9610000000000003</v>
      </c>
      <c r="K293" s="375"/>
      <c r="L293" s="367">
        <f>J293*K293</f>
        <v>0</v>
      </c>
    </row>
    <row r="294" spans="1:15" s="372" customFormat="1" ht="15" customHeight="1">
      <c r="A294" s="674">
        <v>118</v>
      </c>
      <c r="B294" s="675" t="s">
        <v>278</v>
      </c>
      <c r="C294" s="700" t="s">
        <v>40</v>
      </c>
      <c r="D294" s="701">
        <v>84.131</v>
      </c>
      <c r="E294" s="701"/>
      <c r="F294" s="701">
        <f>D294*E294</f>
        <v>0</v>
      </c>
      <c r="G294" s="402" t="s">
        <v>308</v>
      </c>
      <c r="H294" s="373" t="s">
        <v>147</v>
      </c>
      <c r="I294" s="374">
        <v>1.1000000000000001</v>
      </c>
      <c r="J294" s="374">
        <f>D294*I294</f>
        <v>92.544100000000014</v>
      </c>
      <c r="K294" s="375"/>
      <c r="L294" s="387">
        <f t="shared" ref="L294:L295" si="44">ROUND(K294*J294,2)</f>
        <v>0</v>
      </c>
      <c r="O294" s="389"/>
    </row>
    <row r="295" spans="1:15" s="372" customFormat="1" ht="15" customHeight="1">
      <c r="A295" s="674"/>
      <c r="B295" s="675"/>
      <c r="C295" s="700"/>
      <c r="D295" s="701"/>
      <c r="E295" s="701"/>
      <c r="F295" s="701"/>
      <c r="G295" s="402" t="s">
        <v>220</v>
      </c>
      <c r="H295" s="373" t="s">
        <v>22</v>
      </c>
      <c r="I295" s="374">
        <v>1.01</v>
      </c>
      <c r="J295" s="374">
        <f>10.93*I295</f>
        <v>11.039299999999999</v>
      </c>
      <c r="K295" s="375"/>
      <c r="L295" s="387">
        <f t="shared" si="44"/>
        <v>0</v>
      </c>
      <c r="O295" s="389"/>
    </row>
    <row r="296" spans="1:15" s="372" customFormat="1" ht="15" customHeight="1">
      <c r="A296" s="677">
        <v>119</v>
      </c>
      <c r="B296" s="721" t="s">
        <v>246</v>
      </c>
      <c r="C296" s="716" t="s">
        <v>40</v>
      </c>
      <c r="D296" s="717">
        <f>D287</f>
        <v>33.11</v>
      </c>
      <c r="E296" s="709"/>
      <c r="F296" s="706">
        <f>ROUND(D296*E296,2)</f>
        <v>0</v>
      </c>
      <c r="G296" s="442" t="s">
        <v>310</v>
      </c>
      <c r="H296" s="438" t="s">
        <v>40</v>
      </c>
      <c r="I296" s="439">
        <v>1.01</v>
      </c>
      <c r="J296" s="439">
        <f>D296*I296</f>
        <v>33.441099999999999</v>
      </c>
      <c r="K296" s="439"/>
      <c r="L296" s="371">
        <f>J296*K296</f>
        <v>0</v>
      </c>
    </row>
    <row r="297" spans="1:15" s="372" customFormat="1" ht="15" customHeight="1">
      <c r="A297" s="677"/>
      <c r="B297" s="721"/>
      <c r="C297" s="716"/>
      <c r="D297" s="717"/>
      <c r="E297" s="709"/>
      <c r="F297" s="706"/>
      <c r="G297" s="442" t="s">
        <v>311</v>
      </c>
      <c r="H297" s="438" t="s">
        <v>312</v>
      </c>
      <c r="I297" s="439">
        <v>0.4</v>
      </c>
      <c r="J297" s="439">
        <f>I297*D296</f>
        <v>13.244</v>
      </c>
      <c r="K297" s="439"/>
      <c r="L297" s="371">
        <f>J297*K297</f>
        <v>0</v>
      </c>
    </row>
    <row r="298" spans="1:15" s="372" customFormat="1" ht="15" customHeight="1">
      <c r="A298" s="677">
        <v>120</v>
      </c>
      <c r="B298" s="715" t="s">
        <v>245</v>
      </c>
      <c r="C298" s="716" t="s">
        <v>22</v>
      </c>
      <c r="D298" s="717">
        <f>15.5+4.75+5+2.18+2.18</f>
        <v>29.61</v>
      </c>
      <c r="E298" s="709"/>
      <c r="F298" s="706">
        <f>ROUND(D298*E298,2)</f>
        <v>0</v>
      </c>
      <c r="G298" s="363" t="s">
        <v>293</v>
      </c>
      <c r="H298" s="373" t="s">
        <v>22</v>
      </c>
      <c r="I298" s="374">
        <v>1.01</v>
      </c>
      <c r="J298" s="374">
        <f>10.93*I298</f>
        <v>11.039299999999999</v>
      </c>
      <c r="K298" s="375"/>
      <c r="L298" s="387">
        <f t="shared" ref="L298" si="45">ROUND(K298*J298,2)</f>
        <v>0</v>
      </c>
    </row>
    <row r="299" spans="1:15" s="372" customFormat="1" ht="15" customHeight="1">
      <c r="A299" s="677"/>
      <c r="B299" s="715"/>
      <c r="C299" s="716"/>
      <c r="D299" s="717"/>
      <c r="E299" s="709"/>
      <c r="F299" s="706"/>
      <c r="G299" s="363" t="s">
        <v>295</v>
      </c>
      <c r="H299" s="376" t="s">
        <v>294</v>
      </c>
      <c r="I299" s="376">
        <v>0.1</v>
      </c>
      <c r="J299" s="374">
        <f>I299*D298</f>
        <v>2.9610000000000003</v>
      </c>
      <c r="K299" s="375"/>
      <c r="L299" s="367">
        <f>J299*K299</f>
        <v>0</v>
      </c>
    </row>
    <row r="300" spans="1:15" s="397" customFormat="1" ht="15">
      <c r="A300" s="718">
        <v>121</v>
      </c>
      <c r="B300" s="707" t="s">
        <v>236</v>
      </c>
      <c r="C300" s="708" t="s">
        <v>11</v>
      </c>
      <c r="D300" s="720">
        <f>3.8*2</f>
        <v>7.6</v>
      </c>
      <c r="E300" s="709"/>
      <c r="F300" s="709">
        <f>ROUND(E300*D300,2)</f>
        <v>0</v>
      </c>
      <c r="G300" s="391" t="s">
        <v>298</v>
      </c>
      <c r="H300" s="384" t="s">
        <v>13</v>
      </c>
      <c r="I300" s="385">
        <v>0.2</v>
      </c>
      <c r="J300" s="385">
        <f>I300*D300</f>
        <v>1.52</v>
      </c>
      <c r="K300" s="392"/>
      <c r="L300" s="387">
        <f t="shared" ref="L300:L303" si="46">ROUND(K300*J300,2)</f>
        <v>0</v>
      </c>
    </row>
    <row r="301" spans="1:15" s="397" customFormat="1" ht="15">
      <c r="A301" s="719"/>
      <c r="B301" s="707"/>
      <c r="C301" s="708"/>
      <c r="D301" s="720"/>
      <c r="E301" s="709"/>
      <c r="F301" s="709"/>
      <c r="G301" s="391" t="s">
        <v>307</v>
      </c>
      <c r="H301" s="384" t="s">
        <v>11</v>
      </c>
      <c r="I301" s="386">
        <v>1.03</v>
      </c>
      <c r="J301" s="386">
        <f>D300*I301</f>
        <v>7.8279999999999994</v>
      </c>
      <c r="K301" s="375"/>
      <c r="L301" s="387">
        <f t="shared" si="46"/>
        <v>0</v>
      </c>
    </row>
    <row r="302" spans="1:15" s="397" customFormat="1" ht="15">
      <c r="A302" s="719"/>
      <c r="B302" s="707"/>
      <c r="C302" s="708"/>
      <c r="D302" s="720"/>
      <c r="E302" s="709"/>
      <c r="F302" s="709"/>
      <c r="G302" s="391" t="s">
        <v>303</v>
      </c>
      <c r="H302" s="384" t="s">
        <v>15</v>
      </c>
      <c r="I302" s="385">
        <v>6.5</v>
      </c>
      <c r="J302" s="385">
        <f>D300*I302</f>
        <v>49.4</v>
      </c>
      <c r="K302" s="375"/>
      <c r="L302" s="387">
        <f t="shared" si="46"/>
        <v>0</v>
      </c>
    </row>
    <row r="303" spans="1:15" s="397" customFormat="1" ht="15">
      <c r="A303" s="719"/>
      <c r="B303" s="707"/>
      <c r="C303" s="708"/>
      <c r="D303" s="720"/>
      <c r="E303" s="709"/>
      <c r="F303" s="709"/>
      <c r="G303" s="391" t="s">
        <v>302</v>
      </c>
      <c r="H303" s="384" t="s">
        <v>15</v>
      </c>
      <c r="I303" s="386">
        <v>0.45</v>
      </c>
      <c r="J303" s="386">
        <f>D300*I303</f>
        <v>3.42</v>
      </c>
      <c r="K303" s="385"/>
      <c r="L303" s="387">
        <f t="shared" si="46"/>
        <v>0</v>
      </c>
    </row>
    <row r="304" spans="1:15" s="372" customFormat="1" ht="15" customHeight="1">
      <c r="A304" s="361"/>
      <c r="B304" s="362" t="s">
        <v>20</v>
      </c>
      <c r="C304" s="410"/>
      <c r="D304" s="411"/>
      <c r="E304" s="440"/>
      <c r="F304" s="440"/>
      <c r="G304" s="441"/>
      <c r="H304" s="438"/>
      <c r="I304" s="439"/>
      <c r="J304" s="439"/>
      <c r="K304" s="439"/>
      <c r="L304" s="371"/>
    </row>
    <row r="305" spans="1:15" s="372" customFormat="1" ht="15" customHeight="1">
      <c r="A305" s="403">
        <v>122</v>
      </c>
      <c r="B305" s="409" t="s">
        <v>279</v>
      </c>
      <c r="C305" s="412" t="s">
        <v>40</v>
      </c>
      <c r="D305" s="411">
        <f>(7.57+1.9+2.2+2.2+2.2+2.2)*3</f>
        <v>54.81</v>
      </c>
      <c r="E305" s="422"/>
      <c r="F305" s="423">
        <f>ROUND(D305*E305,2)</f>
        <v>0</v>
      </c>
      <c r="G305" s="363"/>
      <c r="H305" s="438"/>
      <c r="I305" s="439"/>
      <c r="J305" s="439"/>
      <c r="K305" s="407"/>
      <c r="L305" s="408"/>
    </row>
    <row r="306" spans="1:15" ht="15" customHeight="1">
      <c r="A306" s="710">
        <v>123</v>
      </c>
      <c r="B306" s="711" t="s">
        <v>207</v>
      </c>
      <c r="C306" s="712" t="s">
        <v>11</v>
      </c>
      <c r="D306" s="713">
        <f>22.6*3</f>
        <v>67.800000000000011</v>
      </c>
      <c r="E306" s="713"/>
      <c r="F306" s="714">
        <v>5414.5</v>
      </c>
      <c r="G306" s="378" t="s">
        <v>297</v>
      </c>
      <c r="H306" s="384" t="s">
        <v>11</v>
      </c>
      <c r="I306" s="385">
        <f>1.05*4</f>
        <v>4.2</v>
      </c>
      <c r="J306" s="385">
        <f>D306*I306</f>
        <v>284.76000000000005</v>
      </c>
      <c r="K306" s="386"/>
      <c r="L306" s="387">
        <f t="shared" ref="L306:L330" si="47">ROUND(K306*J306,2)</f>
        <v>0</v>
      </c>
    </row>
    <row r="307" spans="1:15" s="372" customFormat="1" ht="15" customHeight="1">
      <c r="A307" s="710"/>
      <c r="B307" s="711"/>
      <c r="C307" s="712"/>
      <c r="D307" s="713"/>
      <c r="E307" s="713"/>
      <c r="F307" s="714"/>
      <c r="G307" s="378" t="s">
        <v>208</v>
      </c>
      <c r="H307" s="384" t="s">
        <v>37</v>
      </c>
      <c r="I307" s="388">
        <v>2</v>
      </c>
      <c r="J307" s="386">
        <f>I307*D306</f>
        <v>135.60000000000002</v>
      </c>
      <c r="K307" s="375"/>
      <c r="L307" s="387">
        <f t="shared" si="47"/>
        <v>0</v>
      </c>
    </row>
    <row r="308" spans="1:15" s="372" customFormat="1" ht="15" customHeight="1">
      <c r="A308" s="710"/>
      <c r="B308" s="711"/>
      <c r="C308" s="712"/>
      <c r="D308" s="713"/>
      <c r="E308" s="713"/>
      <c r="F308" s="714"/>
      <c r="G308" s="378" t="s">
        <v>209</v>
      </c>
      <c r="H308" s="384" t="s">
        <v>37</v>
      </c>
      <c r="I308" s="385">
        <v>0.8</v>
      </c>
      <c r="J308" s="385">
        <f>I308*D306</f>
        <v>54.240000000000009</v>
      </c>
      <c r="K308" s="375"/>
      <c r="L308" s="387">
        <f t="shared" si="47"/>
        <v>0</v>
      </c>
    </row>
    <row r="309" spans="1:15" s="372" customFormat="1" ht="15" customHeight="1">
      <c r="A309" s="710"/>
      <c r="B309" s="711"/>
      <c r="C309" s="712"/>
      <c r="D309" s="713"/>
      <c r="E309" s="713"/>
      <c r="F309" s="714"/>
      <c r="G309" s="378" t="s">
        <v>305</v>
      </c>
      <c r="H309" s="384" t="s">
        <v>88</v>
      </c>
      <c r="I309" s="388">
        <v>1.32</v>
      </c>
      <c r="J309" s="386">
        <f>D306*I309</f>
        <v>89.496000000000024</v>
      </c>
      <c r="K309" s="375"/>
      <c r="L309" s="387">
        <f t="shared" si="47"/>
        <v>0</v>
      </c>
    </row>
    <row r="310" spans="1:15" s="372" customFormat="1" ht="15" customHeight="1">
      <c r="A310" s="710"/>
      <c r="B310" s="711"/>
      <c r="C310" s="712"/>
      <c r="D310" s="713"/>
      <c r="E310" s="713"/>
      <c r="F310" s="714"/>
      <c r="G310" s="378" t="s">
        <v>210</v>
      </c>
      <c r="H310" s="384" t="s">
        <v>88</v>
      </c>
      <c r="I310" s="385">
        <v>0.2</v>
      </c>
      <c r="J310" s="385">
        <f>D306*I310</f>
        <v>13.560000000000002</v>
      </c>
      <c r="K310" s="375"/>
      <c r="L310" s="387">
        <f t="shared" si="47"/>
        <v>0</v>
      </c>
    </row>
    <row r="311" spans="1:15" s="372" customFormat="1" ht="15" customHeight="1">
      <c r="A311" s="710"/>
      <c r="B311" s="711"/>
      <c r="C311" s="712"/>
      <c r="D311" s="713"/>
      <c r="E311" s="713"/>
      <c r="F311" s="714"/>
      <c r="G311" s="378" t="s">
        <v>211</v>
      </c>
      <c r="H311" s="384" t="s">
        <v>37</v>
      </c>
      <c r="I311" s="388">
        <f>0.85*4</f>
        <v>3.4</v>
      </c>
      <c r="J311" s="386">
        <f>D306*I311</f>
        <v>230.52000000000004</v>
      </c>
      <c r="K311" s="375"/>
      <c r="L311" s="387">
        <f t="shared" si="47"/>
        <v>0</v>
      </c>
    </row>
    <row r="312" spans="1:15" s="372" customFormat="1" ht="15" customHeight="1">
      <c r="A312" s="710"/>
      <c r="B312" s="711"/>
      <c r="C312" s="712"/>
      <c r="D312" s="713"/>
      <c r="E312" s="713"/>
      <c r="F312" s="714"/>
      <c r="G312" s="378" t="s">
        <v>301</v>
      </c>
      <c r="H312" s="384" t="s">
        <v>88</v>
      </c>
      <c r="I312" s="385">
        <v>3</v>
      </c>
      <c r="J312" s="385">
        <f>I312*D306</f>
        <v>203.40000000000003</v>
      </c>
      <c r="K312" s="385"/>
      <c r="L312" s="387">
        <f t="shared" si="47"/>
        <v>0</v>
      </c>
    </row>
    <row r="313" spans="1:15" s="372" customFormat="1" ht="15" customHeight="1">
      <c r="A313" s="710"/>
      <c r="B313" s="711"/>
      <c r="C313" s="712"/>
      <c r="D313" s="713"/>
      <c r="E313" s="713"/>
      <c r="F313" s="714"/>
      <c r="G313" s="378" t="s">
        <v>212</v>
      </c>
      <c r="H313" s="384" t="s">
        <v>88</v>
      </c>
      <c r="I313" s="388">
        <f>2.7*4</f>
        <v>10.8</v>
      </c>
      <c r="J313" s="386">
        <f>D306*I313</f>
        <v>732.24000000000012</v>
      </c>
      <c r="K313" s="375"/>
      <c r="L313" s="387">
        <f t="shared" si="47"/>
        <v>0</v>
      </c>
      <c r="O313" s="389"/>
    </row>
    <row r="314" spans="1:15" s="372" customFormat="1" ht="15" customHeight="1">
      <c r="A314" s="710"/>
      <c r="B314" s="711"/>
      <c r="C314" s="712"/>
      <c r="D314" s="713"/>
      <c r="E314" s="713"/>
      <c r="F314" s="714"/>
      <c r="G314" s="378" t="s">
        <v>213</v>
      </c>
      <c r="H314" s="384" t="s">
        <v>88</v>
      </c>
      <c r="I314" s="385">
        <f>1.7*4</f>
        <v>6.8</v>
      </c>
      <c r="J314" s="385">
        <f>I314*D306</f>
        <v>461.04000000000008</v>
      </c>
      <c r="K314" s="375"/>
      <c r="L314" s="387">
        <f t="shared" si="47"/>
        <v>0</v>
      </c>
      <c r="M314" s="390"/>
      <c r="N314" s="390"/>
      <c r="O314" s="389"/>
    </row>
    <row r="315" spans="1:15" s="372" customFormat="1" ht="15" customHeight="1">
      <c r="A315" s="710"/>
      <c r="B315" s="711"/>
      <c r="C315" s="712"/>
      <c r="D315" s="713"/>
      <c r="E315" s="713"/>
      <c r="F315" s="714"/>
      <c r="G315" s="378" t="s">
        <v>214</v>
      </c>
      <c r="H315" s="384" t="s">
        <v>15</v>
      </c>
      <c r="I315" s="388">
        <f>0.3*2</f>
        <v>0.6</v>
      </c>
      <c r="J315" s="386">
        <f>D306*I315</f>
        <v>40.680000000000007</v>
      </c>
      <c r="K315" s="375"/>
      <c r="L315" s="387">
        <f t="shared" si="47"/>
        <v>0</v>
      </c>
      <c r="M315" s="390"/>
      <c r="N315" s="390"/>
      <c r="O315" s="389"/>
    </row>
    <row r="316" spans="1:15" s="372" customFormat="1" ht="15" customHeight="1">
      <c r="A316" s="710"/>
      <c r="B316" s="711"/>
      <c r="C316" s="712"/>
      <c r="D316" s="713"/>
      <c r="E316" s="713"/>
      <c r="F316" s="714"/>
      <c r="G316" s="378" t="s">
        <v>215</v>
      </c>
      <c r="H316" s="384" t="s">
        <v>37</v>
      </c>
      <c r="I316" s="385">
        <f>1.1*2</f>
        <v>2.2000000000000002</v>
      </c>
      <c r="J316" s="385">
        <f>D306*I316</f>
        <v>149.16000000000003</v>
      </c>
      <c r="K316" s="385"/>
      <c r="L316" s="387">
        <f t="shared" si="47"/>
        <v>0</v>
      </c>
      <c r="M316" s="390"/>
      <c r="N316" s="390"/>
      <c r="O316" s="389"/>
    </row>
    <row r="317" spans="1:15" s="372" customFormat="1" ht="15">
      <c r="A317" s="674">
        <v>124</v>
      </c>
      <c r="B317" s="707" t="s">
        <v>259</v>
      </c>
      <c r="C317" s="708" t="s">
        <v>11</v>
      </c>
      <c r="D317" s="709">
        <f>D306*2</f>
        <v>135.60000000000002</v>
      </c>
      <c r="E317" s="709"/>
      <c r="F317" s="706">
        <f>ROUND(D317*E317,2)</f>
        <v>0</v>
      </c>
      <c r="G317" s="399" t="s">
        <v>260</v>
      </c>
      <c r="H317" s="401" t="s">
        <v>15</v>
      </c>
      <c r="I317" s="395">
        <v>3.2</v>
      </c>
      <c r="J317" s="395">
        <f>D317*I317</f>
        <v>433.92000000000007</v>
      </c>
      <c r="K317" s="395"/>
      <c r="L317" s="396">
        <f t="shared" si="47"/>
        <v>0</v>
      </c>
    </row>
    <row r="318" spans="1:15" s="372" customFormat="1" ht="15">
      <c r="A318" s="674"/>
      <c r="B318" s="707"/>
      <c r="C318" s="708"/>
      <c r="D318" s="709"/>
      <c r="E318" s="709"/>
      <c r="F318" s="706"/>
      <c r="G318" s="391" t="s">
        <v>298</v>
      </c>
      <c r="H318" s="401" t="s">
        <v>13</v>
      </c>
      <c r="I318" s="395">
        <v>0.15</v>
      </c>
      <c r="J318" s="395">
        <f>D317*I318</f>
        <v>20.340000000000003</v>
      </c>
      <c r="K318" s="392"/>
      <c r="L318" s="396">
        <f t="shared" si="47"/>
        <v>0</v>
      </c>
    </row>
    <row r="319" spans="1:15" s="372" customFormat="1" ht="15" customHeight="1">
      <c r="A319" s="674"/>
      <c r="B319" s="707"/>
      <c r="C319" s="708"/>
      <c r="D319" s="709"/>
      <c r="E319" s="709"/>
      <c r="F319" s="706"/>
      <c r="G319" s="399" t="s">
        <v>223</v>
      </c>
      <c r="H319" s="401" t="s">
        <v>15</v>
      </c>
      <c r="I319" s="395">
        <v>1.8</v>
      </c>
      <c r="J319" s="395">
        <f>D317*I319</f>
        <v>244.08000000000004</v>
      </c>
      <c r="K319" s="395"/>
      <c r="L319" s="396">
        <f t="shared" si="47"/>
        <v>0</v>
      </c>
    </row>
    <row r="320" spans="1:15" s="372" customFormat="1" ht="15" customHeight="1">
      <c r="A320" s="674"/>
      <c r="B320" s="707"/>
      <c r="C320" s="708"/>
      <c r="D320" s="709"/>
      <c r="E320" s="709"/>
      <c r="F320" s="706"/>
      <c r="G320" s="391" t="s">
        <v>298</v>
      </c>
      <c r="H320" s="384" t="s">
        <v>13</v>
      </c>
      <c r="I320" s="449">
        <v>0.15</v>
      </c>
      <c r="J320" s="449">
        <f>I320*D317</f>
        <v>20.340000000000003</v>
      </c>
      <c r="K320" s="392"/>
      <c r="L320" s="396">
        <f t="shared" si="47"/>
        <v>0</v>
      </c>
    </row>
    <row r="321" spans="1:14" s="397" customFormat="1" ht="30" customHeight="1">
      <c r="A321" s="702" t="s">
        <v>445</v>
      </c>
      <c r="B321" s="703" t="s">
        <v>226</v>
      </c>
      <c r="C321" s="704" t="s">
        <v>11</v>
      </c>
      <c r="D321" s="705">
        <f>D317</f>
        <v>135.60000000000002</v>
      </c>
      <c r="E321" s="705"/>
      <c r="F321" s="706">
        <f>ROUND(D321*E321,2)</f>
        <v>0</v>
      </c>
      <c r="G321" s="391" t="s">
        <v>298</v>
      </c>
      <c r="H321" s="394" t="s">
        <v>23</v>
      </c>
      <c r="I321" s="552">
        <v>1.2999999999999999E-2</v>
      </c>
      <c r="J321" s="395">
        <f>I321*D321</f>
        <v>1.7628000000000001</v>
      </c>
      <c r="K321" s="392"/>
      <c r="L321" s="396">
        <f t="shared" si="47"/>
        <v>0</v>
      </c>
      <c r="N321" s="398"/>
    </row>
    <row r="322" spans="1:14" s="397" customFormat="1" ht="15">
      <c r="A322" s="702"/>
      <c r="B322" s="703"/>
      <c r="C322" s="704"/>
      <c r="D322" s="705"/>
      <c r="E322" s="705"/>
      <c r="F322" s="706"/>
      <c r="G322" s="391" t="s">
        <v>296</v>
      </c>
      <c r="H322" s="384" t="s">
        <v>15</v>
      </c>
      <c r="I322" s="553">
        <v>3.5000000000000003E-2</v>
      </c>
      <c r="J322" s="400">
        <f>I322*D321</f>
        <v>4.7460000000000013</v>
      </c>
      <c r="K322" s="385"/>
      <c r="L322" s="396">
        <f t="shared" si="47"/>
        <v>0</v>
      </c>
      <c r="N322" s="398"/>
    </row>
    <row r="323" spans="1:14" s="397" customFormat="1" ht="15">
      <c r="A323" s="718">
        <v>126</v>
      </c>
      <c r="B323" s="707" t="s">
        <v>240</v>
      </c>
      <c r="C323" s="708" t="s">
        <v>11</v>
      </c>
      <c r="D323" s="720">
        <f>8.2*2*3</f>
        <v>49.199999999999996</v>
      </c>
      <c r="E323" s="709"/>
      <c r="F323" s="709">
        <f>ROUND(E323*D323,2)</f>
        <v>0</v>
      </c>
      <c r="G323" s="391" t="s">
        <v>298</v>
      </c>
      <c r="H323" s="384" t="s">
        <v>13</v>
      </c>
      <c r="I323" s="385">
        <v>0.2</v>
      </c>
      <c r="J323" s="385">
        <f>I323*D323</f>
        <v>9.84</v>
      </c>
      <c r="K323" s="392"/>
      <c r="L323" s="387">
        <f t="shared" si="47"/>
        <v>0</v>
      </c>
    </row>
    <row r="324" spans="1:14" s="397" customFormat="1" ht="15">
      <c r="A324" s="719"/>
      <c r="B324" s="707"/>
      <c r="C324" s="708"/>
      <c r="D324" s="720"/>
      <c r="E324" s="709"/>
      <c r="F324" s="709"/>
      <c r="G324" s="391" t="s">
        <v>307</v>
      </c>
      <c r="H324" s="384" t="s">
        <v>11</v>
      </c>
      <c r="I324" s="386">
        <v>1.03</v>
      </c>
      <c r="J324" s="386">
        <f>D323*I324</f>
        <v>50.675999999999995</v>
      </c>
      <c r="K324" s="375"/>
      <c r="L324" s="387">
        <f t="shared" si="47"/>
        <v>0</v>
      </c>
    </row>
    <row r="325" spans="1:14" s="397" customFormat="1" ht="15">
      <c r="A325" s="719"/>
      <c r="B325" s="707"/>
      <c r="C325" s="708"/>
      <c r="D325" s="720"/>
      <c r="E325" s="709"/>
      <c r="F325" s="709"/>
      <c r="G325" s="391" t="s">
        <v>303</v>
      </c>
      <c r="H325" s="384" t="s">
        <v>15</v>
      </c>
      <c r="I325" s="385">
        <v>6.5</v>
      </c>
      <c r="J325" s="385">
        <f>D323*I325</f>
        <v>319.79999999999995</v>
      </c>
      <c r="K325" s="375"/>
      <c r="L325" s="387">
        <f t="shared" si="47"/>
        <v>0</v>
      </c>
    </row>
    <row r="326" spans="1:14" s="397" customFormat="1" ht="15">
      <c r="A326" s="719"/>
      <c r="B326" s="707"/>
      <c r="C326" s="708"/>
      <c r="D326" s="720"/>
      <c r="E326" s="709"/>
      <c r="F326" s="709"/>
      <c r="G326" s="391" t="s">
        <v>302</v>
      </c>
      <c r="H326" s="384" t="s">
        <v>15</v>
      </c>
      <c r="I326" s="386">
        <v>0.45</v>
      </c>
      <c r="J326" s="386">
        <f>D323*I326</f>
        <v>22.139999999999997</v>
      </c>
      <c r="K326" s="385"/>
      <c r="L326" s="387">
        <f t="shared" si="47"/>
        <v>0</v>
      </c>
    </row>
    <row r="327" spans="1:14" s="397" customFormat="1" ht="15">
      <c r="A327" s="718">
        <f>A323+1</f>
        <v>127</v>
      </c>
      <c r="B327" s="707" t="s">
        <v>280</v>
      </c>
      <c r="C327" s="708" t="s">
        <v>11</v>
      </c>
      <c r="D327" s="720">
        <f>(3.2*2*3)</f>
        <v>19.200000000000003</v>
      </c>
      <c r="E327" s="709"/>
      <c r="F327" s="709">
        <f>ROUND(E327*D327,2)</f>
        <v>0</v>
      </c>
      <c r="G327" s="391" t="s">
        <v>298</v>
      </c>
      <c r="H327" s="384" t="s">
        <v>13</v>
      </c>
      <c r="I327" s="385">
        <v>0.2</v>
      </c>
      <c r="J327" s="385">
        <f>I327*D327</f>
        <v>3.8400000000000007</v>
      </c>
      <c r="K327" s="392"/>
      <c r="L327" s="387">
        <f t="shared" si="47"/>
        <v>0</v>
      </c>
    </row>
    <row r="328" spans="1:14" s="397" customFormat="1" ht="15">
      <c r="A328" s="719"/>
      <c r="B328" s="707"/>
      <c r="C328" s="708"/>
      <c r="D328" s="720"/>
      <c r="E328" s="709"/>
      <c r="F328" s="709"/>
      <c r="G328" s="391" t="s">
        <v>304</v>
      </c>
      <c r="H328" s="384" t="s">
        <v>11</v>
      </c>
      <c r="I328" s="386">
        <v>1.03</v>
      </c>
      <c r="J328" s="386">
        <f>D327*I328</f>
        <v>19.776000000000003</v>
      </c>
      <c r="K328" s="375"/>
      <c r="L328" s="387">
        <f t="shared" si="47"/>
        <v>0</v>
      </c>
    </row>
    <row r="329" spans="1:14" s="397" customFormat="1" ht="15">
      <c r="A329" s="719"/>
      <c r="B329" s="707"/>
      <c r="C329" s="708"/>
      <c r="D329" s="720"/>
      <c r="E329" s="709"/>
      <c r="F329" s="709"/>
      <c r="G329" s="391" t="s">
        <v>303</v>
      </c>
      <c r="H329" s="384" t="s">
        <v>15</v>
      </c>
      <c r="I329" s="385">
        <v>6.5</v>
      </c>
      <c r="J329" s="385">
        <f>D327*I329</f>
        <v>124.80000000000001</v>
      </c>
      <c r="K329" s="375"/>
      <c r="L329" s="387">
        <f t="shared" si="47"/>
        <v>0</v>
      </c>
    </row>
    <row r="330" spans="1:14" s="397" customFormat="1" ht="15">
      <c r="A330" s="719"/>
      <c r="B330" s="707"/>
      <c r="C330" s="708"/>
      <c r="D330" s="720"/>
      <c r="E330" s="709"/>
      <c r="F330" s="709"/>
      <c r="G330" s="391" t="s">
        <v>302</v>
      </c>
      <c r="H330" s="384" t="s">
        <v>15</v>
      </c>
      <c r="I330" s="386">
        <v>0.45</v>
      </c>
      <c r="J330" s="386">
        <f>D327*I330</f>
        <v>8.6400000000000023</v>
      </c>
      <c r="K330" s="385"/>
      <c r="L330" s="387">
        <f t="shared" si="47"/>
        <v>0</v>
      </c>
    </row>
    <row r="331" spans="1:14" s="393" customFormat="1" ht="29.25" customHeight="1">
      <c r="A331" s="702" t="s">
        <v>446</v>
      </c>
      <c r="B331" s="707" t="s">
        <v>85</v>
      </c>
      <c r="C331" s="708" t="s">
        <v>11</v>
      </c>
      <c r="D331" s="709">
        <v>33.11</v>
      </c>
      <c r="E331" s="705"/>
      <c r="F331" s="706">
        <f>ROUND(D331*E331,2)</f>
        <v>0</v>
      </c>
      <c r="G331" s="452"/>
      <c r="H331" s="384"/>
      <c r="I331" s="392"/>
      <c r="J331" s="392"/>
      <c r="K331" s="392"/>
      <c r="L331" s="396"/>
    </row>
    <row r="332" spans="1:14" s="393" customFormat="1" ht="15">
      <c r="A332" s="702"/>
      <c r="B332" s="707"/>
      <c r="C332" s="708"/>
      <c r="D332" s="709"/>
      <c r="E332" s="705"/>
      <c r="F332" s="706"/>
      <c r="G332" s="453" t="s">
        <v>306</v>
      </c>
      <c r="H332" s="384" t="s">
        <v>18</v>
      </c>
      <c r="I332" s="392">
        <v>1.1000000000000001</v>
      </c>
      <c r="J332" s="392">
        <f>D331*I332</f>
        <v>36.420999999999999</v>
      </c>
      <c r="K332" s="454"/>
      <c r="L332" s="396">
        <f t="shared" ref="L332:L342" si="48">ROUND(K332*J332,2)</f>
        <v>0</v>
      </c>
    </row>
    <row r="333" spans="1:14" s="393" customFormat="1" ht="15">
      <c r="A333" s="702"/>
      <c r="B333" s="707"/>
      <c r="C333" s="708"/>
      <c r="D333" s="709"/>
      <c r="E333" s="705"/>
      <c r="F333" s="706"/>
      <c r="G333" s="399" t="s">
        <v>87</v>
      </c>
      <c r="H333" s="384" t="s">
        <v>88</v>
      </c>
      <c r="I333" s="392">
        <v>0.95</v>
      </c>
      <c r="J333" s="392">
        <f>D331*I333</f>
        <v>31.454499999999999</v>
      </c>
      <c r="K333" s="454"/>
      <c r="L333" s="396">
        <f t="shared" si="48"/>
        <v>0</v>
      </c>
    </row>
    <row r="334" spans="1:14" s="393" customFormat="1" ht="15">
      <c r="A334" s="702"/>
      <c r="B334" s="707"/>
      <c r="C334" s="708"/>
      <c r="D334" s="709"/>
      <c r="E334" s="705"/>
      <c r="F334" s="706"/>
      <c r="G334" s="399" t="s">
        <v>89</v>
      </c>
      <c r="H334" s="384" t="s">
        <v>88</v>
      </c>
      <c r="I334" s="392">
        <v>0.95</v>
      </c>
      <c r="J334" s="392">
        <f>D331*I334</f>
        <v>31.454499999999999</v>
      </c>
      <c r="K334" s="454"/>
      <c r="L334" s="396">
        <f t="shared" si="48"/>
        <v>0</v>
      </c>
    </row>
    <row r="335" spans="1:14" s="393" customFormat="1" ht="15">
      <c r="A335" s="702"/>
      <c r="B335" s="707"/>
      <c r="C335" s="708"/>
      <c r="D335" s="709"/>
      <c r="E335" s="705"/>
      <c r="F335" s="706"/>
      <c r="G335" s="399" t="s">
        <v>90</v>
      </c>
      <c r="H335" s="384" t="s">
        <v>88</v>
      </c>
      <c r="I335" s="392">
        <v>1.9</v>
      </c>
      <c r="J335" s="392">
        <f>D331*I335</f>
        <v>62.908999999999999</v>
      </c>
      <c r="K335" s="454"/>
      <c r="L335" s="396">
        <f t="shared" si="48"/>
        <v>0</v>
      </c>
    </row>
    <row r="336" spans="1:14" s="393" customFormat="1" ht="15">
      <c r="A336" s="702"/>
      <c r="B336" s="707"/>
      <c r="C336" s="708"/>
      <c r="D336" s="709"/>
      <c r="E336" s="705"/>
      <c r="F336" s="706"/>
      <c r="G336" s="399" t="s">
        <v>91</v>
      </c>
      <c r="H336" s="384" t="s">
        <v>92</v>
      </c>
      <c r="I336" s="392">
        <v>1.08</v>
      </c>
      <c r="J336" s="392">
        <f>I336*D331</f>
        <v>35.758800000000001</v>
      </c>
      <c r="K336" s="454"/>
      <c r="L336" s="396">
        <f t="shared" si="48"/>
        <v>0</v>
      </c>
    </row>
    <row r="337" spans="1:12" s="393" customFormat="1" ht="15">
      <c r="A337" s="702"/>
      <c r="B337" s="707"/>
      <c r="C337" s="708"/>
      <c r="D337" s="709"/>
      <c r="E337" s="705"/>
      <c r="F337" s="706"/>
      <c r="G337" s="399" t="s">
        <v>93</v>
      </c>
      <c r="H337" s="384" t="s">
        <v>88</v>
      </c>
      <c r="I337" s="392">
        <v>1.5</v>
      </c>
      <c r="J337" s="392">
        <f>D331*I337</f>
        <v>49.664999999999999</v>
      </c>
      <c r="K337" s="454"/>
      <c r="L337" s="396">
        <f t="shared" si="48"/>
        <v>0</v>
      </c>
    </row>
    <row r="338" spans="1:12" s="393" customFormat="1" ht="15">
      <c r="A338" s="702"/>
      <c r="B338" s="707"/>
      <c r="C338" s="708"/>
      <c r="D338" s="709"/>
      <c r="E338" s="705"/>
      <c r="F338" s="706"/>
      <c r="G338" s="399" t="s">
        <v>94</v>
      </c>
      <c r="H338" s="384" t="s">
        <v>88</v>
      </c>
      <c r="I338" s="392">
        <v>1.5</v>
      </c>
      <c r="J338" s="392">
        <f>D331*I338</f>
        <v>49.664999999999999</v>
      </c>
      <c r="K338" s="454"/>
      <c r="L338" s="396">
        <f t="shared" si="48"/>
        <v>0</v>
      </c>
    </row>
    <row r="339" spans="1:12" s="393" customFormat="1" ht="15">
      <c r="A339" s="702"/>
      <c r="B339" s="707"/>
      <c r="C339" s="708"/>
      <c r="D339" s="709"/>
      <c r="E339" s="705"/>
      <c r="F339" s="706"/>
      <c r="G339" s="399" t="s">
        <v>95</v>
      </c>
      <c r="H339" s="384" t="s">
        <v>88</v>
      </c>
      <c r="I339" s="392">
        <v>1.5</v>
      </c>
      <c r="J339" s="392">
        <f>D331*I339</f>
        <v>49.664999999999999</v>
      </c>
      <c r="K339" s="454"/>
      <c r="L339" s="396">
        <f t="shared" si="48"/>
        <v>0</v>
      </c>
    </row>
    <row r="340" spans="1:12" s="393" customFormat="1" ht="15">
      <c r="A340" s="702"/>
      <c r="B340" s="707"/>
      <c r="C340" s="708"/>
      <c r="D340" s="709"/>
      <c r="E340" s="705"/>
      <c r="F340" s="706"/>
      <c r="G340" s="399" t="s">
        <v>309</v>
      </c>
      <c r="H340" s="384" t="s">
        <v>88</v>
      </c>
      <c r="I340" s="392"/>
      <c r="J340" s="392">
        <v>210</v>
      </c>
      <c r="K340" s="454"/>
      <c r="L340" s="396">
        <f t="shared" si="48"/>
        <v>0</v>
      </c>
    </row>
    <row r="341" spans="1:12" s="393" customFormat="1" ht="15">
      <c r="A341" s="702"/>
      <c r="B341" s="707"/>
      <c r="C341" s="708"/>
      <c r="D341" s="709"/>
      <c r="E341" s="705"/>
      <c r="F341" s="706"/>
      <c r="G341" s="399" t="s">
        <v>96</v>
      </c>
      <c r="H341" s="384" t="s">
        <v>88</v>
      </c>
      <c r="I341" s="392">
        <v>1.5</v>
      </c>
      <c r="J341" s="392">
        <f>D331*I341</f>
        <v>49.664999999999999</v>
      </c>
      <c r="K341" s="392"/>
      <c r="L341" s="396">
        <f t="shared" si="48"/>
        <v>0</v>
      </c>
    </row>
    <row r="342" spans="1:12" s="393" customFormat="1" ht="30">
      <c r="A342" s="702"/>
      <c r="B342" s="707"/>
      <c r="C342" s="708"/>
      <c r="D342" s="709"/>
      <c r="E342" s="705"/>
      <c r="F342" s="706"/>
      <c r="G342" s="378" t="s">
        <v>301</v>
      </c>
      <c r="H342" s="455" t="s">
        <v>286</v>
      </c>
      <c r="I342" s="392">
        <v>3</v>
      </c>
      <c r="J342" s="392">
        <f>I342*J340</f>
        <v>630</v>
      </c>
      <c r="K342" s="385"/>
      <c r="L342" s="396">
        <f t="shared" si="48"/>
        <v>0</v>
      </c>
    </row>
    <row r="343" spans="1:12" s="372" customFormat="1" ht="15" customHeight="1">
      <c r="A343" s="403"/>
      <c r="B343" s="362" t="s">
        <v>282</v>
      </c>
      <c r="C343" s="410"/>
      <c r="D343" s="411"/>
      <c r="E343" s="440"/>
      <c r="F343" s="440"/>
      <c r="G343" s="442"/>
      <c r="H343" s="438"/>
      <c r="I343" s="439"/>
      <c r="J343" s="439"/>
      <c r="K343" s="439"/>
      <c r="L343" s="371"/>
    </row>
    <row r="344" spans="1:12" ht="17.25" customHeight="1">
      <c r="A344" s="361">
        <v>129</v>
      </c>
      <c r="B344" s="362" t="s">
        <v>272</v>
      </c>
      <c r="C344" s="412" t="s">
        <v>151</v>
      </c>
      <c r="D344" s="411">
        <v>3</v>
      </c>
      <c r="E344" s="411"/>
      <c r="F344" s="411">
        <f>D344*E344</f>
        <v>0</v>
      </c>
      <c r="G344" s="365"/>
      <c r="H344" s="365"/>
      <c r="I344" s="365"/>
      <c r="J344" s="416"/>
      <c r="K344" s="416"/>
      <c r="L344" s="417"/>
    </row>
    <row r="345" spans="1:12" s="372" customFormat="1" ht="15" customHeight="1">
      <c r="A345" s="361"/>
      <c r="B345" s="362" t="s">
        <v>31</v>
      </c>
      <c r="C345" s="410"/>
      <c r="D345" s="411"/>
      <c r="E345" s="440"/>
      <c r="F345" s="440"/>
      <c r="G345" s="441"/>
      <c r="H345" s="438"/>
      <c r="I345" s="439"/>
      <c r="J345" s="439"/>
      <c r="K345" s="439"/>
      <c r="L345" s="371"/>
    </row>
    <row r="346" spans="1:12" s="372" customFormat="1" ht="15" customHeight="1">
      <c r="A346" s="361">
        <v>130</v>
      </c>
      <c r="B346" s="362" t="s">
        <v>241</v>
      </c>
      <c r="C346" s="410" t="s">
        <v>40</v>
      </c>
      <c r="D346" s="411">
        <f>2.15+1.89+13.37+15.7</f>
        <v>33.11</v>
      </c>
      <c r="E346" s="422"/>
      <c r="F346" s="423">
        <f>ROUND(D346*E346,2)</f>
        <v>0</v>
      </c>
      <c r="G346" s="442"/>
      <c r="H346" s="438"/>
      <c r="I346" s="439"/>
      <c r="J346" s="439"/>
      <c r="K346" s="439"/>
      <c r="L346" s="371"/>
    </row>
    <row r="347" spans="1:12" s="372" customFormat="1" ht="15" customHeight="1">
      <c r="A347" s="361">
        <v>131</v>
      </c>
      <c r="B347" s="362" t="s">
        <v>216</v>
      </c>
      <c r="C347" s="410" t="s">
        <v>22</v>
      </c>
      <c r="D347" s="411">
        <f>(7.57+2.72+2.74)*2</f>
        <v>26.060000000000002</v>
      </c>
      <c r="E347" s="422"/>
      <c r="F347" s="423">
        <f>ROUND(D347*E347,2)</f>
        <v>0</v>
      </c>
      <c r="G347" s="442"/>
      <c r="H347" s="438"/>
      <c r="I347" s="439"/>
      <c r="J347" s="439"/>
      <c r="K347" s="439"/>
      <c r="L347" s="371"/>
    </row>
    <row r="348" spans="1:12" s="372" customFormat="1" ht="15" customHeight="1">
      <c r="A348" s="361">
        <v>132</v>
      </c>
      <c r="B348" s="362" t="s">
        <v>242</v>
      </c>
      <c r="C348" s="410" t="s">
        <v>40</v>
      </c>
      <c r="D348" s="411">
        <f>D346</f>
        <v>33.11</v>
      </c>
      <c r="E348" s="422"/>
      <c r="F348" s="423">
        <f>ROUND(D348*E348,2)</f>
        <v>0</v>
      </c>
      <c r="G348" s="391" t="s">
        <v>298</v>
      </c>
      <c r="H348" s="401" t="s">
        <v>13</v>
      </c>
      <c r="I348" s="395">
        <v>0.15</v>
      </c>
      <c r="J348" s="395">
        <f>D348*I348</f>
        <v>4.9664999999999999</v>
      </c>
      <c r="K348" s="392"/>
      <c r="L348" s="396">
        <f t="shared" ref="L348" si="49">ROUND(K348*J348,2)</f>
        <v>0</v>
      </c>
    </row>
    <row r="349" spans="1:12" s="372" customFormat="1" ht="15" customHeight="1">
      <c r="A349" s="677">
        <v>133</v>
      </c>
      <c r="B349" s="721" t="s">
        <v>246</v>
      </c>
      <c r="C349" s="716" t="s">
        <v>40</v>
      </c>
      <c r="D349" s="717">
        <f>D346+(D347*0.2)</f>
        <v>38.322000000000003</v>
      </c>
      <c r="E349" s="709"/>
      <c r="F349" s="706">
        <f>ROUND(D349*E349,2)</f>
        <v>0</v>
      </c>
      <c r="G349" s="442" t="s">
        <v>310</v>
      </c>
      <c r="H349" s="438" t="s">
        <v>40</v>
      </c>
      <c r="I349" s="439">
        <v>1.01</v>
      </c>
      <c r="J349" s="439">
        <f>D349*I349</f>
        <v>38.705220000000004</v>
      </c>
      <c r="K349" s="439"/>
      <c r="L349" s="371">
        <f>J349*K349</f>
        <v>0</v>
      </c>
    </row>
    <row r="350" spans="1:12" s="372" customFormat="1" ht="15" customHeight="1">
      <c r="A350" s="677"/>
      <c r="B350" s="721"/>
      <c r="C350" s="716"/>
      <c r="D350" s="717"/>
      <c r="E350" s="709"/>
      <c r="F350" s="706"/>
      <c r="G350" s="442" t="s">
        <v>311</v>
      </c>
      <c r="H350" s="438" t="s">
        <v>312</v>
      </c>
      <c r="I350" s="439">
        <v>0.4</v>
      </c>
      <c r="J350" s="439">
        <f>I350*D349</f>
        <v>15.328800000000001</v>
      </c>
      <c r="K350" s="439"/>
      <c r="L350" s="371">
        <f>J350*K350</f>
        <v>0</v>
      </c>
    </row>
    <row r="351" spans="1:12" s="372" customFormat="1" ht="15" customHeight="1">
      <c r="A351" s="677">
        <v>134</v>
      </c>
      <c r="B351" s="715" t="s">
        <v>245</v>
      </c>
      <c r="C351" s="716" t="s">
        <v>22</v>
      </c>
      <c r="D351" s="717">
        <f>15.5+4.75+5+2.18+2.18</f>
        <v>29.61</v>
      </c>
      <c r="E351" s="709"/>
      <c r="F351" s="706">
        <f>ROUND(D351*E351,2)</f>
        <v>0</v>
      </c>
      <c r="G351" s="363" t="s">
        <v>293</v>
      </c>
      <c r="H351" s="373" t="s">
        <v>22</v>
      </c>
      <c r="I351" s="374">
        <v>1.01</v>
      </c>
      <c r="J351" s="374">
        <f>10.93*I351</f>
        <v>11.039299999999999</v>
      </c>
      <c r="K351" s="375"/>
      <c r="L351" s="387">
        <f t="shared" ref="L351" si="50">ROUND(K351*J351,2)</f>
        <v>0</v>
      </c>
    </row>
    <row r="352" spans="1:12" s="372" customFormat="1" ht="15" customHeight="1">
      <c r="A352" s="677"/>
      <c r="B352" s="715"/>
      <c r="C352" s="716"/>
      <c r="D352" s="717"/>
      <c r="E352" s="709"/>
      <c r="F352" s="706"/>
      <c r="G352" s="363" t="s">
        <v>295</v>
      </c>
      <c r="H352" s="376" t="s">
        <v>294</v>
      </c>
      <c r="I352" s="376">
        <v>0.1</v>
      </c>
      <c r="J352" s="374">
        <f>I352*D351</f>
        <v>2.9610000000000003</v>
      </c>
      <c r="K352" s="375"/>
      <c r="L352" s="367">
        <f>J352*K352</f>
        <v>0</v>
      </c>
    </row>
    <row r="353" spans="1:15" s="372" customFormat="1" ht="15" customHeight="1">
      <c r="A353" s="674">
        <v>135</v>
      </c>
      <c r="B353" s="675" t="s">
        <v>278</v>
      </c>
      <c r="C353" s="700" t="s">
        <v>40</v>
      </c>
      <c r="D353" s="701">
        <v>84.131</v>
      </c>
      <c r="E353" s="701"/>
      <c r="F353" s="701">
        <f>D353*E353</f>
        <v>0</v>
      </c>
      <c r="G353" s="402" t="s">
        <v>308</v>
      </c>
      <c r="H353" s="373" t="s">
        <v>147</v>
      </c>
      <c r="I353" s="374">
        <v>1.1000000000000001</v>
      </c>
      <c r="J353" s="374">
        <f>D353*I353</f>
        <v>92.544100000000014</v>
      </c>
      <c r="K353" s="375"/>
      <c r="L353" s="387">
        <f t="shared" ref="L353:L354" si="51">ROUND(K353*J353,2)</f>
        <v>0</v>
      </c>
      <c r="O353" s="389"/>
    </row>
    <row r="354" spans="1:15" s="372" customFormat="1" ht="15" customHeight="1">
      <c r="A354" s="674"/>
      <c r="B354" s="675"/>
      <c r="C354" s="700"/>
      <c r="D354" s="701"/>
      <c r="E354" s="701"/>
      <c r="F354" s="701"/>
      <c r="G354" s="402" t="s">
        <v>220</v>
      </c>
      <c r="H354" s="373" t="s">
        <v>22</v>
      </c>
      <c r="I354" s="374">
        <v>1.01</v>
      </c>
      <c r="J354" s="374">
        <f>10.93*I354</f>
        <v>11.039299999999999</v>
      </c>
      <c r="K354" s="375"/>
      <c r="L354" s="387">
        <f t="shared" si="51"/>
        <v>0</v>
      </c>
      <c r="O354" s="389"/>
    </row>
    <row r="355" spans="1:15" s="372" customFormat="1" ht="15" customHeight="1">
      <c r="A355" s="677">
        <v>136</v>
      </c>
      <c r="B355" s="721" t="s">
        <v>246</v>
      </c>
      <c r="C355" s="716" t="s">
        <v>40</v>
      </c>
      <c r="D355" s="717">
        <f>D346</f>
        <v>33.11</v>
      </c>
      <c r="E355" s="709"/>
      <c r="F355" s="706">
        <f>ROUND(D355*E355,2)</f>
        <v>0</v>
      </c>
      <c r="G355" s="442" t="s">
        <v>310</v>
      </c>
      <c r="H355" s="438" t="s">
        <v>40</v>
      </c>
      <c r="I355" s="439">
        <v>1.01</v>
      </c>
      <c r="J355" s="439">
        <f>D355*I355</f>
        <v>33.441099999999999</v>
      </c>
      <c r="K355" s="439"/>
      <c r="L355" s="371">
        <f>J355*K355</f>
        <v>0</v>
      </c>
    </row>
    <row r="356" spans="1:15" s="372" customFormat="1" ht="15" customHeight="1">
      <c r="A356" s="677"/>
      <c r="B356" s="721"/>
      <c r="C356" s="716"/>
      <c r="D356" s="717"/>
      <c r="E356" s="709"/>
      <c r="F356" s="706"/>
      <c r="G356" s="442" t="s">
        <v>311</v>
      </c>
      <c r="H356" s="438" t="s">
        <v>312</v>
      </c>
      <c r="I356" s="439">
        <v>0.4</v>
      </c>
      <c r="J356" s="439">
        <f>I356*D355</f>
        <v>13.244</v>
      </c>
      <c r="K356" s="439"/>
      <c r="L356" s="371">
        <f>J356*K356</f>
        <v>0</v>
      </c>
    </row>
    <row r="357" spans="1:15" s="372" customFormat="1" ht="15" customHeight="1">
      <c r="A357" s="677">
        <v>137</v>
      </c>
      <c r="B357" s="715" t="s">
        <v>245</v>
      </c>
      <c r="C357" s="716" t="s">
        <v>22</v>
      </c>
      <c r="D357" s="717">
        <f>15.5+4.75+5+2.18+2.18</f>
        <v>29.61</v>
      </c>
      <c r="E357" s="709"/>
      <c r="F357" s="706">
        <f>ROUND(D357*E357,2)</f>
        <v>0</v>
      </c>
      <c r="G357" s="363" t="s">
        <v>293</v>
      </c>
      <c r="H357" s="373" t="s">
        <v>22</v>
      </c>
      <c r="I357" s="374">
        <v>1.01</v>
      </c>
      <c r="J357" s="374">
        <f>10.93*I357</f>
        <v>11.039299999999999</v>
      </c>
      <c r="K357" s="375"/>
      <c r="L357" s="387">
        <f t="shared" ref="L357" si="52">ROUND(K357*J357,2)</f>
        <v>0</v>
      </c>
    </row>
    <row r="358" spans="1:15" s="372" customFormat="1" ht="15" customHeight="1">
      <c r="A358" s="677"/>
      <c r="B358" s="715"/>
      <c r="C358" s="716"/>
      <c r="D358" s="717"/>
      <c r="E358" s="709"/>
      <c r="F358" s="706"/>
      <c r="G358" s="363" t="s">
        <v>295</v>
      </c>
      <c r="H358" s="376" t="s">
        <v>294</v>
      </c>
      <c r="I358" s="376">
        <v>0.1</v>
      </c>
      <c r="J358" s="374">
        <f>I358*D357</f>
        <v>2.9610000000000003</v>
      </c>
      <c r="K358" s="375"/>
      <c r="L358" s="367">
        <f>J358*K358</f>
        <v>0</v>
      </c>
    </row>
    <row r="359" spans="1:15" s="397" customFormat="1" ht="15">
      <c r="A359" s="718">
        <v>138</v>
      </c>
      <c r="B359" s="707" t="s">
        <v>236</v>
      </c>
      <c r="C359" s="708" t="s">
        <v>11</v>
      </c>
      <c r="D359" s="720">
        <f>3.8*2</f>
        <v>7.6</v>
      </c>
      <c r="E359" s="709"/>
      <c r="F359" s="709">
        <f>ROUND(E359*D359,2)</f>
        <v>0</v>
      </c>
      <c r="G359" s="391" t="s">
        <v>298</v>
      </c>
      <c r="H359" s="384" t="s">
        <v>13</v>
      </c>
      <c r="I359" s="385">
        <v>0.2</v>
      </c>
      <c r="J359" s="385">
        <f>I359*D359</f>
        <v>1.52</v>
      </c>
      <c r="K359" s="392"/>
      <c r="L359" s="387">
        <f t="shared" ref="L359:L362" si="53">ROUND(K359*J359,2)</f>
        <v>0</v>
      </c>
    </row>
    <row r="360" spans="1:15" s="397" customFormat="1" ht="15">
      <c r="A360" s="719"/>
      <c r="B360" s="707"/>
      <c r="C360" s="708"/>
      <c r="D360" s="720"/>
      <c r="E360" s="709"/>
      <c r="F360" s="709"/>
      <c r="G360" s="391" t="s">
        <v>307</v>
      </c>
      <c r="H360" s="384" t="s">
        <v>11</v>
      </c>
      <c r="I360" s="386">
        <v>1.03</v>
      </c>
      <c r="J360" s="386">
        <f>D359*I360</f>
        <v>7.8279999999999994</v>
      </c>
      <c r="K360" s="375"/>
      <c r="L360" s="387">
        <f t="shared" si="53"/>
        <v>0</v>
      </c>
    </row>
    <row r="361" spans="1:15" s="397" customFormat="1" ht="15">
      <c r="A361" s="719"/>
      <c r="B361" s="707"/>
      <c r="C361" s="708"/>
      <c r="D361" s="720"/>
      <c r="E361" s="709"/>
      <c r="F361" s="709"/>
      <c r="G361" s="391" t="s">
        <v>303</v>
      </c>
      <c r="H361" s="384" t="s">
        <v>15</v>
      </c>
      <c r="I361" s="385">
        <v>6.5</v>
      </c>
      <c r="J361" s="385">
        <f>D359*I361</f>
        <v>49.4</v>
      </c>
      <c r="K361" s="375"/>
      <c r="L361" s="387">
        <f t="shared" si="53"/>
        <v>0</v>
      </c>
    </row>
    <row r="362" spans="1:15" s="397" customFormat="1" ht="15">
      <c r="A362" s="719"/>
      <c r="B362" s="707"/>
      <c r="C362" s="708"/>
      <c r="D362" s="720"/>
      <c r="E362" s="709"/>
      <c r="F362" s="709"/>
      <c r="G362" s="391" t="s">
        <v>302</v>
      </c>
      <c r="H362" s="384" t="s">
        <v>15</v>
      </c>
      <c r="I362" s="386">
        <v>0.45</v>
      </c>
      <c r="J362" s="386">
        <f>D359*I362</f>
        <v>3.42</v>
      </c>
      <c r="K362" s="385"/>
      <c r="L362" s="387">
        <f t="shared" si="53"/>
        <v>0</v>
      </c>
    </row>
    <row r="363" spans="1:15" s="372" customFormat="1" ht="15" customHeight="1">
      <c r="A363" s="361"/>
      <c r="B363" s="362" t="s">
        <v>20</v>
      </c>
      <c r="C363" s="410"/>
      <c r="D363" s="411"/>
      <c r="E363" s="440"/>
      <c r="F363" s="440"/>
      <c r="G363" s="441"/>
      <c r="H363" s="438"/>
      <c r="I363" s="439"/>
      <c r="J363" s="439"/>
      <c r="K363" s="439"/>
      <c r="L363" s="371"/>
    </row>
    <row r="364" spans="1:15" s="372" customFormat="1" ht="15" customHeight="1">
      <c r="A364" s="403">
        <v>139</v>
      </c>
      <c r="B364" s="409" t="s">
        <v>279</v>
      </c>
      <c r="C364" s="412" t="s">
        <v>40</v>
      </c>
      <c r="D364" s="411">
        <f>(7.57+1.9+2.2+2.2+2.2+2.2)*3</f>
        <v>54.81</v>
      </c>
      <c r="E364" s="422"/>
      <c r="F364" s="423">
        <f>ROUND(D364*E364,2)</f>
        <v>0</v>
      </c>
      <c r="G364" s="363"/>
      <c r="H364" s="438"/>
      <c r="I364" s="439"/>
      <c r="J364" s="439"/>
      <c r="K364" s="407"/>
      <c r="L364" s="408"/>
    </row>
    <row r="365" spans="1:15" ht="15" customHeight="1">
      <c r="A365" s="710">
        <v>140</v>
      </c>
      <c r="B365" s="711" t="s">
        <v>207</v>
      </c>
      <c r="C365" s="712" t="s">
        <v>11</v>
      </c>
      <c r="D365" s="713">
        <f>22.6*3</f>
        <v>67.800000000000011</v>
      </c>
      <c r="E365" s="713"/>
      <c r="F365" s="714">
        <v>5414.5</v>
      </c>
      <c r="G365" s="378" t="s">
        <v>297</v>
      </c>
      <c r="H365" s="384" t="s">
        <v>11</v>
      </c>
      <c r="I365" s="385">
        <f>1.05*4</f>
        <v>4.2</v>
      </c>
      <c r="J365" s="385">
        <f>D365*I365</f>
        <v>284.76000000000005</v>
      </c>
      <c r="K365" s="386"/>
      <c r="L365" s="387">
        <f t="shared" ref="L365:L389" si="54">ROUND(K365*J365,2)</f>
        <v>0</v>
      </c>
    </row>
    <row r="366" spans="1:15" s="372" customFormat="1" ht="15" customHeight="1">
      <c r="A366" s="710"/>
      <c r="B366" s="711"/>
      <c r="C366" s="712"/>
      <c r="D366" s="713"/>
      <c r="E366" s="713"/>
      <c r="F366" s="714"/>
      <c r="G366" s="378" t="s">
        <v>208</v>
      </c>
      <c r="H366" s="384" t="s">
        <v>37</v>
      </c>
      <c r="I366" s="388">
        <v>2</v>
      </c>
      <c r="J366" s="386">
        <f>I366*D365</f>
        <v>135.60000000000002</v>
      </c>
      <c r="K366" s="375"/>
      <c r="L366" s="387">
        <f t="shared" si="54"/>
        <v>0</v>
      </c>
    </row>
    <row r="367" spans="1:15" s="372" customFormat="1" ht="15" customHeight="1">
      <c r="A367" s="710"/>
      <c r="B367" s="711"/>
      <c r="C367" s="712"/>
      <c r="D367" s="713"/>
      <c r="E367" s="713"/>
      <c r="F367" s="714"/>
      <c r="G367" s="378" t="s">
        <v>209</v>
      </c>
      <c r="H367" s="384" t="s">
        <v>37</v>
      </c>
      <c r="I367" s="385">
        <v>0.8</v>
      </c>
      <c r="J367" s="385">
        <f>I367*D365</f>
        <v>54.240000000000009</v>
      </c>
      <c r="K367" s="375"/>
      <c r="L367" s="387">
        <f t="shared" si="54"/>
        <v>0</v>
      </c>
    </row>
    <row r="368" spans="1:15" s="372" customFormat="1" ht="15" customHeight="1">
      <c r="A368" s="710"/>
      <c r="B368" s="711"/>
      <c r="C368" s="712"/>
      <c r="D368" s="713"/>
      <c r="E368" s="713"/>
      <c r="F368" s="714"/>
      <c r="G368" s="378" t="s">
        <v>305</v>
      </c>
      <c r="H368" s="384" t="s">
        <v>88</v>
      </c>
      <c r="I368" s="388">
        <v>1.32</v>
      </c>
      <c r="J368" s="386">
        <f>D365*I368</f>
        <v>89.496000000000024</v>
      </c>
      <c r="K368" s="375"/>
      <c r="L368" s="387">
        <f t="shared" si="54"/>
        <v>0</v>
      </c>
    </row>
    <row r="369" spans="1:15" s="372" customFormat="1" ht="15" customHeight="1">
      <c r="A369" s="710"/>
      <c r="B369" s="711"/>
      <c r="C369" s="712"/>
      <c r="D369" s="713"/>
      <c r="E369" s="713"/>
      <c r="F369" s="714"/>
      <c r="G369" s="378" t="s">
        <v>210</v>
      </c>
      <c r="H369" s="384" t="s">
        <v>88</v>
      </c>
      <c r="I369" s="385">
        <v>0.2</v>
      </c>
      <c r="J369" s="385">
        <f>D365*I369</f>
        <v>13.560000000000002</v>
      </c>
      <c r="K369" s="375"/>
      <c r="L369" s="387">
        <f t="shared" si="54"/>
        <v>0</v>
      </c>
    </row>
    <row r="370" spans="1:15" s="372" customFormat="1" ht="15" customHeight="1">
      <c r="A370" s="710"/>
      <c r="B370" s="711"/>
      <c r="C370" s="712"/>
      <c r="D370" s="713"/>
      <c r="E370" s="713"/>
      <c r="F370" s="714"/>
      <c r="G370" s="378" t="s">
        <v>211</v>
      </c>
      <c r="H370" s="384" t="s">
        <v>37</v>
      </c>
      <c r="I370" s="388">
        <f>0.85*4</f>
        <v>3.4</v>
      </c>
      <c r="J370" s="386">
        <f>D365*I370</f>
        <v>230.52000000000004</v>
      </c>
      <c r="K370" s="375"/>
      <c r="L370" s="387">
        <f t="shared" si="54"/>
        <v>0</v>
      </c>
    </row>
    <row r="371" spans="1:15" s="372" customFormat="1" ht="15" customHeight="1">
      <c r="A371" s="710"/>
      <c r="B371" s="711"/>
      <c r="C371" s="712"/>
      <c r="D371" s="713"/>
      <c r="E371" s="713"/>
      <c r="F371" s="714"/>
      <c r="G371" s="378" t="s">
        <v>301</v>
      </c>
      <c r="H371" s="384" t="s">
        <v>88</v>
      </c>
      <c r="I371" s="385">
        <v>3</v>
      </c>
      <c r="J371" s="385">
        <f>I371*D365</f>
        <v>203.40000000000003</v>
      </c>
      <c r="K371" s="385"/>
      <c r="L371" s="387">
        <f t="shared" si="54"/>
        <v>0</v>
      </c>
    </row>
    <row r="372" spans="1:15" s="372" customFormat="1" ht="15" customHeight="1">
      <c r="A372" s="710"/>
      <c r="B372" s="711"/>
      <c r="C372" s="712"/>
      <c r="D372" s="713"/>
      <c r="E372" s="713"/>
      <c r="F372" s="714"/>
      <c r="G372" s="378" t="s">
        <v>212</v>
      </c>
      <c r="H372" s="384" t="s">
        <v>88</v>
      </c>
      <c r="I372" s="388">
        <f>2.7*4</f>
        <v>10.8</v>
      </c>
      <c r="J372" s="386">
        <f>D365*I372</f>
        <v>732.24000000000012</v>
      </c>
      <c r="K372" s="375"/>
      <c r="L372" s="387">
        <f t="shared" si="54"/>
        <v>0</v>
      </c>
      <c r="O372" s="389"/>
    </row>
    <row r="373" spans="1:15" s="372" customFormat="1" ht="15" customHeight="1">
      <c r="A373" s="710"/>
      <c r="B373" s="711"/>
      <c r="C373" s="712"/>
      <c r="D373" s="713"/>
      <c r="E373" s="713"/>
      <c r="F373" s="714"/>
      <c r="G373" s="378" t="s">
        <v>213</v>
      </c>
      <c r="H373" s="384" t="s">
        <v>88</v>
      </c>
      <c r="I373" s="385">
        <f>1.7*4</f>
        <v>6.8</v>
      </c>
      <c r="J373" s="385">
        <f>I373*D365</f>
        <v>461.04000000000008</v>
      </c>
      <c r="K373" s="375"/>
      <c r="L373" s="387">
        <f t="shared" si="54"/>
        <v>0</v>
      </c>
      <c r="M373" s="390"/>
      <c r="N373" s="390"/>
      <c r="O373" s="389"/>
    </row>
    <row r="374" spans="1:15" s="372" customFormat="1" ht="15" customHeight="1">
      <c r="A374" s="710"/>
      <c r="B374" s="711"/>
      <c r="C374" s="712"/>
      <c r="D374" s="713"/>
      <c r="E374" s="713"/>
      <c r="F374" s="714"/>
      <c r="G374" s="378" t="s">
        <v>214</v>
      </c>
      <c r="H374" s="384" t="s">
        <v>15</v>
      </c>
      <c r="I374" s="388">
        <f>0.3*2</f>
        <v>0.6</v>
      </c>
      <c r="J374" s="386">
        <f>D365*I374</f>
        <v>40.680000000000007</v>
      </c>
      <c r="K374" s="375"/>
      <c r="L374" s="387">
        <f t="shared" si="54"/>
        <v>0</v>
      </c>
      <c r="M374" s="390"/>
      <c r="N374" s="390"/>
      <c r="O374" s="389"/>
    </row>
    <row r="375" spans="1:15" s="372" customFormat="1" ht="15" customHeight="1">
      <c r="A375" s="710"/>
      <c r="B375" s="711"/>
      <c r="C375" s="712"/>
      <c r="D375" s="713"/>
      <c r="E375" s="713"/>
      <c r="F375" s="714"/>
      <c r="G375" s="378" t="s">
        <v>215</v>
      </c>
      <c r="H375" s="384" t="s">
        <v>37</v>
      </c>
      <c r="I375" s="385">
        <f>1.1*2</f>
        <v>2.2000000000000002</v>
      </c>
      <c r="J375" s="385">
        <f>D365*I375</f>
        <v>149.16000000000003</v>
      </c>
      <c r="K375" s="385"/>
      <c r="L375" s="387">
        <f t="shared" si="54"/>
        <v>0</v>
      </c>
      <c r="M375" s="390"/>
      <c r="N375" s="390"/>
      <c r="O375" s="389"/>
    </row>
    <row r="376" spans="1:15" s="372" customFormat="1" ht="15">
      <c r="A376" s="674">
        <v>141</v>
      </c>
      <c r="B376" s="707" t="s">
        <v>259</v>
      </c>
      <c r="C376" s="708" t="s">
        <v>11</v>
      </c>
      <c r="D376" s="709">
        <f>D365*2</f>
        <v>135.60000000000002</v>
      </c>
      <c r="E376" s="709"/>
      <c r="F376" s="706">
        <f>ROUND(D376*E376,2)</f>
        <v>0</v>
      </c>
      <c r="G376" s="399" t="s">
        <v>260</v>
      </c>
      <c r="H376" s="401" t="s">
        <v>15</v>
      </c>
      <c r="I376" s="395">
        <v>3.2</v>
      </c>
      <c r="J376" s="395">
        <f>D376*I376</f>
        <v>433.92000000000007</v>
      </c>
      <c r="K376" s="395"/>
      <c r="L376" s="396">
        <f t="shared" si="54"/>
        <v>0</v>
      </c>
    </row>
    <row r="377" spans="1:15" s="372" customFormat="1" ht="15">
      <c r="A377" s="674"/>
      <c r="B377" s="707"/>
      <c r="C377" s="708"/>
      <c r="D377" s="709"/>
      <c r="E377" s="709"/>
      <c r="F377" s="706"/>
      <c r="G377" s="391" t="s">
        <v>298</v>
      </c>
      <c r="H377" s="401" t="s">
        <v>13</v>
      </c>
      <c r="I377" s="395">
        <v>0.15</v>
      </c>
      <c r="J377" s="395">
        <f>D376*I377</f>
        <v>20.340000000000003</v>
      </c>
      <c r="K377" s="392"/>
      <c r="L377" s="396">
        <f t="shared" si="54"/>
        <v>0</v>
      </c>
    </row>
    <row r="378" spans="1:15" s="372" customFormat="1" ht="15" customHeight="1">
      <c r="A378" s="674"/>
      <c r="B378" s="707"/>
      <c r="C378" s="708"/>
      <c r="D378" s="709"/>
      <c r="E378" s="709"/>
      <c r="F378" s="706"/>
      <c r="G378" s="399" t="s">
        <v>223</v>
      </c>
      <c r="H378" s="401" t="s">
        <v>15</v>
      </c>
      <c r="I378" s="395">
        <v>1.8</v>
      </c>
      <c r="J378" s="395">
        <f>D376*I378</f>
        <v>244.08000000000004</v>
      </c>
      <c r="K378" s="395"/>
      <c r="L378" s="396">
        <f t="shared" si="54"/>
        <v>0</v>
      </c>
    </row>
    <row r="379" spans="1:15" s="372" customFormat="1" ht="15" customHeight="1">
      <c r="A379" s="674"/>
      <c r="B379" s="707"/>
      <c r="C379" s="708"/>
      <c r="D379" s="709"/>
      <c r="E379" s="709"/>
      <c r="F379" s="706"/>
      <c r="G379" s="391" t="s">
        <v>298</v>
      </c>
      <c r="H379" s="384" t="s">
        <v>13</v>
      </c>
      <c r="I379" s="449">
        <v>0.15</v>
      </c>
      <c r="J379" s="449">
        <f>I379*D376</f>
        <v>20.340000000000003</v>
      </c>
      <c r="K379" s="392"/>
      <c r="L379" s="396">
        <f t="shared" si="54"/>
        <v>0</v>
      </c>
    </row>
    <row r="380" spans="1:15" s="397" customFormat="1" ht="30" customHeight="1">
      <c r="A380" s="702" t="s">
        <v>447</v>
      </c>
      <c r="B380" s="703" t="s">
        <v>288</v>
      </c>
      <c r="C380" s="704" t="s">
        <v>11</v>
      </c>
      <c r="D380" s="705">
        <f>D376</f>
        <v>135.60000000000002</v>
      </c>
      <c r="E380" s="705"/>
      <c r="F380" s="706">
        <f>ROUND(D380*E380,2)</f>
        <v>0</v>
      </c>
      <c r="G380" s="391" t="s">
        <v>298</v>
      </c>
      <c r="H380" s="394" t="s">
        <v>23</v>
      </c>
      <c r="I380" s="552">
        <v>1.2999999999999999E-2</v>
      </c>
      <c r="J380" s="395">
        <f>I380*D380</f>
        <v>1.7628000000000001</v>
      </c>
      <c r="K380" s="392"/>
      <c r="L380" s="396">
        <f t="shared" si="54"/>
        <v>0</v>
      </c>
      <c r="N380" s="398"/>
    </row>
    <row r="381" spans="1:15" s="397" customFormat="1" ht="15">
      <c r="A381" s="702"/>
      <c r="B381" s="703"/>
      <c r="C381" s="704"/>
      <c r="D381" s="705"/>
      <c r="E381" s="705"/>
      <c r="F381" s="706"/>
      <c r="G381" s="391" t="s">
        <v>296</v>
      </c>
      <c r="H381" s="384" t="s">
        <v>15</v>
      </c>
      <c r="I381" s="553">
        <v>3.5000000000000003E-2</v>
      </c>
      <c r="J381" s="400">
        <f>I381*D380</f>
        <v>4.7460000000000013</v>
      </c>
      <c r="K381" s="385"/>
      <c r="L381" s="396">
        <f t="shared" si="54"/>
        <v>0</v>
      </c>
      <c r="N381" s="398"/>
    </row>
    <row r="382" spans="1:15" s="397" customFormat="1" ht="15">
      <c r="A382" s="718">
        <v>143</v>
      </c>
      <c r="B382" s="707" t="s">
        <v>240</v>
      </c>
      <c r="C382" s="708" t="s">
        <v>11</v>
      </c>
      <c r="D382" s="720">
        <f>8.2*2*3</f>
        <v>49.199999999999996</v>
      </c>
      <c r="E382" s="709"/>
      <c r="F382" s="709">
        <f>ROUND(E382*D382,2)</f>
        <v>0</v>
      </c>
      <c r="G382" s="391" t="s">
        <v>298</v>
      </c>
      <c r="H382" s="384" t="s">
        <v>13</v>
      </c>
      <c r="I382" s="385">
        <v>0.2</v>
      </c>
      <c r="J382" s="385">
        <f>I382*D382</f>
        <v>9.84</v>
      </c>
      <c r="K382" s="392"/>
      <c r="L382" s="387">
        <f t="shared" si="54"/>
        <v>0</v>
      </c>
    </row>
    <row r="383" spans="1:15" s="397" customFormat="1" ht="15">
      <c r="A383" s="719"/>
      <c r="B383" s="707"/>
      <c r="C383" s="708"/>
      <c r="D383" s="720"/>
      <c r="E383" s="709"/>
      <c r="F383" s="709"/>
      <c r="G383" s="391" t="s">
        <v>307</v>
      </c>
      <c r="H383" s="384" t="s">
        <v>11</v>
      </c>
      <c r="I383" s="386">
        <v>1.03</v>
      </c>
      <c r="J383" s="386">
        <f>D382*I383</f>
        <v>50.675999999999995</v>
      </c>
      <c r="K383" s="375"/>
      <c r="L383" s="387">
        <f t="shared" si="54"/>
        <v>0</v>
      </c>
    </row>
    <row r="384" spans="1:15" s="397" customFormat="1" ht="15">
      <c r="A384" s="719"/>
      <c r="B384" s="707"/>
      <c r="C384" s="708"/>
      <c r="D384" s="720"/>
      <c r="E384" s="709"/>
      <c r="F384" s="709"/>
      <c r="G384" s="391" t="s">
        <v>303</v>
      </c>
      <c r="H384" s="384" t="s">
        <v>15</v>
      </c>
      <c r="I384" s="385">
        <v>6.5</v>
      </c>
      <c r="J384" s="385">
        <f>D382*I384</f>
        <v>319.79999999999995</v>
      </c>
      <c r="K384" s="375"/>
      <c r="L384" s="387">
        <f t="shared" si="54"/>
        <v>0</v>
      </c>
    </row>
    <row r="385" spans="1:12" s="397" customFormat="1" ht="15">
      <c r="A385" s="719"/>
      <c r="B385" s="707"/>
      <c r="C385" s="708"/>
      <c r="D385" s="720"/>
      <c r="E385" s="709"/>
      <c r="F385" s="709"/>
      <c r="G385" s="391" t="s">
        <v>302</v>
      </c>
      <c r="H385" s="384" t="s">
        <v>15</v>
      </c>
      <c r="I385" s="386">
        <v>0.45</v>
      </c>
      <c r="J385" s="386">
        <f>D382*I385</f>
        <v>22.139999999999997</v>
      </c>
      <c r="K385" s="385"/>
      <c r="L385" s="387">
        <f t="shared" si="54"/>
        <v>0</v>
      </c>
    </row>
    <row r="386" spans="1:12" s="397" customFormat="1" ht="15">
      <c r="A386" s="718">
        <f>A382+1</f>
        <v>144</v>
      </c>
      <c r="B386" s="707" t="s">
        <v>280</v>
      </c>
      <c r="C386" s="708" t="s">
        <v>11</v>
      </c>
      <c r="D386" s="720">
        <f>(3.2*2*3)</f>
        <v>19.200000000000003</v>
      </c>
      <c r="E386" s="709"/>
      <c r="F386" s="709">
        <f>ROUND(E386*D386,2)</f>
        <v>0</v>
      </c>
      <c r="G386" s="391" t="s">
        <v>298</v>
      </c>
      <c r="H386" s="384" t="s">
        <v>13</v>
      </c>
      <c r="I386" s="385">
        <v>0.2</v>
      </c>
      <c r="J386" s="385">
        <f>I386*D386</f>
        <v>3.8400000000000007</v>
      </c>
      <c r="K386" s="392"/>
      <c r="L386" s="387">
        <f t="shared" si="54"/>
        <v>0</v>
      </c>
    </row>
    <row r="387" spans="1:12" s="397" customFormat="1" ht="15">
      <c r="A387" s="719"/>
      <c r="B387" s="707"/>
      <c r="C387" s="708"/>
      <c r="D387" s="720"/>
      <c r="E387" s="709"/>
      <c r="F387" s="709"/>
      <c r="G387" s="391" t="s">
        <v>304</v>
      </c>
      <c r="H387" s="384" t="s">
        <v>11</v>
      </c>
      <c r="I387" s="386">
        <v>1.03</v>
      </c>
      <c r="J387" s="386">
        <f>D386*I387</f>
        <v>19.776000000000003</v>
      </c>
      <c r="K387" s="375"/>
      <c r="L387" s="387">
        <f t="shared" si="54"/>
        <v>0</v>
      </c>
    </row>
    <row r="388" spans="1:12" s="397" customFormat="1" ht="15">
      <c r="A388" s="719"/>
      <c r="B388" s="707"/>
      <c r="C388" s="708"/>
      <c r="D388" s="720"/>
      <c r="E388" s="709"/>
      <c r="F388" s="709"/>
      <c r="G388" s="391" t="s">
        <v>303</v>
      </c>
      <c r="H388" s="384" t="s">
        <v>15</v>
      </c>
      <c r="I388" s="385">
        <v>6.5</v>
      </c>
      <c r="J388" s="385">
        <f>D386*I388</f>
        <v>124.80000000000001</v>
      </c>
      <c r="K388" s="375"/>
      <c r="L388" s="387">
        <f t="shared" si="54"/>
        <v>0</v>
      </c>
    </row>
    <row r="389" spans="1:12" s="397" customFormat="1" ht="15">
      <c r="A389" s="719"/>
      <c r="B389" s="707"/>
      <c r="C389" s="708"/>
      <c r="D389" s="720"/>
      <c r="E389" s="709"/>
      <c r="F389" s="709"/>
      <c r="G389" s="391" t="s">
        <v>302</v>
      </c>
      <c r="H389" s="384" t="s">
        <v>15</v>
      </c>
      <c r="I389" s="386">
        <v>0.45</v>
      </c>
      <c r="J389" s="386">
        <f>D386*I389</f>
        <v>8.6400000000000023</v>
      </c>
      <c r="K389" s="385"/>
      <c r="L389" s="387">
        <f t="shared" si="54"/>
        <v>0</v>
      </c>
    </row>
    <row r="390" spans="1:12" s="393" customFormat="1" ht="29.25" customHeight="1">
      <c r="A390" s="702" t="s">
        <v>448</v>
      </c>
      <c r="B390" s="707" t="s">
        <v>85</v>
      </c>
      <c r="C390" s="708" t="s">
        <v>11</v>
      </c>
      <c r="D390" s="709">
        <v>33.11</v>
      </c>
      <c r="E390" s="705"/>
      <c r="F390" s="706">
        <f>ROUND(D390*E390,2)</f>
        <v>0</v>
      </c>
      <c r="G390" s="452"/>
      <c r="H390" s="384"/>
      <c r="I390" s="392"/>
      <c r="J390" s="392"/>
      <c r="K390" s="392"/>
      <c r="L390" s="396"/>
    </row>
    <row r="391" spans="1:12" s="393" customFormat="1" ht="15">
      <c r="A391" s="702"/>
      <c r="B391" s="707"/>
      <c r="C391" s="708"/>
      <c r="D391" s="709"/>
      <c r="E391" s="705"/>
      <c r="F391" s="706"/>
      <c r="G391" s="453" t="s">
        <v>306</v>
      </c>
      <c r="H391" s="384" t="s">
        <v>18</v>
      </c>
      <c r="I391" s="392">
        <v>1.1000000000000001</v>
      </c>
      <c r="J391" s="392">
        <f>D390*I391</f>
        <v>36.420999999999999</v>
      </c>
      <c r="K391" s="454"/>
      <c r="L391" s="396">
        <f t="shared" ref="L391:L401" si="55">ROUND(K391*J391,2)</f>
        <v>0</v>
      </c>
    </row>
    <row r="392" spans="1:12" s="393" customFormat="1" ht="15">
      <c r="A392" s="702"/>
      <c r="B392" s="707"/>
      <c r="C392" s="708"/>
      <c r="D392" s="709"/>
      <c r="E392" s="705"/>
      <c r="F392" s="706"/>
      <c r="G392" s="399" t="s">
        <v>87</v>
      </c>
      <c r="H392" s="384" t="s">
        <v>88</v>
      </c>
      <c r="I392" s="392">
        <v>0.95</v>
      </c>
      <c r="J392" s="392">
        <f>D390*I392</f>
        <v>31.454499999999999</v>
      </c>
      <c r="K392" s="454"/>
      <c r="L392" s="396">
        <f t="shared" si="55"/>
        <v>0</v>
      </c>
    </row>
    <row r="393" spans="1:12" s="393" customFormat="1" ht="15">
      <c r="A393" s="702"/>
      <c r="B393" s="707"/>
      <c r="C393" s="708"/>
      <c r="D393" s="709"/>
      <c r="E393" s="705"/>
      <c r="F393" s="706"/>
      <c r="G393" s="399" t="s">
        <v>89</v>
      </c>
      <c r="H393" s="384" t="s">
        <v>88</v>
      </c>
      <c r="I393" s="392">
        <v>0.95</v>
      </c>
      <c r="J393" s="392">
        <f>D390*I393</f>
        <v>31.454499999999999</v>
      </c>
      <c r="K393" s="454"/>
      <c r="L393" s="396">
        <f t="shared" si="55"/>
        <v>0</v>
      </c>
    </row>
    <row r="394" spans="1:12" s="393" customFormat="1" ht="15">
      <c r="A394" s="702"/>
      <c r="B394" s="707"/>
      <c r="C394" s="708"/>
      <c r="D394" s="709"/>
      <c r="E394" s="705"/>
      <c r="F394" s="706"/>
      <c r="G394" s="399" t="s">
        <v>90</v>
      </c>
      <c r="H394" s="384" t="s">
        <v>88</v>
      </c>
      <c r="I394" s="392">
        <v>1.9</v>
      </c>
      <c r="J394" s="392">
        <f>D390*I394</f>
        <v>62.908999999999999</v>
      </c>
      <c r="K394" s="454"/>
      <c r="L394" s="396">
        <f t="shared" si="55"/>
        <v>0</v>
      </c>
    </row>
    <row r="395" spans="1:12" s="393" customFormat="1" ht="15">
      <c r="A395" s="702"/>
      <c r="B395" s="707"/>
      <c r="C395" s="708"/>
      <c r="D395" s="709"/>
      <c r="E395" s="705"/>
      <c r="F395" s="706"/>
      <c r="G395" s="399" t="s">
        <v>91</v>
      </c>
      <c r="H395" s="384" t="s">
        <v>92</v>
      </c>
      <c r="I395" s="392">
        <v>1.08</v>
      </c>
      <c r="J395" s="392">
        <f>I395*D390</f>
        <v>35.758800000000001</v>
      </c>
      <c r="K395" s="454"/>
      <c r="L395" s="396">
        <f t="shared" si="55"/>
        <v>0</v>
      </c>
    </row>
    <row r="396" spans="1:12" s="393" customFormat="1" ht="15">
      <c r="A396" s="702"/>
      <c r="B396" s="707"/>
      <c r="C396" s="708"/>
      <c r="D396" s="709"/>
      <c r="E396" s="705"/>
      <c r="F396" s="706"/>
      <c r="G396" s="399" t="s">
        <v>93</v>
      </c>
      <c r="H396" s="384" t="s">
        <v>88</v>
      </c>
      <c r="I396" s="392">
        <v>1.5</v>
      </c>
      <c r="J396" s="392">
        <f>D390*I396</f>
        <v>49.664999999999999</v>
      </c>
      <c r="K396" s="454"/>
      <c r="L396" s="396">
        <f t="shared" si="55"/>
        <v>0</v>
      </c>
    </row>
    <row r="397" spans="1:12" s="393" customFormat="1" ht="15">
      <c r="A397" s="702"/>
      <c r="B397" s="707"/>
      <c r="C397" s="708"/>
      <c r="D397" s="709"/>
      <c r="E397" s="705"/>
      <c r="F397" s="706"/>
      <c r="G397" s="399" t="s">
        <v>94</v>
      </c>
      <c r="H397" s="384" t="s">
        <v>88</v>
      </c>
      <c r="I397" s="392">
        <v>1.5</v>
      </c>
      <c r="J397" s="392">
        <f>D390*I397</f>
        <v>49.664999999999999</v>
      </c>
      <c r="K397" s="454"/>
      <c r="L397" s="396">
        <f t="shared" si="55"/>
        <v>0</v>
      </c>
    </row>
    <row r="398" spans="1:12" s="393" customFormat="1" ht="15">
      <c r="A398" s="702"/>
      <c r="B398" s="707"/>
      <c r="C398" s="708"/>
      <c r="D398" s="709"/>
      <c r="E398" s="705"/>
      <c r="F398" s="706"/>
      <c r="G398" s="399" t="s">
        <v>95</v>
      </c>
      <c r="H398" s="384" t="s">
        <v>88</v>
      </c>
      <c r="I398" s="392">
        <v>1.5</v>
      </c>
      <c r="J398" s="392">
        <f>D390*I398</f>
        <v>49.664999999999999</v>
      </c>
      <c r="K398" s="454"/>
      <c r="L398" s="396">
        <f t="shared" si="55"/>
        <v>0</v>
      </c>
    </row>
    <row r="399" spans="1:12" s="393" customFormat="1" ht="15">
      <c r="A399" s="702"/>
      <c r="B399" s="707"/>
      <c r="C399" s="708"/>
      <c r="D399" s="709"/>
      <c r="E399" s="705"/>
      <c r="F399" s="706"/>
      <c r="G399" s="399" t="s">
        <v>309</v>
      </c>
      <c r="H399" s="384" t="s">
        <v>88</v>
      </c>
      <c r="I399" s="392"/>
      <c r="J399" s="392">
        <v>210</v>
      </c>
      <c r="K399" s="454"/>
      <c r="L399" s="396">
        <f t="shared" si="55"/>
        <v>0</v>
      </c>
    </row>
    <row r="400" spans="1:12" s="393" customFormat="1" ht="15">
      <c r="A400" s="702"/>
      <c r="B400" s="707"/>
      <c r="C400" s="708"/>
      <c r="D400" s="709"/>
      <c r="E400" s="705"/>
      <c r="F400" s="706"/>
      <c r="G400" s="399" t="s">
        <v>96</v>
      </c>
      <c r="H400" s="384" t="s">
        <v>88</v>
      </c>
      <c r="I400" s="392">
        <v>1.5</v>
      </c>
      <c r="J400" s="392">
        <f>D390*I400</f>
        <v>49.664999999999999</v>
      </c>
      <c r="K400" s="392"/>
      <c r="L400" s="396">
        <f t="shared" si="55"/>
        <v>0</v>
      </c>
    </row>
    <row r="401" spans="1:15" s="393" customFormat="1" ht="30">
      <c r="A401" s="702"/>
      <c r="B401" s="707"/>
      <c r="C401" s="708"/>
      <c r="D401" s="709"/>
      <c r="E401" s="705"/>
      <c r="F401" s="706"/>
      <c r="G401" s="378" t="s">
        <v>301</v>
      </c>
      <c r="H401" s="455" t="s">
        <v>286</v>
      </c>
      <c r="I401" s="392">
        <v>3</v>
      </c>
      <c r="J401" s="392">
        <f>I401*J399</f>
        <v>630</v>
      </c>
      <c r="K401" s="385"/>
      <c r="L401" s="396">
        <f t="shared" si="55"/>
        <v>0</v>
      </c>
    </row>
    <row r="402" spans="1:15" s="372" customFormat="1" ht="15" customHeight="1">
      <c r="A402" s="403"/>
      <c r="B402" s="362" t="s">
        <v>283</v>
      </c>
      <c r="C402" s="410"/>
      <c r="D402" s="411"/>
      <c r="E402" s="440"/>
      <c r="F402" s="440"/>
      <c r="G402" s="442"/>
      <c r="H402" s="438"/>
      <c r="I402" s="439"/>
      <c r="J402" s="439"/>
      <c r="K402" s="439"/>
      <c r="L402" s="371"/>
    </row>
    <row r="403" spans="1:15" ht="17.25" customHeight="1">
      <c r="A403" s="361">
        <v>146</v>
      </c>
      <c r="B403" s="362" t="s">
        <v>272</v>
      </c>
      <c r="C403" s="412" t="s">
        <v>151</v>
      </c>
      <c r="D403" s="411">
        <v>3</v>
      </c>
      <c r="E403" s="411"/>
      <c r="F403" s="411">
        <f>D403*E403</f>
        <v>0</v>
      </c>
      <c r="G403" s="365"/>
      <c r="H403" s="365"/>
      <c r="I403" s="365"/>
      <c r="J403" s="416"/>
      <c r="K403" s="416"/>
      <c r="L403" s="417"/>
    </row>
    <row r="404" spans="1:15" s="372" customFormat="1" ht="15" customHeight="1">
      <c r="A404" s="361">
        <v>147</v>
      </c>
      <c r="B404" s="362" t="s">
        <v>31</v>
      </c>
      <c r="C404" s="410"/>
      <c r="D404" s="411"/>
      <c r="E404" s="440"/>
      <c r="F404" s="440"/>
      <c r="G404" s="441"/>
      <c r="H404" s="438"/>
      <c r="I404" s="439"/>
      <c r="J404" s="439"/>
      <c r="K404" s="439"/>
      <c r="L404" s="371"/>
    </row>
    <row r="405" spans="1:15" s="372" customFormat="1" ht="15" customHeight="1">
      <c r="A405" s="361">
        <v>148</v>
      </c>
      <c r="B405" s="362" t="s">
        <v>241</v>
      </c>
      <c r="C405" s="410" t="s">
        <v>40</v>
      </c>
      <c r="D405" s="411">
        <f>2.15+1.89+13.37+15.7</f>
        <v>33.11</v>
      </c>
      <c r="E405" s="422"/>
      <c r="F405" s="423">
        <f>ROUND(D405*E405,2)</f>
        <v>0</v>
      </c>
      <c r="G405" s="442"/>
      <c r="H405" s="438"/>
      <c r="I405" s="439"/>
      <c r="J405" s="439"/>
      <c r="K405" s="439"/>
      <c r="L405" s="371"/>
    </row>
    <row r="406" spans="1:15" s="372" customFormat="1" ht="15" customHeight="1">
      <c r="A406" s="361">
        <v>149</v>
      </c>
      <c r="B406" s="362" t="s">
        <v>216</v>
      </c>
      <c r="C406" s="410" t="s">
        <v>22</v>
      </c>
      <c r="D406" s="411">
        <f>(7.57+2.72+2.74)*2</f>
        <v>26.060000000000002</v>
      </c>
      <c r="E406" s="422"/>
      <c r="F406" s="423">
        <f>ROUND(D406*E406,2)</f>
        <v>0</v>
      </c>
      <c r="G406" s="442"/>
      <c r="H406" s="438"/>
      <c r="I406" s="439"/>
      <c r="J406" s="439"/>
      <c r="K406" s="439"/>
      <c r="L406" s="371"/>
    </row>
    <row r="407" spans="1:15" s="372" customFormat="1" ht="15" customHeight="1">
      <c r="A407" s="361">
        <v>150</v>
      </c>
      <c r="B407" s="362" t="s">
        <v>242</v>
      </c>
      <c r="C407" s="410" t="s">
        <v>40</v>
      </c>
      <c r="D407" s="411">
        <f>D405</f>
        <v>33.11</v>
      </c>
      <c r="E407" s="422"/>
      <c r="F407" s="423">
        <f>ROUND(D407*E407,2)</f>
        <v>0</v>
      </c>
      <c r="G407" s="391" t="s">
        <v>298</v>
      </c>
      <c r="H407" s="401" t="s">
        <v>13</v>
      </c>
      <c r="I407" s="395">
        <v>0.15</v>
      </c>
      <c r="J407" s="395">
        <f>D407*I407</f>
        <v>4.9664999999999999</v>
      </c>
      <c r="K407" s="392"/>
      <c r="L407" s="396">
        <f t="shared" ref="L407" si="56">ROUND(K407*J407,2)</f>
        <v>0</v>
      </c>
    </row>
    <row r="408" spans="1:15" s="372" customFormat="1" ht="15" customHeight="1">
      <c r="A408" s="677">
        <v>151</v>
      </c>
      <c r="B408" s="721" t="s">
        <v>246</v>
      </c>
      <c r="C408" s="716" t="s">
        <v>40</v>
      </c>
      <c r="D408" s="717">
        <f>D405+(D406*0.2)</f>
        <v>38.322000000000003</v>
      </c>
      <c r="E408" s="709"/>
      <c r="F408" s="706">
        <f>ROUND(D408*E408,2)</f>
        <v>0</v>
      </c>
      <c r="G408" s="442" t="s">
        <v>310</v>
      </c>
      <c r="H408" s="438" t="s">
        <v>40</v>
      </c>
      <c r="I408" s="439">
        <v>1.01</v>
      </c>
      <c r="J408" s="439">
        <f>D408*I408</f>
        <v>38.705220000000004</v>
      </c>
      <c r="K408" s="439"/>
      <c r="L408" s="371">
        <f>J408*K408</f>
        <v>0</v>
      </c>
    </row>
    <row r="409" spans="1:15" s="372" customFormat="1" ht="15" customHeight="1">
      <c r="A409" s="677"/>
      <c r="B409" s="721"/>
      <c r="C409" s="716"/>
      <c r="D409" s="717"/>
      <c r="E409" s="709"/>
      <c r="F409" s="706"/>
      <c r="G409" s="442" t="s">
        <v>311</v>
      </c>
      <c r="H409" s="438" t="s">
        <v>312</v>
      </c>
      <c r="I409" s="439">
        <v>0.4</v>
      </c>
      <c r="J409" s="439">
        <f>I409*D408</f>
        <v>15.328800000000001</v>
      </c>
      <c r="K409" s="439"/>
      <c r="L409" s="371">
        <f>J409*K409</f>
        <v>0</v>
      </c>
    </row>
    <row r="410" spans="1:15" s="372" customFormat="1" ht="15" customHeight="1">
      <c r="A410" s="677">
        <v>152</v>
      </c>
      <c r="B410" s="715" t="s">
        <v>245</v>
      </c>
      <c r="C410" s="716" t="s">
        <v>22</v>
      </c>
      <c r="D410" s="717">
        <f>15.5+4.75+5+2.18+2.18</f>
        <v>29.61</v>
      </c>
      <c r="E410" s="709"/>
      <c r="F410" s="706">
        <f>ROUND(D410*E410,2)</f>
        <v>0</v>
      </c>
      <c r="G410" s="363" t="s">
        <v>293</v>
      </c>
      <c r="H410" s="373" t="s">
        <v>22</v>
      </c>
      <c r="I410" s="374">
        <v>1.01</v>
      </c>
      <c r="J410" s="374">
        <f>10.93*I410</f>
        <v>11.039299999999999</v>
      </c>
      <c r="K410" s="375"/>
      <c r="L410" s="387">
        <f t="shared" ref="L410" si="57">ROUND(K410*J410,2)</f>
        <v>0</v>
      </c>
    </row>
    <row r="411" spans="1:15" s="372" customFormat="1" ht="15" customHeight="1">
      <c r="A411" s="677"/>
      <c r="B411" s="715"/>
      <c r="C411" s="716"/>
      <c r="D411" s="717"/>
      <c r="E411" s="709"/>
      <c r="F411" s="706"/>
      <c r="G411" s="363" t="s">
        <v>295</v>
      </c>
      <c r="H411" s="376" t="s">
        <v>294</v>
      </c>
      <c r="I411" s="376">
        <v>0.1</v>
      </c>
      <c r="J411" s="374">
        <f>I411*D410</f>
        <v>2.9610000000000003</v>
      </c>
      <c r="K411" s="375"/>
      <c r="L411" s="367">
        <f>J411*K411</f>
        <v>0</v>
      </c>
    </row>
    <row r="412" spans="1:15" s="372" customFormat="1" ht="15" customHeight="1">
      <c r="A412" s="674">
        <v>153</v>
      </c>
      <c r="B412" s="675" t="s">
        <v>278</v>
      </c>
      <c r="C412" s="700" t="s">
        <v>40</v>
      </c>
      <c r="D412" s="701">
        <v>84.131</v>
      </c>
      <c r="E412" s="701"/>
      <c r="F412" s="701">
        <f>D412*E412</f>
        <v>0</v>
      </c>
      <c r="G412" s="402" t="s">
        <v>308</v>
      </c>
      <c r="H412" s="373" t="s">
        <v>147</v>
      </c>
      <c r="I412" s="374">
        <v>1.1000000000000001</v>
      </c>
      <c r="J412" s="374">
        <f>D412*I412</f>
        <v>92.544100000000014</v>
      </c>
      <c r="K412" s="375"/>
      <c r="L412" s="387">
        <f t="shared" ref="L412:L413" si="58">ROUND(K412*J412,2)</f>
        <v>0</v>
      </c>
      <c r="O412" s="389"/>
    </row>
    <row r="413" spans="1:15" s="372" customFormat="1" ht="15" customHeight="1">
      <c r="A413" s="674"/>
      <c r="B413" s="675"/>
      <c r="C413" s="700"/>
      <c r="D413" s="701"/>
      <c r="E413" s="701"/>
      <c r="F413" s="701"/>
      <c r="G413" s="402" t="s">
        <v>220</v>
      </c>
      <c r="H413" s="373" t="s">
        <v>22</v>
      </c>
      <c r="I413" s="374">
        <v>1.01</v>
      </c>
      <c r="J413" s="374">
        <f>10.93*I413</f>
        <v>11.039299999999999</v>
      </c>
      <c r="K413" s="375"/>
      <c r="L413" s="387">
        <f t="shared" si="58"/>
        <v>0</v>
      </c>
      <c r="O413" s="389"/>
    </row>
    <row r="414" spans="1:15" s="372" customFormat="1" ht="15" customHeight="1">
      <c r="A414" s="677">
        <v>154</v>
      </c>
      <c r="B414" s="721" t="s">
        <v>246</v>
      </c>
      <c r="C414" s="716" t="s">
        <v>40</v>
      </c>
      <c r="D414" s="717">
        <f>D405</f>
        <v>33.11</v>
      </c>
      <c r="E414" s="709"/>
      <c r="F414" s="706">
        <f>ROUND(D414*E414,2)</f>
        <v>0</v>
      </c>
      <c r="G414" s="442" t="s">
        <v>310</v>
      </c>
      <c r="H414" s="438" t="s">
        <v>40</v>
      </c>
      <c r="I414" s="439">
        <v>1.01</v>
      </c>
      <c r="J414" s="439">
        <f>D414*I414</f>
        <v>33.441099999999999</v>
      </c>
      <c r="K414" s="439"/>
      <c r="L414" s="371">
        <f>J414*K414</f>
        <v>0</v>
      </c>
    </row>
    <row r="415" spans="1:15" s="372" customFormat="1" ht="15" customHeight="1">
      <c r="A415" s="677"/>
      <c r="B415" s="721"/>
      <c r="C415" s="716"/>
      <c r="D415" s="717"/>
      <c r="E415" s="709"/>
      <c r="F415" s="706"/>
      <c r="G415" s="442" t="s">
        <v>311</v>
      </c>
      <c r="H415" s="438" t="s">
        <v>312</v>
      </c>
      <c r="I415" s="439">
        <v>0.4</v>
      </c>
      <c r="J415" s="439">
        <f>I415*D414</f>
        <v>13.244</v>
      </c>
      <c r="K415" s="439"/>
      <c r="L415" s="371">
        <f>J415*K415</f>
        <v>0</v>
      </c>
    </row>
    <row r="416" spans="1:15" s="372" customFormat="1" ht="15" customHeight="1">
      <c r="A416" s="677">
        <v>155</v>
      </c>
      <c r="B416" s="715" t="s">
        <v>245</v>
      </c>
      <c r="C416" s="716" t="s">
        <v>22</v>
      </c>
      <c r="D416" s="717">
        <f>15.5+4.75+5+2.18+2.18</f>
        <v>29.61</v>
      </c>
      <c r="E416" s="709"/>
      <c r="F416" s="706">
        <f>ROUND(D416*E416,2)</f>
        <v>0</v>
      </c>
      <c r="G416" s="363" t="s">
        <v>293</v>
      </c>
      <c r="H416" s="373" t="s">
        <v>22</v>
      </c>
      <c r="I416" s="374">
        <v>1.01</v>
      </c>
      <c r="J416" s="374">
        <f>10.93*I416</f>
        <v>11.039299999999999</v>
      </c>
      <c r="K416" s="375"/>
      <c r="L416" s="387">
        <f t="shared" ref="L416" si="59">ROUND(K416*J416,2)</f>
        <v>0</v>
      </c>
    </row>
    <row r="417" spans="1:15" s="372" customFormat="1" ht="15" customHeight="1">
      <c r="A417" s="677"/>
      <c r="B417" s="715"/>
      <c r="C417" s="716"/>
      <c r="D417" s="717"/>
      <c r="E417" s="709"/>
      <c r="F417" s="706"/>
      <c r="G417" s="363" t="s">
        <v>295</v>
      </c>
      <c r="H417" s="376" t="s">
        <v>294</v>
      </c>
      <c r="I417" s="376">
        <v>0.1</v>
      </c>
      <c r="J417" s="374">
        <f>I417*D416</f>
        <v>2.9610000000000003</v>
      </c>
      <c r="K417" s="375"/>
      <c r="L417" s="367">
        <f>J417*K417</f>
        <v>0</v>
      </c>
    </row>
    <row r="418" spans="1:15" s="397" customFormat="1" ht="15">
      <c r="A418" s="718">
        <v>156</v>
      </c>
      <c r="B418" s="707" t="s">
        <v>236</v>
      </c>
      <c r="C418" s="708" t="s">
        <v>11</v>
      </c>
      <c r="D418" s="720">
        <f>3.8*2</f>
        <v>7.6</v>
      </c>
      <c r="E418" s="709"/>
      <c r="F418" s="709">
        <f>ROUND(E418*D418,2)</f>
        <v>0</v>
      </c>
      <c r="G418" s="391" t="s">
        <v>298</v>
      </c>
      <c r="H418" s="384" t="s">
        <v>13</v>
      </c>
      <c r="I418" s="385">
        <v>0.2</v>
      </c>
      <c r="J418" s="385">
        <f>I418*D418</f>
        <v>1.52</v>
      </c>
      <c r="K418" s="392"/>
      <c r="L418" s="387">
        <f t="shared" ref="L418:L421" si="60">ROUND(K418*J418,2)</f>
        <v>0</v>
      </c>
    </row>
    <row r="419" spans="1:15" s="397" customFormat="1" ht="15">
      <c r="A419" s="719"/>
      <c r="B419" s="707"/>
      <c r="C419" s="708"/>
      <c r="D419" s="720"/>
      <c r="E419" s="709"/>
      <c r="F419" s="709"/>
      <c r="G419" s="391" t="s">
        <v>307</v>
      </c>
      <c r="H419" s="384" t="s">
        <v>11</v>
      </c>
      <c r="I419" s="386">
        <v>1.03</v>
      </c>
      <c r="J419" s="386">
        <f>D418*I419</f>
        <v>7.8279999999999994</v>
      </c>
      <c r="K419" s="375"/>
      <c r="L419" s="387">
        <f t="shared" si="60"/>
        <v>0</v>
      </c>
    </row>
    <row r="420" spans="1:15" s="397" customFormat="1" ht="15">
      <c r="A420" s="719"/>
      <c r="B420" s="707"/>
      <c r="C420" s="708"/>
      <c r="D420" s="720"/>
      <c r="E420" s="709"/>
      <c r="F420" s="709"/>
      <c r="G420" s="391" t="s">
        <v>303</v>
      </c>
      <c r="H420" s="384" t="s">
        <v>15</v>
      </c>
      <c r="I420" s="385">
        <v>6.5</v>
      </c>
      <c r="J420" s="385">
        <f>D418*I420</f>
        <v>49.4</v>
      </c>
      <c r="K420" s="375"/>
      <c r="L420" s="387">
        <f t="shared" si="60"/>
        <v>0</v>
      </c>
    </row>
    <row r="421" spans="1:15" s="397" customFormat="1" ht="15">
      <c r="A421" s="719"/>
      <c r="B421" s="707"/>
      <c r="C421" s="708"/>
      <c r="D421" s="720"/>
      <c r="E421" s="709"/>
      <c r="F421" s="709"/>
      <c r="G421" s="391" t="s">
        <v>302</v>
      </c>
      <c r="H421" s="384" t="s">
        <v>15</v>
      </c>
      <c r="I421" s="386">
        <v>0.45</v>
      </c>
      <c r="J421" s="386">
        <f>D418*I421</f>
        <v>3.42</v>
      </c>
      <c r="K421" s="385"/>
      <c r="L421" s="387">
        <f t="shared" si="60"/>
        <v>0</v>
      </c>
    </row>
    <row r="422" spans="1:15" s="372" customFormat="1" ht="15" customHeight="1">
      <c r="A422" s="361"/>
      <c r="B422" s="362" t="s">
        <v>20</v>
      </c>
      <c r="C422" s="410"/>
      <c r="D422" s="411"/>
      <c r="E422" s="440"/>
      <c r="F422" s="440"/>
      <c r="G422" s="441"/>
      <c r="H422" s="438"/>
      <c r="I422" s="439"/>
      <c r="J422" s="439"/>
      <c r="K422" s="439"/>
      <c r="L422" s="371"/>
    </row>
    <row r="423" spans="1:15" s="372" customFormat="1" ht="15" customHeight="1">
      <c r="A423" s="403">
        <v>157</v>
      </c>
      <c r="B423" s="409" t="s">
        <v>279</v>
      </c>
      <c r="C423" s="412" t="s">
        <v>40</v>
      </c>
      <c r="D423" s="411">
        <f>(7.57+1.9+2.2+2.2+2.2+2.2)*3</f>
        <v>54.81</v>
      </c>
      <c r="E423" s="422"/>
      <c r="F423" s="423">
        <f>ROUND(D423*E423,2)</f>
        <v>0</v>
      </c>
      <c r="G423" s="363"/>
      <c r="H423" s="438"/>
      <c r="I423" s="439"/>
      <c r="J423" s="439"/>
      <c r="K423" s="407"/>
      <c r="L423" s="408"/>
    </row>
    <row r="424" spans="1:15" ht="15" customHeight="1">
      <c r="A424" s="710">
        <v>158</v>
      </c>
      <c r="B424" s="711" t="s">
        <v>207</v>
      </c>
      <c r="C424" s="712" t="s">
        <v>11</v>
      </c>
      <c r="D424" s="713">
        <f>22.6*3</f>
        <v>67.800000000000011</v>
      </c>
      <c r="E424" s="713"/>
      <c r="F424" s="714">
        <v>5414.5</v>
      </c>
      <c r="G424" s="378" t="s">
        <v>297</v>
      </c>
      <c r="H424" s="384" t="s">
        <v>11</v>
      </c>
      <c r="I424" s="385">
        <f>1.05*4</f>
        <v>4.2</v>
      </c>
      <c r="J424" s="385">
        <f>D424*I424</f>
        <v>284.76000000000005</v>
      </c>
      <c r="K424" s="386"/>
      <c r="L424" s="387">
        <f t="shared" ref="L424:L448" si="61">ROUND(K424*J424,2)</f>
        <v>0</v>
      </c>
    </row>
    <row r="425" spans="1:15" s="372" customFormat="1" ht="15" customHeight="1">
      <c r="A425" s="710"/>
      <c r="B425" s="711"/>
      <c r="C425" s="712"/>
      <c r="D425" s="713"/>
      <c r="E425" s="713"/>
      <c r="F425" s="714"/>
      <c r="G425" s="378" t="s">
        <v>208</v>
      </c>
      <c r="H425" s="384" t="s">
        <v>37</v>
      </c>
      <c r="I425" s="388">
        <v>2</v>
      </c>
      <c r="J425" s="386">
        <f>I425*D424</f>
        <v>135.60000000000002</v>
      </c>
      <c r="K425" s="375"/>
      <c r="L425" s="387">
        <f t="shared" si="61"/>
        <v>0</v>
      </c>
    </row>
    <row r="426" spans="1:15" s="372" customFormat="1" ht="15" customHeight="1">
      <c r="A426" s="710"/>
      <c r="B426" s="711"/>
      <c r="C426" s="712"/>
      <c r="D426" s="713"/>
      <c r="E426" s="713"/>
      <c r="F426" s="714"/>
      <c r="G426" s="378" t="s">
        <v>209</v>
      </c>
      <c r="H426" s="384" t="s">
        <v>37</v>
      </c>
      <c r="I426" s="385">
        <v>0.8</v>
      </c>
      <c r="J426" s="385">
        <f>I426*D424</f>
        <v>54.240000000000009</v>
      </c>
      <c r="K426" s="375"/>
      <c r="L426" s="387">
        <f t="shared" si="61"/>
        <v>0</v>
      </c>
    </row>
    <row r="427" spans="1:15" s="372" customFormat="1" ht="15" customHeight="1">
      <c r="A427" s="710"/>
      <c r="B427" s="711"/>
      <c r="C427" s="712"/>
      <c r="D427" s="713"/>
      <c r="E427" s="713"/>
      <c r="F427" s="714"/>
      <c r="G427" s="378" t="s">
        <v>305</v>
      </c>
      <c r="H427" s="384" t="s">
        <v>88</v>
      </c>
      <c r="I427" s="388">
        <v>1.32</v>
      </c>
      <c r="J427" s="386">
        <f>D424*I427</f>
        <v>89.496000000000024</v>
      </c>
      <c r="K427" s="375"/>
      <c r="L427" s="387">
        <f t="shared" si="61"/>
        <v>0</v>
      </c>
    </row>
    <row r="428" spans="1:15" s="372" customFormat="1" ht="15" customHeight="1">
      <c r="A428" s="710"/>
      <c r="B428" s="711"/>
      <c r="C428" s="712"/>
      <c r="D428" s="713"/>
      <c r="E428" s="713"/>
      <c r="F428" s="714"/>
      <c r="G428" s="378" t="s">
        <v>210</v>
      </c>
      <c r="H428" s="384" t="s">
        <v>88</v>
      </c>
      <c r="I428" s="385">
        <v>0.2</v>
      </c>
      <c r="J428" s="385">
        <f>D424*I428</f>
        <v>13.560000000000002</v>
      </c>
      <c r="K428" s="375"/>
      <c r="L428" s="387">
        <f t="shared" si="61"/>
        <v>0</v>
      </c>
    </row>
    <row r="429" spans="1:15" s="372" customFormat="1" ht="15" customHeight="1">
      <c r="A429" s="710"/>
      <c r="B429" s="711"/>
      <c r="C429" s="712"/>
      <c r="D429" s="713"/>
      <c r="E429" s="713"/>
      <c r="F429" s="714"/>
      <c r="G429" s="378" t="s">
        <v>211</v>
      </c>
      <c r="H429" s="384" t="s">
        <v>37</v>
      </c>
      <c r="I429" s="388">
        <f>0.85*4</f>
        <v>3.4</v>
      </c>
      <c r="J429" s="386">
        <f>D424*I429</f>
        <v>230.52000000000004</v>
      </c>
      <c r="K429" s="375"/>
      <c r="L429" s="387">
        <f t="shared" si="61"/>
        <v>0</v>
      </c>
    </row>
    <row r="430" spans="1:15" s="372" customFormat="1" ht="15" customHeight="1">
      <c r="A430" s="710"/>
      <c r="B430" s="711"/>
      <c r="C430" s="712"/>
      <c r="D430" s="713"/>
      <c r="E430" s="713"/>
      <c r="F430" s="714"/>
      <c r="G430" s="378" t="s">
        <v>301</v>
      </c>
      <c r="H430" s="384" t="s">
        <v>88</v>
      </c>
      <c r="I430" s="385">
        <v>3</v>
      </c>
      <c r="J430" s="385">
        <f>I430*D424</f>
        <v>203.40000000000003</v>
      </c>
      <c r="K430" s="385"/>
      <c r="L430" s="387">
        <f t="shared" si="61"/>
        <v>0</v>
      </c>
    </row>
    <row r="431" spans="1:15" s="372" customFormat="1" ht="15" customHeight="1">
      <c r="A431" s="710"/>
      <c r="B431" s="711"/>
      <c r="C431" s="712"/>
      <c r="D431" s="713"/>
      <c r="E431" s="713"/>
      <c r="F431" s="714"/>
      <c r="G431" s="378" t="s">
        <v>212</v>
      </c>
      <c r="H431" s="384" t="s">
        <v>88</v>
      </c>
      <c r="I431" s="388">
        <f>2.7*4</f>
        <v>10.8</v>
      </c>
      <c r="J431" s="386">
        <f>D424*I431</f>
        <v>732.24000000000012</v>
      </c>
      <c r="K431" s="375"/>
      <c r="L431" s="387">
        <f t="shared" si="61"/>
        <v>0</v>
      </c>
      <c r="O431" s="389"/>
    </row>
    <row r="432" spans="1:15" s="372" customFormat="1" ht="15" customHeight="1">
      <c r="A432" s="710"/>
      <c r="B432" s="711"/>
      <c r="C432" s="712"/>
      <c r="D432" s="713"/>
      <c r="E432" s="713"/>
      <c r="F432" s="714"/>
      <c r="G432" s="378" t="s">
        <v>213</v>
      </c>
      <c r="H432" s="384" t="s">
        <v>88</v>
      </c>
      <c r="I432" s="385">
        <f>1.7*4</f>
        <v>6.8</v>
      </c>
      <c r="J432" s="385">
        <f>I432*D424</f>
        <v>461.04000000000008</v>
      </c>
      <c r="K432" s="375"/>
      <c r="L432" s="387">
        <f t="shared" si="61"/>
        <v>0</v>
      </c>
      <c r="M432" s="390"/>
      <c r="N432" s="390"/>
      <c r="O432" s="389"/>
    </row>
    <row r="433" spans="1:15" s="372" customFormat="1" ht="15" customHeight="1">
      <c r="A433" s="710"/>
      <c r="B433" s="711"/>
      <c r="C433" s="712"/>
      <c r="D433" s="713"/>
      <c r="E433" s="713"/>
      <c r="F433" s="714"/>
      <c r="G433" s="378" t="s">
        <v>214</v>
      </c>
      <c r="H433" s="384" t="s">
        <v>15</v>
      </c>
      <c r="I433" s="388">
        <f>0.3*2</f>
        <v>0.6</v>
      </c>
      <c r="J433" s="386">
        <f>D424*I433</f>
        <v>40.680000000000007</v>
      </c>
      <c r="K433" s="375"/>
      <c r="L433" s="387">
        <f t="shared" si="61"/>
        <v>0</v>
      </c>
      <c r="M433" s="390"/>
      <c r="N433" s="390"/>
      <c r="O433" s="389"/>
    </row>
    <row r="434" spans="1:15" s="372" customFormat="1" ht="15" customHeight="1">
      <c r="A434" s="710"/>
      <c r="B434" s="711"/>
      <c r="C434" s="712"/>
      <c r="D434" s="713"/>
      <c r="E434" s="713"/>
      <c r="F434" s="714"/>
      <c r="G434" s="378" t="s">
        <v>215</v>
      </c>
      <c r="H434" s="384" t="s">
        <v>37</v>
      </c>
      <c r="I434" s="385">
        <f>1.1*2</f>
        <v>2.2000000000000002</v>
      </c>
      <c r="J434" s="385">
        <f>D424*I434</f>
        <v>149.16000000000003</v>
      </c>
      <c r="K434" s="385"/>
      <c r="L434" s="387">
        <f t="shared" si="61"/>
        <v>0</v>
      </c>
      <c r="M434" s="390"/>
      <c r="N434" s="390"/>
      <c r="O434" s="389"/>
    </row>
    <row r="435" spans="1:15" s="372" customFormat="1" ht="15">
      <c r="A435" s="674">
        <v>159</v>
      </c>
      <c r="B435" s="707" t="s">
        <v>259</v>
      </c>
      <c r="C435" s="708" t="s">
        <v>11</v>
      </c>
      <c r="D435" s="709">
        <f>D424*2</f>
        <v>135.60000000000002</v>
      </c>
      <c r="E435" s="709"/>
      <c r="F435" s="706">
        <f>ROUND(D435*E435,2)</f>
        <v>0</v>
      </c>
      <c r="G435" s="399" t="s">
        <v>260</v>
      </c>
      <c r="H435" s="401" t="s">
        <v>15</v>
      </c>
      <c r="I435" s="395">
        <v>3.2</v>
      </c>
      <c r="J435" s="395">
        <f>D435*I435</f>
        <v>433.92000000000007</v>
      </c>
      <c r="K435" s="395"/>
      <c r="L435" s="396">
        <f t="shared" si="61"/>
        <v>0</v>
      </c>
    </row>
    <row r="436" spans="1:15" s="372" customFormat="1" ht="15">
      <c r="A436" s="674"/>
      <c r="B436" s="707"/>
      <c r="C436" s="708"/>
      <c r="D436" s="709"/>
      <c r="E436" s="709"/>
      <c r="F436" s="706"/>
      <c r="G436" s="391" t="s">
        <v>298</v>
      </c>
      <c r="H436" s="401" t="s">
        <v>13</v>
      </c>
      <c r="I436" s="395">
        <v>0.15</v>
      </c>
      <c r="J436" s="395">
        <f>D435*I436</f>
        <v>20.340000000000003</v>
      </c>
      <c r="K436" s="392"/>
      <c r="L436" s="396">
        <f t="shared" si="61"/>
        <v>0</v>
      </c>
    </row>
    <row r="437" spans="1:15" s="372" customFormat="1" ht="15" customHeight="1">
      <c r="A437" s="674"/>
      <c r="B437" s="707"/>
      <c r="C437" s="708"/>
      <c r="D437" s="709"/>
      <c r="E437" s="709"/>
      <c r="F437" s="706"/>
      <c r="G437" s="399" t="s">
        <v>223</v>
      </c>
      <c r="H437" s="401" t="s">
        <v>15</v>
      </c>
      <c r="I437" s="395">
        <v>1.8</v>
      </c>
      <c r="J437" s="395">
        <f>D435*I437</f>
        <v>244.08000000000004</v>
      </c>
      <c r="K437" s="395"/>
      <c r="L437" s="396">
        <f t="shared" si="61"/>
        <v>0</v>
      </c>
    </row>
    <row r="438" spans="1:15" s="372" customFormat="1" ht="15" customHeight="1">
      <c r="A438" s="674"/>
      <c r="B438" s="707"/>
      <c r="C438" s="708"/>
      <c r="D438" s="709"/>
      <c r="E438" s="709"/>
      <c r="F438" s="706"/>
      <c r="G438" s="391" t="s">
        <v>298</v>
      </c>
      <c r="H438" s="384" t="s">
        <v>13</v>
      </c>
      <c r="I438" s="449">
        <v>0.15</v>
      </c>
      <c r="J438" s="449">
        <f>I438*D435</f>
        <v>20.340000000000003</v>
      </c>
      <c r="K438" s="392"/>
      <c r="L438" s="396">
        <f t="shared" si="61"/>
        <v>0</v>
      </c>
    </row>
    <row r="439" spans="1:15" s="397" customFormat="1" ht="30" customHeight="1">
      <c r="A439" s="702" t="s">
        <v>449</v>
      </c>
      <c r="B439" s="703" t="s">
        <v>288</v>
      </c>
      <c r="C439" s="704" t="s">
        <v>11</v>
      </c>
      <c r="D439" s="705">
        <f>D435</f>
        <v>135.60000000000002</v>
      </c>
      <c r="E439" s="705"/>
      <c r="F439" s="706">
        <f>ROUND(D439*E439,2)</f>
        <v>0</v>
      </c>
      <c r="G439" s="391" t="s">
        <v>298</v>
      </c>
      <c r="H439" s="394" t="s">
        <v>23</v>
      </c>
      <c r="I439" s="552">
        <v>1.2999999999999999E-2</v>
      </c>
      <c r="J439" s="395">
        <f>I439*D439</f>
        <v>1.7628000000000001</v>
      </c>
      <c r="K439" s="392"/>
      <c r="L439" s="396">
        <f t="shared" si="61"/>
        <v>0</v>
      </c>
      <c r="N439" s="398"/>
    </row>
    <row r="440" spans="1:15" s="397" customFormat="1" ht="15">
      <c r="A440" s="702"/>
      <c r="B440" s="703"/>
      <c r="C440" s="704"/>
      <c r="D440" s="705"/>
      <c r="E440" s="705"/>
      <c r="F440" s="706"/>
      <c r="G440" s="391" t="s">
        <v>296</v>
      </c>
      <c r="H440" s="384" t="s">
        <v>15</v>
      </c>
      <c r="I440" s="553">
        <v>3.5000000000000003E-2</v>
      </c>
      <c r="J440" s="400">
        <f>I440*D439</f>
        <v>4.7460000000000013</v>
      </c>
      <c r="K440" s="385"/>
      <c r="L440" s="396">
        <f t="shared" si="61"/>
        <v>0</v>
      </c>
      <c r="N440" s="398"/>
    </row>
    <row r="441" spans="1:15" s="397" customFormat="1" ht="15">
      <c r="A441" s="718">
        <v>161</v>
      </c>
      <c r="B441" s="707" t="s">
        <v>240</v>
      </c>
      <c r="C441" s="708" t="s">
        <v>11</v>
      </c>
      <c r="D441" s="720">
        <f>8.2*2*3</f>
        <v>49.199999999999996</v>
      </c>
      <c r="E441" s="709"/>
      <c r="F441" s="709">
        <f>ROUND(E441*D441,2)</f>
        <v>0</v>
      </c>
      <c r="G441" s="391" t="s">
        <v>298</v>
      </c>
      <c r="H441" s="384" t="s">
        <v>13</v>
      </c>
      <c r="I441" s="385">
        <v>0.2</v>
      </c>
      <c r="J441" s="385">
        <f>I441*D441</f>
        <v>9.84</v>
      </c>
      <c r="K441" s="392"/>
      <c r="L441" s="387">
        <f t="shared" si="61"/>
        <v>0</v>
      </c>
    </row>
    <row r="442" spans="1:15" s="397" customFormat="1" ht="15">
      <c r="A442" s="719"/>
      <c r="B442" s="707"/>
      <c r="C442" s="708"/>
      <c r="D442" s="720"/>
      <c r="E442" s="709"/>
      <c r="F442" s="709"/>
      <c r="G442" s="391" t="s">
        <v>307</v>
      </c>
      <c r="H442" s="384" t="s">
        <v>11</v>
      </c>
      <c r="I442" s="386">
        <v>1.03</v>
      </c>
      <c r="J442" s="386">
        <f>D441*I442</f>
        <v>50.675999999999995</v>
      </c>
      <c r="K442" s="375"/>
      <c r="L442" s="387">
        <f t="shared" si="61"/>
        <v>0</v>
      </c>
    </row>
    <row r="443" spans="1:15" s="397" customFormat="1" ht="15">
      <c r="A443" s="719"/>
      <c r="B443" s="707"/>
      <c r="C443" s="708"/>
      <c r="D443" s="720"/>
      <c r="E443" s="709"/>
      <c r="F443" s="709"/>
      <c r="G443" s="391" t="s">
        <v>303</v>
      </c>
      <c r="H443" s="384" t="s">
        <v>15</v>
      </c>
      <c r="I443" s="385">
        <v>6.5</v>
      </c>
      <c r="J443" s="385">
        <f>D441*I443</f>
        <v>319.79999999999995</v>
      </c>
      <c r="K443" s="375"/>
      <c r="L443" s="387">
        <f t="shared" si="61"/>
        <v>0</v>
      </c>
    </row>
    <row r="444" spans="1:15" s="397" customFormat="1" ht="15">
      <c r="A444" s="719"/>
      <c r="B444" s="707"/>
      <c r="C444" s="708"/>
      <c r="D444" s="720"/>
      <c r="E444" s="709"/>
      <c r="F444" s="709"/>
      <c r="G444" s="391" t="s">
        <v>302</v>
      </c>
      <c r="H444" s="384" t="s">
        <v>15</v>
      </c>
      <c r="I444" s="386">
        <v>0.45</v>
      </c>
      <c r="J444" s="386">
        <f>D441*I444</f>
        <v>22.139999999999997</v>
      </c>
      <c r="K444" s="385"/>
      <c r="L444" s="387">
        <f t="shared" si="61"/>
        <v>0</v>
      </c>
    </row>
    <row r="445" spans="1:15" s="397" customFormat="1" ht="15">
      <c r="A445" s="718">
        <f>A441+1</f>
        <v>162</v>
      </c>
      <c r="B445" s="707" t="s">
        <v>280</v>
      </c>
      <c r="C445" s="708" t="s">
        <v>11</v>
      </c>
      <c r="D445" s="720">
        <f>(3.2*2*3)</f>
        <v>19.200000000000003</v>
      </c>
      <c r="E445" s="709"/>
      <c r="F445" s="709">
        <f>ROUND(E445*D445,2)</f>
        <v>0</v>
      </c>
      <c r="G445" s="391" t="s">
        <v>298</v>
      </c>
      <c r="H445" s="384" t="s">
        <v>13</v>
      </c>
      <c r="I445" s="385">
        <v>0.2</v>
      </c>
      <c r="J445" s="385">
        <f>I445*D445</f>
        <v>3.8400000000000007</v>
      </c>
      <c r="K445" s="392"/>
      <c r="L445" s="387">
        <f t="shared" si="61"/>
        <v>0</v>
      </c>
    </row>
    <row r="446" spans="1:15" s="397" customFormat="1" ht="15">
      <c r="A446" s="719"/>
      <c r="B446" s="707"/>
      <c r="C446" s="708"/>
      <c r="D446" s="720"/>
      <c r="E446" s="709"/>
      <c r="F446" s="709"/>
      <c r="G446" s="391" t="s">
        <v>304</v>
      </c>
      <c r="H446" s="384" t="s">
        <v>11</v>
      </c>
      <c r="I446" s="386">
        <v>1.03</v>
      </c>
      <c r="J446" s="386">
        <f>D445*I446</f>
        <v>19.776000000000003</v>
      </c>
      <c r="K446" s="375"/>
      <c r="L446" s="387">
        <f t="shared" si="61"/>
        <v>0</v>
      </c>
    </row>
    <row r="447" spans="1:15" s="397" customFormat="1" ht="15">
      <c r="A447" s="719"/>
      <c r="B447" s="707"/>
      <c r="C447" s="708"/>
      <c r="D447" s="720"/>
      <c r="E447" s="709"/>
      <c r="F447" s="709"/>
      <c r="G447" s="391" t="s">
        <v>303</v>
      </c>
      <c r="H447" s="384" t="s">
        <v>15</v>
      </c>
      <c r="I447" s="385">
        <v>6.5</v>
      </c>
      <c r="J447" s="385">
        <f>D445*I447</f>
        <v>124.80000000000001</v>
      </c>
      <c r="K447" s="375"/>
      <c r="L447" s="387">
        <f t="shared" si="61"/>
        <v>0</v>
      </c>
    </row>
    <row r="448" spans="1:15" s="397" customFormat="1" ht="15">
      <c r="A448" s="719"/>
      <c r="B448" s="707"/>
      <c r="C448" s="708"/>
      <c r="D448" s="720"/>
      <c r="E448" s="709"/>
      <c r="F448" s="709"/>
      <c r="G448" s="391" t="s">
        <v>302</v>
      </c>
      <c r="H448" s="384" t="s">
        <v>15</v>
      </c>
      <c r="I448" s="386">
        <v>0.45</v>
      </c>
      <c r="J448" s="386">
        <f>D445*I448</f>
        <v>8.6400000000000023</v>
      </c>
      <c r="K448" s="385"/>
      <c r="L448" s="387">
        <f t="shared" si="61"/>
        <v>0</v>
      </c>
    </row>
    <row r="449" spans="1:12" s="393" customFormat="1" ht="29.25" customHeight="1">
      <c r="A449" s="702" t="s">
        <v>450</v>
      </c>
      <c r="B449" s="707" t="s">
        <v>85</v>
      </c>
      <c r="C449" s="708" t="s">
        <v>11</v>
      </c>
      <c r="D449" s="709">
        <v>33.11</v>
      </c>
      <c r="E449" s="705"/>
      <c r="F449" s="706">
        <f>ROUND(D449*E449,2)</f>
        <v>0</v>
      </c>
      <c r="G449" s="452"/>
      <c r="H449" s="384"/>
      <c r="I449" s="392"/>
      <c r="J449" s="392"/>
      <c r="K449" s="392"/>
      <c r="L449" s="396"/>
    </row>
    <row r="450" spans="1:12" s="393" customFormat="1" ht="15">
      <c r="A450" s="702"/>
      <c r="B450" s="707"/>
      <c r="C450" s="708"/>
      <c r="D450" s="709"/>
      <c r="E450" s="705"/>
      <c r="F450" s="706"/>
      <c r="G450" s="453" t="s">
        <v>306</v>
      </c>
      <c r="H450" s="384" t="s">
        <v>18</v>
      </c>
      <c r="I450" s="392">
        <v>1.1000000000000001</v>
      </c>
      <c r="J450" s="392">
        <f>D449*I450</f>
        <v>36.420999999999999</v>
      </c>
      <c r="K450" s="454"/>
      <c r="L450" s="396">
        <f t="shared" ref="L450:L460" si="62">ROUND(K450*J450,2)</f>
        <v>0</v>
      </c>
    </row>
    <row r="451" spans="1:12" s="393" customFormat="1" ht="15">
      <c r="A451" s="702"/>
      <c r="B451" s="707"/>
      <c r="C451" s="708"/>
      <c r="D451" s="709"/>
      <c r="E451" s="705"/>
      <c r="F451" s="706"/>
      <c r="G451" s="399" t="s">
        <v>87</v>
      </c>
      <c r="H451" s="384" t="s">
        <v>88</v>
      </c>
      <c r="I451" s="392">
        <v>0.95</v>
      </c>
      <c r="J451" s="392">
        <f>D449*I451</f>
        <v>31.454499999999999</v>
      </c>
      <c r="K451" s="454"/>
      <c r="L451" s="396">
        <f t="shared" si="62"/>
        <v>0</v>
      </c>
    </row>
    <row r="452" spans="1:12" s="393" customFormat="1" ht="15">
      <c r="A452" s="702"/>
      <c r="B452" s="707"/>
      <c r="C452" s="708"/>
      <c r="D452" s="709"/>
      <c r="E452" s="705"/>
      <c r="F452" s="706"/>
      <c r="G452" s="399" t="s">
        <v>89</v>
      </c>
      <c r="H452" s="384" t="s">
        <v>88</v>
      </c>
      <c r="I452" s="392">
        <v>0.95</v>
      </c>
      <c r="J452" s="392">
        <f>D449*I452</f>
        <v>31.454499999999999</v>
      </c>
      <c r="K452" s="454"/>
      <c r="L452" s="396">
        <f t="shared" si="62"/>
        <v>0</v>
      </c>
    </row>
    <row r="453" spans="1:12" s="393" customFormat="1" ht="15">
      <c r="A453" s="702"/>
      <c r="B453" s="707"/>
      <c r="C453" s="708"/>
      <c r="D453" s="709"/>
      <c r="E453" s="705"/>
      <c r="F453" s="706"/>
      <c r="G453" s="399" t="s">
        <v>90</v>
      </c>
      <c r="H453" s="384" t="s">
        <v>88</v>
      </c>
      <c r="I453" s="392">
        <v>1.9</v>
      </c>
      <c r="J453" s="392">
        <f>D449*I453</f>
        <v>62.908999999999999</v>
      </c>
      <c r="K453" s="454"/>
      <c r="L453" s="396">
        <f t="shared" si="62"/>
        <v>0</v>
      </c>
    </row>
    <row r="454" spans="1:12" s="393" customFormat="1" ht="15">
      <c r="A454" s="702"/>
      <c r="B454" s="707"/>
      <c r="C454" s="708"/>
      <c r="D454" s="709"/>
      <c r="E454" s="705"/>
      <c r="F454" s="706"/>
      <c r="G454" s="399" t="s">
        <v>91</v>
      </c>
      <c r="H454" s="384" t="s">
        <v>92</v>
      </c>
      <c r="I454" s="392">
        <v>1.08</v>
      </c>
      <c r="J454" s="392">
        <f>I454*D449</f>
        <v>35.758800000000001</v>
      </c>
      <c r="K454" s="454"/>
      <c r="L454" s="396">
        <f t="shared" si="62"/>
        <v>0</v>
      </c>
    </row>
    <row r="455" spans="1:12" s="393" customFormat="1" ht="15">
      <c r="A455" s="702"/>
      <c r="B455" s="707"/>
      <c r="C455" s="708"/>
      <c r="D455" s="709"/>
      <c r="E455" s="705"/>
      <c r="F455" s="706"/>
      <c r="G455" s="399" t="s">
        <v>93</v>
      </c>
      <c r="H455" s="384" t="s">
        <v>88</v>
      </c>
      <c r="I455" s="392">
        <v>1.5</v>
      </c>
      <c r="J455" s="392">
        <f>D449*I455</f>
        <v>49.664999999999999</v>
      </c>
      <c r="K455" s="454"/>
      <c r="L455" s="396">
        <f t="shared" si="62"/>
        <v>0</v>
      </c>
    </row>
    <row r="456" spans="1:12" s="393" customFormat="1" ht="15">
      <c r="A456" s="702"/>
      <c r="B456" s="707"/>
      <c r="C456" s="708"/>
      <c r="D456" s="709"/>
      <c r="E456" s="705"/>
      <c r="F456" s="706"/>
      <c r="G456" s="399" t="s">
        <v>94</v>
      </c>
      <c r="H456" s="384" t="s">
        <v>88</v>
      </c>
      <c r="I456" s="392">
        <v>1.5</v>
      </c>
      <c r="J456" s="392">
        <f>D449*I456</f>
        <v>49.664999999999999</v>
      </c>
      <c r="K456" s="454"/>
      <c r="L456" s="396">
        <f t="shared" si="62"/>
        <v>0</v>
      </c>
    </row>
    <row r="457" spans="1:12" s="393" customFormat="1" ht="15">
      <c r="A457" s="702"/>
      <c r="B457" s="707"/>
      <c r="C457" s="708"/>
      <c r="D457" s="709"/>
      <c r="E457" s="705"/>
      <c r="F457" s="706"/>
      <c r="G457" s="399" t="s">
        <v>95</v>
      </c>
      <c r="H457" s="384" t="s">
        <v>88</v>
      </c>
      <c r="I457" s="392">
        <v>1.5</v>
      </c>
      <c r="J457" s="392">
        <f>D449*I457</f>
        <v>49.664999999999999</v>
      </c>
      <c r="K457" s="454"/>
      <c r="L457" s="396">
        <f t="shared" si="62"/>
        <v>0</v>
      </c>
    </row>
    <row r="458" spans="1:12" s="393" customFormat="1" ht="15">
      <c r="A458" s="702"/>
      <c r="B458" s="707"/>
      <c r="C458" s="708"/>
      <c r="D458" s="709"/>
      <c r="E458" s="705"/>
      <c r="F458" s="706"/>
      <c r="G458" s="399" t="s">
        <v>309</v>
      </c>
      <c r="H458" s="384" t="s">
        <v>88</v>
      </c>
      <c r="I458" s="392"/>
      <c r="J458" s="392">
        <v>210</v>
      </c>
      <c r="K458" s="454"/>
      <c r="L458" s="396">
        <f t="shared" si="62"/>
        <v>0</v>
      </c>
    </row>
    <row r="459" spans="1:12" s="393" customFormat="1" ht="15">
      <c r="A459" s="702"/>
      <c r="B459" s="707"/>
      <c r="C459" s="708"/>
      <c r="D459" s="709"/>
      <c r="E459" s="705"/>
      <c r="F459" s="706"/>
      <c r="G459" s="399" t="s">
        <v>96</v>
      </c>
      <c r="H459" s="384" t="s">
        <v>88</v>
      </c>
      <c r="I459" s="392">
        <v>1.5</v>
      </c>
      <c r="J459" s="392">
        <f>D449*I459</f>
        <v>49.664999999999999</v>
      </c>
      <c r="K459" s="392"/>
      <c r="L459" s="396">
        <f t="shared" si="62"/>
        <v>0</v>
      </c>
    </row>
    <row r="460" spans="1:12" s="393" customFormat="1" ht="30">
      <c r="A460" s="702"/>
      <c r="B460" s="707"/>
      <c r="C460" s="708"/>
      <c r="D460" s="709"/>
      <c r="E460" s="705"/>
      <c r="F460" s="706"/>
      <c r="G460" s="378" t="s">
        <v>301</v>
      </c>
      <c r="H460" s="455" t="s">
        <v>286</v>
      </c>
      <c r="I460" s="392">
        <v>3</v>
      </c>
      <c r="J460" s="392">
        <f>I460*J458</f>
        <v>630</v>
      </c>
      <c r="K460" s="385"/>
      <c r="L460" s="396">
        <f t="shared" si="62"/>
        <v>0</v>
      </c>
    </row>
    <row r="461" spans="1:12" s="372" customFormat="1" ht="15" customHeight="1">
      <c r="A461" s="403"/>
      <c r="B461" s="362" t="s">
        <v>284</v>
      </c>
      <c r="C461" s="410"/>
      <c r="D461" s="411"/>
      <c r="E461" s="440"/>
      <c r="F461" s="440"/>
      <c r="G461" s="442"/>
      <c r="H461" s="438"/>
      <c r="I461" s="439"/>
      <c r="J461" s="439"/>
      <c r="K461" s="439"/>
      <c r="L461" s="371"/>
    </row>
    <row r="462" spans="1:12" ht="17.25" customHeight="1">
      <c r="A462" s="361">
        <v>164</v>
      </c>
      <c r="B462" s="362" t="s">
        <v>272</v>
      </c>
      <c r="C462" s="412" t="s">
        <v>151</v>
      </c>
      <c r="D462" s="411">
        <v>3</v>
      </c>
      <c r="E462" s="411"/>
      <c r="F462" s="411">
        <f>D462*E462</f>
        <v>0</v>
      </c>
      <c r="G462" s="365"/>
      <c r="H462" s="365"/>
      <c r="I462" s="365"/>
      <c r="J462" s="416"/>
      <c r="K462" s="416"/>
      <c r="L462" s="417"/>
    </row>
    <row r="463" spans="1:12" s="372" customFormat="1" ht="15" customHeight="1">
      <c r="A463" s="361"/>
      <c r="B463" s="362" t="s">
        <v>31</v>
      </c>
      <c r="C463" s="410"/>
      <c r="D463" s="411"/>
      <c r="E463" s="440"/>
      <c r="F463" s="440"/>
      <c r="G463" s="441"/>
      <c r="H463" s="438"/>
      <c r="I463" s="439"/>
      <c r="J463" s="439"/>
      <c r="K463" s="439"/>
      <c r="L463" s="371"/>
    </row>
    <row r="464" spans="1:12" s="372" customFormat="1" ht="15" customHeight="1">
      <c r="A464" s="361">
        <v>165</v>
      </c>
      <c r="B464" s="362" t="s">
        <v>241</v>
      </c>
      <c r="C464" s="410" t="s">
        <v>40</v>
      </c>
      <c r="D464" s="411">
        <f>2.15+1.89+13.37+15.7</f>
        <v>33.11</v>
      </c>
      <c r="E464" s="422"/>
      <c r="F464" s="423">
        <f>ROUND(D464*E464,2)</f>
        <v>0</v>
      </c>
      <c r="G464" s="442"/>
      <c r="H464" s="438"/>
      <c r="I464" s="439"/>
      <c r="J464" s="439"/>
      <c r="K464" s="439"/>
      <c r="L464" s="371"/>
    </row>
    <row r="465" spans="1:15" s="372" customFormat="1" ht="15" customHeight="1">
      <c r="A465" s="361">
        <v>166</v>
      </c>
      <c r="B465" s="362" t="s">
        <v>216</v>
      </c>
      <c r="C465" s="410" t="s">
        <v>22</v>
      </c>
      <c r="D465" s="411">
        <f>(7.57+2.72+2.74)*2</f>
        <v>26.060000000000002</v>
      </c>
      <c r="E465" s="422"/>
      <c r="F465" s="423">
        <f>ROUND(D465*E465,2)</f>
        <v>0</v>
      </c>
      <c r="G465" s="442"/>
      <c r="H465" s="438"/>
      <c r="I465" s="439"/>
      <c r="J465" s="439"/>
      <c r="K465" s="439"/>
      <c r="L465" s="371"/>
    </row>
    <row r="466" spans="1:15" s="372" customFormat="1" ht="15" customHeight="1">
      <c r="A466" s="361">
        <v>167</v>
      </c>
      <c r="B466" s="362" t="s">
        <v>242</v>
      </c>
      <c r="C466" s="410" t="s">
        <v>40</v>
      </c>
      <c r="D466" s="411">
        <f>D464</f>
        <v>33.11</v>
      </c>
      <c r="E466" s="422"/>
      <c r="F466" s="423">
        <f>ROUND(D466*E466,2)</f>
        <v>0</v>
      </c>
      <c r="G466" s="391" t="s">
        <v>298</v>
      </c>
      <c r="H466" s="401" t="s">
        <v>13</v>
      </c>
      <c r="I466" s="395">
        <v>0.15</v>
      </c>
      <c r="J466" s="395">
        <f>D466*I466</f>
        <v>4.9664999999999999</v>
      </c>
      <c r="K466" s="392"/>
      <c r="L466" s="396">
        <f t="shared" ref="L466" si="63">ROUND(K466*J466,2)</f>
        <v>0</v>
      </c>
    </row>
    <row r="467" spans="1:15" s="372" customFormat="1" ht="15" customHeight="1">
      <c r="A467" s="677">
        <v>168</v>
      </c>
      <c r="B467" s="721" t="s">
        <v>246</v>
      </c>
      <c r="C467" s="716" t="s">
        <v>40</v>
      </c>
      <c r="D467" s="717">
        <f>D464+(D465*0.2)</f>
        <v>38.322000000000003</v>
      </c>
      <c r="E467" s="709"/>
      <c r="F467" s="706">
        <f>ROUND(D467*E467,2)</f>
        <v>0</v>
      </c>
      <c r="G467" s="442" t="s">
        <v>310</v>
      </c>
      <c r="H467" s="438" t="s">
        <v>40</v>
      </c>
      <c r="I467" s="439">
        <v>1.01</v>
      </c>
      <c r="J467" s="439">
        <f>D467*I467</f>
        <v>38.705220000000004</v>
      </c>
      <c r="K467" s="439"/>
      <c r="L467" s="371">
        <f>J467*K467</f>
        <v>0</v>
      </c>
    </row>
    <row r="468" spans="1:15" s="372" customFormat="1" ht="15" customHeight="1">
      <c r="A468" s="677"/>
      <c r="B468" s="721"/>
      <c r="C468" s="716"/>
      <c r="D468" s="717"/>
      <c r="E468" s="709"/>
      <c r="F468" s="706"/>
      <c r="G468" s="442" t="s">
        <v>311</v>
      </c>
      <c r="H468" s="438" t="s">
        <v>312</v>
      </c>
      <c r="I468" s="439">
        <v>0.4</v>
      </c>
      <c r="J468" s="439">
        <f>I468*D467</f>
        <v>15.328800000000001</v>
      </c>
      <c r="K468" s="439"/>
      <c r="L468" s="371">
        <f>J468*K468</f>
        <v>0</v>
      </c>
    </row>
    <row r="469" spans="1:15" s="372" customFormat="1" ht="15" customHeight="1">
      <c r="A469" s="677">
        <v>169</v>
      </c>
      <c r="B469" s="715" t="s">
        <v>245</v>
      </c>
      <c r="C469" s="716" t="s">
        <v>22</v>
      </c>
      <c r="D469" s="717">
        <f>15.5+4.75+5+2.18+2.18</f>
        <v>29.61</v>
      </c>
      <c r="E469" s="709"/>
      <c r="F469" s="706">
        <f>ROUND(D469*E469,2)</f>
        <v>0</v>
      </c>
      <c r="G469" s="363" t="s">
        <v>293</v>
      </c>
      <c r="H469" s="373" t="s">
        <v>22</v>
      </c>
      <c r="I469" s="374">
        <v>1.01</v>
      </c>
      <c r="J469" s="374">
        <f>10.93*I469</f>
        <v>11.039299999999999</v>
      </c>
      <c r="K469" s="375"/>
      <c r="L469" s="387">
        <f t="shared" ref="L469" si="64">ROUND(K469*J469,2)</f>
        <v>0</v>
      </c>
    </row>
    <row r="470" spans="1:15" s="372" customFormat="1" ht="15" customHeight="1">
      <c r="A470" s="677"/>
      <c r="B470" s="715"/>
      <c r="C470" s="716"/>
      <c r="D470" s="717"/>
      <c r="E470" s="709"/>
      <c r="F470" s="706"/>
      <c r="G470" s="363" t="s">
        <v>295</v>
      </c>
      <c r="H470" s="376" t="s">
        <v>294</v>
      </c>
      <c r="I470" s="376">
        <v>0.1</v>
      </c>
      <c r="J470" s="374">
        <f>I470*D469</f>
        <v>2.9610000000000003</v>
      </c>
      <c r="K470" s="375"/>
      <c r="L470" s="367">
        <f>J470*K470</f>
        <v>0</v>
      </c>
    </row>
    <row r="471" spans="1:15" s="372" customFormat="1" ht="15" customHeight="1">
      <c r="A471" s="674">
        <v>170</v>
      </c>
      <c r="B471" s="675" t="s">
        <v>278</v>
      </c>
      <c r="C471" s="700" t="s">
        <v>40</v>
      </c>
      <c r="D471" s="701">
        <v>84.131</v>
      </c>
      <c r="E471" s="701"/>
      <c r="F471" s="701">
        <f>D471*E471</f>
        <v>0</v>
      </c>
      <c r="G471" s="402" t="s">
        <v>308</v>
      </c>
      <c r="H471" s="373" t="s">
        <v>147</v>
      </c>
      <c r="I471" s="374">
        <v>1.1000000000000001</v>
      </c>
      <c r="J471" s="374">
        <f>D471*I471</f>
        <v>92.544100000000014</v>
      </c>
      <c r="K471" s="375"/>
      <c r="L471" s="387">
        <f t="shared" ref="L471:L472" si="65">ROUND(K471*J471,2)</f>
        <v>0</v>
      </c>
      <c r="O471" s="389"/>
    </row>
    <row r="472" spans="1:15" s="372" customFormat="1" ht="15" customHeight="1">
      <c r="A472" s="674"/>
      <c r="B472" s="675"/>
      <c r="C472" s="700"/>
      <c r="D472" s="701"/>
      <c r="E472" s="701"/>
      <c r="F472" s="701"/>
      <c r="G472" s="402" t="s">
        <v>220</v>
      </c>
      <c r="H472" s="373" t="s">
        <v>22</v>
      </c>
      <c r="I472" s="374">
        <v>1.01</v>
      </c>
      <c r="J472" s="374">
        <f>10.93*I472</f>
        <v>11.039299999999999</v>
      </c>
      <c r="K472" s="375"/>
      <c r="L472" s="387">
        <f t="shared" si="65"/>
        <v>0</v>
      </c>
      <c r="O472" s="389"/>
    </row>
    <row r="473" spans="1:15" s="372" customFormat="1" ht="15" customHeight="1">
      <c r="A473" s="677">
        <v>171</v>
      </c>
      <c r="B473" s="721" t="s">
        <v>246</v>
      </c>
      <c r="C473" s="716" t="s">
        <v>40</v>
      </c>
      <c r="D473" s="717">
        <f>D464</f>
        <v>33.11</v>
      </c>
      <c r="E473" s="709"/>
      <c r="F473" s="706">
        <f>ROUND(D473*E473,2)</f>
        <v>0</v>
      </c>
      <c r="G473" s="442" t="s">
        <v>310</v>
      </c>
      <c r="H473" s="438" t="s">
        <v>40</v>
      </c>
      <c r="I473" s="439">
        <v>1.01</v>
      </c>
      <c r="J473" s="439">
        <f>D473*I473</f>
        <v>33.441099999999999</v>
      </c>
      <c r="K473" s="439"/>
      <c r="L473" s="371">
        <f>J473*K473</f>
        <v>0</v>
      </c>
    </row>
    <row r="474" spans="1:15" s="372" customFormat="1" ht="15" customHeight="1">
      <c r="A474" s="677"/>
      <c r="B474" s="721"/>
      <c r="C474" s="716"/>
      <c r="D474" s="717"/>
      <c r="E474" s="709"/>
      <c r="F474" s="706"/>
      <c r="G474" s="442" t="s">
        <v>311</v>
      </c>
      <c r="H474" s="438" t="s">
        <v>312</v>
      </c>
      <c r="I474" s="439">
        <v>0.4</v>
      </c>
      <c r="J474" s="439">
        <f>I474*D473</f>
        <v>13.244</v>
      </c>
      <c r="K474" s="439"/>
      <c r="L474" s="371">
        <f>J474*K474</f>
        <v>0</v>
      </c>
    </row>
    <row r="475" spans="1:15" s="372" customFormat="1" ht="15" customHeight="1">
      <c r="A475" s="677">
        <v>172</v>
      </c>
      <c r="B475" s="715" t="s">
        <v>245</v>
      </c>
      <c r="C475" s="716" t="s">
        <v>22</v>
      </c>
      <c r="D475" s="717">
        <f>15.5+4.75+5+2.18+2.18</f>
        <v>29.61</v>
      </c>
      <c r="E475" s="709"/>
      <c r="F475" s="706">
        <f>ROUND(D475*E475,2)</f>
        <v>0</v>
      </c>
      <c r="G475" s="363" t="s">
        <v>293</v>
      </c>
      <c r="H475" s="373" t="s">
        <v>22</v>
      </c>
      <c r="I475" s="374">
        <v>1.01</v>
      </c>
      <c r="J475" s="374">
        <f>10.93*I475</f>
        <v>11.039299999999999</v>
      </c>
      <c r="K475" s="375"/>
      <c r="L475" s="387">
        <f t="shared" ref="L475" si="66">ROUND(K475*J475,2)</f>
        <v>0</v>
      </c>
    </row>
    <row r="476" spans="1:15" s="372" customFormat="1" ht="15" customHeight="1">
      <c r="A476" s="677"/>
      <c r="B476" s="715"/>
      <c r="C476" s="716"/>
      <c r="D476" s="717"/>
      <c r="E476" s="709"/>
      <c r="F476" s="706"/>
      <c r="G476" s="363" t="s">
        <v>295</v>
      </c>
      <c r="H476" s="376" t="s">
        <v>294</v>
      </c>
      <c r="I476" s="376">
        <v>0.1</v>
      </c>
      <c r="J476" s="374">
        <f>I476*D475</f>
        <v>2.9610000000000003</v>
      </c>
      <c r="K476" s="375"/>
      <c r="L476" s="367">
        <f>J476*K476</f>
        <v>0</v>
      </c>
    </row>
    <row r="477" spans="1:15" s="397" customFormat="1" ht="15">
      <c r="A477" s="718">
        <v>173</v>
      </c>
      <c r="B477" s="707" t="s">
        <v>236</v>
      </c>
      <c r="C477" s="708" t="s">
        <v>11</v>
      </c>
      <c r="D477" s="720">
        <f>3.8*2</f>
        <v>7.6</v>
      </c>
      <c r="E477" s="709"/>
      <c r="F477" s="709">
        <f>ROUND(E477*D477,2)</f>
        <v>0</v>
      </c>
      <c r="G477" s="391" t="s">
        <v>298</v>
      </c>
      <c r="H477" s="384" t="s">
        <v>13</v>
      </c>
      <c r="I477" s="385">
        <v>0.2</v>
      </c>
      <c r="J477" s="385">
        <f>I477*D477</f>
        <v>1.52</v>
      </c>
      <c r="K477" s="392"/>
      <c r="L477" s="387">
        <f t="shared" ref="L477:L480" si="67">ROUND(K477*J477,2)</f>
        <v>0</v>
      </c>
    </row>
    <row r="478" spans="1:15" s="397" customFormat="1" ht="15">
      <c r="A478" s="719"/>
      <c r="B478" s="707"/>
      <c r="C478" s="708"/>
      <c r="D478" s="720"/>
      <c r="E478" s="709"/>
      <c r="F478" s="709"/>
      <c r="G478" s="391" t="s">
        <v>307</v>
      </c>
      <c r="H478" s="384" t="s">
        <v>11</v>
      </c>
      <c r="I478" s="386">
        <v>1.03</v>
      </c>
      <c r="J478" s="386">
        <f>D477*I478</f>
        <v>7.8279999999999994</v>
      </c>
      <c r="K478" s="375"/>
      <c r="L478" s="387">
        <f t="shared" si="67"/>
        <v>0</v>
      </c>
    </row>
    <row r="479" spans="1:15" s="397" customFormat="1" ht="15">
      <c r="A479" s="719"/>
      <c r="B479" s="707"/>
      <c r="C479" s="708"/>
      <c r="D479" s="720"/>
      <c r="E479" s="709"/>
      <c r="F479" s="709"/>
      <c r="G479" s="391" t="s">
        <v>303</v>
      </c>
      <c r="H479" s="384" t="s">
        <v>15</v>
      </c>
      <c r="I479" s="385">
        <v>6.5</v>
      </c>
      <c r="J479" s="385">
        <f>D477*I479</f>
        <v>49.4</v>
      </c>
      <c r="K479" s="375"/>
      <c r="L479" s="387">
        <f t="shared" si="67"/>
        <v>0</v>
      </c>
    </row>
    <row r="480" spans="1:15" s="397" customFormat="1" ht="15">
      <c r="A480" s="719"/>
      <c r="B480" s="707"/>
      <c r="C480" s="708"/>
      <c r="D480" s="720"/>
      <c r="E480" s="709"/>
      <c r="F480" s="709"/>
      <c r="G480" s="391" t="s">
        <v>302</v>
      </c>
      <c r="H480" s="384" t="s">
        <v>15</v>
      </c>
      <c r="I480" s="386">
        <v>0.45</v>
      </c>
      <c r="J480" s="386">
        <f>D477*I480</f>
        <v>3.42</v>
      </c>
      <c r="K480" s="385"/>
      <c r="L480" s="387">
        <f t="shared" si="67"/>
        <v>0</v>
      </c>
    </row>
    <row r="481" spans="1:15" s="372" customFormat="1" ht="15" customHeight="1">
      <c r="A481" s="361"/>
      <c r="B481" s="362" t="s">
        <v>20</v>
      </c>
      <c r="C481" s="410"/>
      <c r="D481" s="411"/>
      <c r="E481" s="440"/>
      <c r="F481" s="440"/>
      <c r="G481" s="441"/>
      <c r="H481" s="438"/>
      <c r="I481" s="439"/>
      <c r="J481" s="439"/>
      <c r="K481" s="439"/>
      <c r="L481" s="371"/>
    </row>
    <row r="482" spans="1:15" s="372" customFormat="1" ht="15" customHeight="1">
      <c r="A482" s="403">
        <v>174</v>
      </c>
      <c r="B482" s="409" t="s">
        <v>279</v>
      </c>
      <c r="C482" s="412" t="s">
        <v>40</v>
      </c>
      <c r="D482" s="411">
        <f>(7.57+1.9+2.2+2.2+2.2+2.2)*3</f>
        <v>54.81</v>
      </c>
      <c r="E482" s="422"/>
      <c r="F482" s="423">
        <f>ROUND(D482*E482,2)</f>
        <v>0</v>
      </c>
      <c r="G482" s="363"/>
      <c r="H482" s="438"/>
      <c r="I482" s="439"/>
      <c r="J482" s="439"/>
      <c r="K482" s="407"/>
      <c r="L482" s="408"/>
    </row>
    <row r="483" spans="1:15" ht="15" customHeight="1">
      <c r="A483" s="710">
        <v>175</v>
      </c>
      <c r="B483" s="711" t="s">
        <v>207</v>
      </c>
      <c r="C483" s="712" t="s">
        <v>11</v>
      </c>
      <c r="D483" s="713">
        <f>22.6*3</f>
        <v>67.800000000000011</v>
      </c>
      <c r="E483" s="713"/>
      <c r="F483" s="714">
        <v>5414.5</v>
      </c>
      <c r="G483" s="378" t="s">
        <v>297</v>
      </c>
      <c r="H483" s="384" t="s">
        <v>11</v>
      </c>
      <c r="I483" s="385">
        <f>1.05*4</f>
        <v>4.2</v>
      </c>
      <c r="J483" s="385">
        <f>D483*I483</f>
        <v>284.76000000000005</v>
      </c>
      <c r="K483" s="386"/>
      <c r="L483" s="387">
        <f t="shared" ref="L483:L507" si="68">ROUND(K483*J483,2)</f>
        <v>0</v>
      </c>
    </row>
    <row r="484" spans="1:15" s="372" customFormat="1" ht="15" customHeight="1">
      <c r="A484" s="710"/>
      <c r="B484" s="711"/>
      <c r="C484" s="712"/>
      <c r="D484" s="713"/>
      <c r="E484" s="713"/>
      <c r="F484" s="714"/>
      <c r="G484" s="378" t="s">
        <v>208</v>
      </c>
      <c r="H484" s="384" t="s">
        <v>37</v>
      </c>
      <c r="I484" s="388">
        <v>2</v>
      </c>
      <c r="J484" s="386">
        <f>I484*D483</f>
        <v>135.60000000000002</v>
      </c>
      <c r="K484" s="375"/>
      <c r="L484" s="387">
        <f t="shared" si="68"/>
        <v>0</v>
      </c>
    </row>
    <row r="485" spans="1:15" s="372" customFormat="1" ht="15" customHeight="1">
      <c r="A485" s="710"/>
      <c r="B485" s="711"/>
      <c r="C485" s="712"/>
      <c r="D485" s="713"/>
      <c r="E485" s="713"/>
      <c r="F485" s="714"/>
      <c r="G485" s="378" t="s">
        <v>209</v>
      </c>
      <c r="H485" s="384" t="s">
        <v>37</v>
      </c>
      <c r="I485" s="385">
        <v>0.8</v>
      </c>
      <c r="J485" s="385">
        <f>I485*D483</f>
        <v>54.240000000000009</v>
      </c>
      <c r="K485" s="375"/>
      <c r="L485" s="387">
        <f t="shared" si="68"/>
        <v>0</v>
      </c>
    </row>
    <row r="486" spans="1:15" s="372" customFormat="1" ht="15" customHeight="1">
      <c r="A486" s="710"/>
      <c r="B486" s="711"/>
      <c r="C486" s="712"/>
      <c r="D486" s="713"/>
      <c r="E486" s="713"/>
      <c r="F486" s="714"/>
      <c r="G486" s="378" t="s">
        <v>305</v>
      </c>
      <c r="H486" s="384" t="s">
        <v>88</v>
      </c>
      <c r="I486" s="388">
        <v>1.32</v>
      </c>
      <c r="J486" s="386">
        <f>D483*I486</f>
        <v>89.496000000000024</v>
      </c>
      <c r="K486" s="375"/>
      <c r="L486" s="387">
        <f t="shared" si="68"/>
        <v>0</v>
      </c>
    </row>
    <row r="487" spans="1:15" s="372" customFormat="1" ht="15" customHeight="1">
      <c r="A487" s="710"/>
      <c r="B487" s="711"/>
      <c r="C487" s="712"/>
      <c r="D487" s="713"/>
      <c r="E487" s="713"/>
      <c r="F487" s="714"/>
      <c r="G487" s="378" t="s">
        <v>210</v>
      </c>
      <c r="H487" s="384" t="s">
        <v>88</v>
      </c>
      <c r="I487" s="385">
        <v>0.2</v>
      </c>
      <c r="J487" s="385">
        <f>D483*I487</f>
        <v>13.560000000000002</v>
      </c>
      <c r="K487" s="375"/>
      <c r="L487" s="387">
        <f t="shared" si="68"/>
        <v>0</v>
      </c>
    </row>
    <row r="488" spans="1:15" s="372" customFormat="1" ht="15" customHeight="1">
      <c r="A488" s="710"/>
      <c r="B488" s="711"/>
      <c r="C488" s="712"/>
      <c r="D488" s="713"/>
      <c r="E488" s="713"/>
      <c r="F488" s="714"/>
      <c r="G488" s="378" t="s">
        <v>211</v>
      </c>
      <c r="H488" s="384" t="s">
        <v>37</v>
      </c>
      <c r="I488" s="388">
        <f>0.85*4</f>
        <v>3.4</v>
      </c>
      <c r="J488" s="386">
        <f>D483*I488</f>
        <v>230.52000000000004</v>
      </c>
      <c r="K488" s="375"/>
      <c r="L488" s="387">
        <f t="shared" si="68"/>
        <v>0</v>
      </c>
    </row>
    <row r="489" spans="1:15" s="372" customFormat="1" ht="15" customHeight="1">
      <c r="A489" s="710"/>
      <c r="B489" s="711"/>
      <c r="C489" s="712"/>
      <c r="D489" s="713"/>
      <c r="E489" s="713"/>
      <c r="F489" s="714"/>
      <c r="G489" s="378" t="s">
        <v>301</v>
      </c>
      <c r="H489" s="384" t="s">
        <v>88</v>
      </c>
      <c r="I489" s="385">
        <v>3</v>
      </c>
      <c r="J489" s="385">
        <f>I489*D483</f>
        <v>203.40000000000003</v>
      </c>
      <c r="K489" s="385"/>
      <c r="L489" s="387">
        <f t="shared" si="68"/>
        <v>0</v>
      </c>
    </row>
    <row r="490" spans="1:15" s="372" customFormat="1" ht="15" customHeight="1">
      <c r="A490" s="710"/>
      <c r="B490" s="711"/>
      <c r="C490" s="712"/>
      <c r="D490" s="713"/>
      <c r="E490" s="713"/>
      <c r="F490" s="714"/>
      <c r="G490" s="378" t="s">
        <v>212</v>
      </c>
      <c r="H490" s="384" t="s">
        <v>88</v>
      </c>
      <c r="I490" s="388">
        <f>2.7*4</f>
        <v>10.8</v>
      </c>
      <c r="J490" s="386">
        <f>D483*I490</f>
        <v>732.24000000000012</v>
      </c>
      <c r="K490" s="375"/>
      <c r="L490" s="387">
        <f t="shared" si="68"/>
        <v>0</v>
      </c>
      <c r="O490" s="389"/>
    </row>
    <row r="491" spans="1:15" s="372" customFormat="1" ht="15" customHeight="1">
      <c r="A491" s="710"/>
      <c r="B491" s="711"/>
      <c r="C491" s="712"/>
      <c r="D491" s="713"/>
      <c r="E491" s="713"/>
      <c r="F491" s="714"/>
      <c r="G491" s="378" t="s">
        <v>213</v>
      </c>
      <c r="H491" s="384" t="s">
        <v>88</v>
      </c>
      <c r="I491" s="385">
        <f>1.7*4</f>
        <v>6.8</v>
      </c>
      <c r="J491" s="385">
        <f>I491*D483</f>
        <v>461.04000000000008</v>
      </c>
      <c r="K491" s="375"/>
      <c r="L491" s="387">
        <f t="shared" si="68"/>
        <v>0</v>
      </c>
      <c r="M491" s="390"/>
      <c r="N491" s="390"/>
      <c r="O491" s="389"/>
    </row>
    <row r="492" spans="1:15" s="372" customFormat="1" ht="15" customHeight="1">
      <c r="A492" s="710"/>
      <c r="B492" s="711"/>
      <c r="C492" s="712"/>
      <c r="D492" s="713"/>
      <c r="E492" s="713"/>
      <c r="F492" s="714"/>
      <c r="G492" s="378" t="s">
        <v>214</v>
      </c>
      <c r="H492" s="384" t="s">
        <v>15</v>
      </c>
      <c r="I492" s="388">
        <f>0.3*2</f>
        <v>0.6</v>
      </c>
      <c r="J492" s="386">
        <f>D483*I492</f>
        <v>40.680000000000007</v>
      </c>
      <c r="K492" s="375"/>
      <c r="L492" s="387">
        <f t="shared" si="68"/>
        <v>0</v>
      </c>
      <c r="M492" s="390"/>
      <c r="N492" s="390"/>
      <c r="O492" s="389"/>
    </row>
    <row r="493" spans="1:15" s="372" customFormat="1" ht="15" customHeight="1">
      <c r="A493" s="710"/>
      <c r="B493" s="711"/>
      <c r="C493" s="712"/>
      <c r="D493" s="713"/>
      <c r="E493" s="713"/>
      <c r="F493" s="714"/>
      <c r="G493" s="378" t="s">
        <v>215</v>
      </c>
      <c r="H493" s="384" t="s">
        <v>37</v>
      </c>
      <c r="I493" s="385">
        <f>1.1*2</f>
        <v>2.2000000000000002</v>
      </c>
      <c r="J493" s="385">
        <f>D483*I493</f>
        <v>149.16000000000003</v>
      </c>
      <c r="K493" s="385"/>
      <c r="L493" s="387">
        <f t="shared" si="68"/>
        <v>0</v>
      </c>
      <c r="M493" s="390"/>
      <c r="N493" s="390"/>
      <c r="O493" s="389"/>
    </row>
    <row r="494" spans="1:15" s="372" customFormat="1" ht="15">
      <c r="A494" s="674">
        <v>176</v>
      </c>
      <c r="B494" s="707" t="s">
        <v>259</v>
      </c>
      <c r="C494" s="708" t="s">
        <v>11</v>
      </c>
      <c r="D494" s="709">
        <f>D483*2</f>
        <v>135.60000000000002</v>
      </c>
      <c r="E494" s="709"/>
      <c r="F494" s="706">
        <f>ROUND(D494*E494,2)</f>
        <v>0</v>
      </c>
      <c r="G494" s="399" t="s">
        <v>260</v>
      </c>
      <c r="H494" s="401" t="s">
        <v>15</v>
      </c>
      <c r="I494" s="395">
        <v>3.2</v>
      </c>
      <c r="J494" s="395">
        <f>D494*I494</f>
        <v>433.92000000000007</v>
      </c>
      <c r="K494" s="395"/>
      <c r="L494" s="396">
        <f t="shared" si="68"/>
        <v>0</v>
      </c>
    </row>
    <row r="495" spans="1:15" s="372" customFormat="1" ht="15">
      <c r="A495" s="674"/>
      <c r="B495" s="707"/>
      <c r="C495" s="708"/>
      <c r="D495" s="709"/>
      <c r="E495" s="709"/>
      <c r="F495" s="706"/>
      <c r="G495" s="391" t="s">
        <v>298</v>
      </c>
      <c r="H495" s="401" t="s">
        <v>13</v>
      </c>
      <c r="I495" s="395">
        <v>0.15</v>
      </c>
      <c r="J495" s="395">
        <f>D494*I495</f>
        <v>20.340000000000003</v>
      </c>
      <c r="K495" s="392"/>
      <c r="L495" s="396">
        <f t="shared" si="68"/>
        <v>0</v>
      </c>
    </row>
    <row r="496" spans="1:15" s="372" customFormat="1" ht="15" customHeight="1">
      <c r="A496" s="674"/>
      <c r="B496" s="707"/>
      <c r="C496" s="708"/>
      <c r="D496" s="709"/>
      <c r="E496" s="709"/>
      <c r="F496" s="706"/>
      <c r="G496" s="399" t="s">
        <v>223</v>
      </c>
      <c r="H496" s="401" t="s">
        <v>15</v>
      </c>
      <c r="I496" s="395">
        <v>1.8</v>
      </c>
      <c r="J496" s="395">
        <f>D494*I496</f>
        <v>244.08000000000004</v>
      </c>
      <c r="K496" s="395"/>
      <c r="L496" s="396">
        <f t="shared" si="68"/>
        <v>0</v>
      </c>
    </row>
    <row r="497" spans="1:14" s="372" customFormat="1" ht="15" customHeight="1">
      <c r="A497" s="674"/>
      <c r="B497" s="707"/>
      <c r="C497" s="708"/>
      <c r="D497" s="709"/>
      <c r="E497" s="709"/>
      <c r="F497" s="706"/>
      <c r="G497" s="391" t="s">
        <v>298</v>
      </c>
      <c r="H497" s="384" t="s">
        <v>13</v>
      </c>
      <c r="I497" s="449">
        <v>0.15</v>
      </c>
      <c r="J497" s="449">
        <f>I497*D494</f>
        <v>20.340000000000003</v>
      </c>
      <c r="K497" s="392"/>
      <c r="L497" s="396">
        <f t="shared" si="68"/>
        <v>0</v>
      </c>
    </row>
    <row r="498" spans="1:14" s="397" customFormat="1" ht="30" customHeight="1">
      <c r="A498" s="702" t="s">
        <v>451</v>
      </c>
      <c r="B498" s="703" t="s">
        <v>288</v>
      </c>
      <c r="C498" s="704" t="s">
        <v>11</v>
      </c>
      <c r="D498" s="705">
        <f>D494</f>
        <v>135.60000000000002</v>
      </c>
      <c r="E498" s="705"/>
      <c r="F498" s="706">
        <f>ROUND(D498*E498,2)</f>
        <v>0</v>
      </c>
      <c r="G498" s="391" t="s">
        <v>298</v>
      </c>
      <c r="H498" s="394" t="s">
        <v>23</v>
      </c>
      <c r="I498" s="552">
        <v>1.2999999999999999E-2</v>
      </c>
      <c r="J498" s="395">
        <f>I498*D498</f>
        <v>1.7628000000000001</v>
      </c>
      <c r="K498" s="392"/>
      <c r="L498" s="396">
        <f t="shared" si="68"/>
        <v>0</v>
      </c>
      <c r="N498" s="398"/>
    </row>
    <row r="499" spans="1:14" s="397" customFormat="1" ht="15">
      <c r="A499" s="702"/>
      <c r="B499" s="703"/>
      <c r="C499" s="704"/>
      <c r="D499" s="705"/>
      <c r="E499" s="705"/>
      <c r="F499" s="706"/>
      <c r="G499" s="391" t="s">
        <v>296</v>
      </c>
      <c r="H499" s="384" t="s">
        <v>15</v>
      </c>
      <c r="I499" s="553">
        <v>3.5000000000000003E-2</v>
      </c>
      <c r="J499" s="400">
        <f>I499*D498</f>
        <v>4.7460000000000013</v>
      </c>
      <c r="K499" s="385"/>
      <c r="L499" s="396">
        <f t="shared" si="68"/>
        <v>0</v>
      </c>
      <c r="N499" s="398"/>
    </row>
    <row r="500" spans="1:14" s="397" customFormat="1" ht="15">
      <c r="A500" s="718">
        <v>178</v>
      </c>
      <c r="B500" s="707" t="s">
        <v>240</v>
      </c>
      <c r="C500" s="708" t="s">
        <v>11</v>
      </c>
      <c r="D500" s="720">
        <f>8.2*2*3</f>
        <v>49.199999999999996</v>
      </c>
      <c r="E500" s="709"/>
      <c r="F500" s="709">
        <f>ROUND(E500*D500,2)</f>
        <v>0</v>
      </c>
      <c r="G500" s="391" t="s">
        <v>298</v>
      </c>
      <c r="H500" s="384" t="s">
        <v>13</v>
      </c>
      <c r="I500" s="385">
        <v>0.2</v>
      </c>
      <c r="J500" s="385">
        <f>I500*D500</f>
        <v>9.84</v>
      </c>
      <c r="K500" s="392"/>
      <c r="L500" s="387">
        <f t="shared" si="68"/>
        <v>0</v>
      </c>
    </row>
    <row r="501" spans="1:14" s="397" customFormat="1" ht="15">
      <c r="A501" s="719"/>
      <c r="B501" s="707"/>
      <c r="C501" s="708"/>
      <c r="D501" s="720"/>
      <c r="E501" s="709"/>
      <c r="F501" s="709"/>
      <c r="G501" s="391" t="s">
        <v>307</v>
      </c>
      <c r="H501" s="384" t="s">
        <v>11</v>
      </c>
      <c r="I501" s="386">
        <v>1.03</v>
      </c>
      <c r="J501" s="386">
        <f>D500*I501</f>
        <v>50.675999999999995</v>
      </c>
      <c r="K501" s="375"/>
      <c r="L501" s="387">
        <f t="shared" si="68"/>
        <v>0</v>
      </c>
    </row>
    <row r="502" spans="1:14" s="397" customFormat="1" ht="15">
      <c r="A502" s="719"/>
      <c r="B502" s="707"/>
      <c r="C502" s="708"/>
      <c r="D502" s="720"/>
      <c r="E502" s="709"/>
      <c r="F502" s="709"/>
      <c r="G502" s="391" t="s">
        <v>303</v>
      </c>
      <c r="H502" s="384" t="s">
        <v>15</v>
      </c>
      <c r="I502" s="385">
        <v>6.5</v>
      </c>
      <c r="J502" s="385">
        <f>D500*I502</f>
        <v>319.79999999999995</v>
      </c>
      <c r="K502" s="375"/>
      <c r="L502" s="387">
        <f t="shared" si="68"/>
        <v>0</v>
      </c>
    </row>
    <row r="503" spans="1:14" s="397" customFormat="1" ht="15">
      <c r="A503" s="719"/>
      <c r="B503" s="707"/>
      <c r="C503" s="708"/>
      <c r="D503" s="720"/>
      <c r="E503" s="709"/>
      <c r="F503" s="709"/>
      <c r="G503" s="391" t="s">
        <v>302</v>
      </c>
      <c r="H503" s="384" t="s">
        <v>15</v>
      </c>
      <c r="I503" s="386">
        <v>0.45</v>
      </c>
      <c r="J503" s="386">
        <f>D500*I503</f>
        <v>22.139999999999997</v>
      </c>
      <c r="K503" s="385"/>
      <c r="L503" s="387">
        <f t="shared" si="68"/>
        <v>0</v>
      </c>
    </row>
    <row r="504" spans="1:14" s="397" customFormat="1" ht="15">
      <c r="A504" s="718">
        <f>A500+1</f>
        <v>179</v>
      </c>
      <c r="B504" s="707" t="s">
        <v>280</v>
      </c>
      <c r="C504" s="708" t="s">
        <v>11</v>
      </c>
      <c r="D504" s="720">
        <f>(3.2*2*3)</f>
        <v>19.200000000000003</v>
      </c>
      <c r="E504" s="709"/>
      <c r="F504" s="709">
        <f>ROUND(E504*D504,2)</f>
        <v>0</v>
      </c>
      <c r="G504" s="391" t="s">
        <v>298</v>
      </c>
      <c r="H504" s="384" t="s">
        <v>13</v>
      </c>
      <c r="I504" s="385">
        <v>0.2</v>
      </c>
      <c r="J504" s="385">
        <f>I504*D504</f>
        <v>3.8400000000000007</v>
      </c>
      <c r="K504" s="392"/>
      <c r="L504" s="387">
        <f t="shared" si="68"/>
        <v>0</v>
      </c>
    </row>
    <row r="505" spans="1:14" s="397" customFormat="1" ht="15">
      <c r="A505" s="719"/>
      <c r="B505" s="707"/>
      <c r="C505" s="708"/>
      <c r="D505" s="720"/>
      <c r="E505" s="709"/>
      <c r="F505" s="709"/>
      <c r="G505" s="391" t="s">
        <v>304</v>
      </c>
      <c r="H505" s="384" t="s">
        <v>11</v>
      </c>
      <c r="I505" s="386">
        <v>1.03</v>
      </c>
      <c r="J505" s="386">
        <f>D504*I505</f>
        <v>19.776000000000003</v>
      </c>
      <c r="K505" s="375"/>
      <c r="L505" s="387">
        <f t="shared" si="68"/>
        <v>0</v>
      </c>
    </row>
    <row r="506" spans="1:14" s="397" customFormat="1" ht="15">
      <c r="A506" s="719"/>
      <c r="B506" s="707"/>
      <c r="C506" s="708"/>
      <c r="D506" s="720"/>
      <c r="E506" s="709"/>
      <c r="F506" s="709"/>
      <c r="G506" s="391" t="s">
        <v>303</v>
      </c>
      <c r="H506" s="384" t="s">
        <v>15</v>
      </c>
      <c r="I506" s="385">
        <v>6.5</v>
      </c>
      <c r="J506" s="385">
        <f>D504*I506</f>
        <v>124.80000000000001</v>
      </c>
      <c r="K506" s="375"/>
      <c r="L506" s="387">
        <f t="shared" si="68"/>
        <v>0</v>
      </c>
    </row>
    <row r="507" spans="1:14" s="397" customFormat="1" ht="15">
      <c r="A507" s="719"/>
      <c r="B507" s="707"/>
      <c r="C507" s="708"/>
      <c r="D507" s="720"/>
      <c r="E507" s="709"/>
      <c r="F507" s="709"/>
      <c r="G507" s="391" t="s">
        <v>302</v>
      </c>
      <c r="H507" s="384" t="s">
        <v>15</v>
      </c>
      <c r="I507" s="386">
        <v>0.45</v>
      </c>
      <c r="J507" s="386">
        <f>D504*I507</f>
        <v>8.6400000000000023</v>
      </c>
      <c r="K507" s="385"/>
      <c r="L507" s="387">
        <f t="shared" si="68"/>
        <v>0</v>
      </c>
    </row>
    <row r="508" spans="1:14" s="393" customFormat="1" ht="29.25" customHeight="1">
      <c r="A508" s="702" t="s">
        <v>452</v>
      </c>
      <c r="B508" s="707" t="s">
        <v>85</v>
      </c>
      <c r="C508" s="708" t="s">
        <v>11</v>
      </c>
      <c r="D508" s="709">
        <v>33.11</v>
      </c>
      <c r="E508" s="705"/>
      <c r="F508" s="706">
        <f>ROUND(D508*E508,2)</f>
        <v>0</v>
      </c>
      <c r="G508" s="452"/>
      <c r="H508" s="384"/>
      <c r="I508" s="392"/>
      <c r="J508" s="392"/>
      <c r="K508" s="392"/>
      <c r="L508" s="396"/>
    </row>
    <row r="509" spans="1:14" s="393" customFormat="1" ht="15">
      <c r="A509" s="702"/>
      <c r="B509" s="707"/>
      <c r="C509" s="708"/>
      <c r="D509" s="709"/>
      <c r="E509" s="705"/>
      <c r="F509" s="706"/>
      <c r="G509" s="453" t="s">
        <v>306</v>
      </c>
      <c r="H509" s="384" t="s">
        <v>18</v>
      </c>
      <c r="I509" s="392">
        <v>1.1000000000000001</v>
      </c>
      <c r="J509" s="392">
        <f>D508*I509</f>
        <v>36.420999999999999</v>
      </c>
      <c r="K509" s="454"/>
      <c r="L509" s="396">
        <f t="shared" ref="L509:L519" si="69">ROUND(K509*J509,2)</f>
        <v>0</v>
      </c>
    </row>
    <row r="510" spans="1:14" s="393" customFormat="1" ht="15">
      <c r="A510" s="702"/>
      <c r="B510" s="707"/>
      <c r="C510" s="708"/>
      <c r="D510" s="709"/>
      <c r="E510" s="705"/>
      <c r="F510" s="706"/>
      <c r="G510" s="399" t="s">
        <v>87</v>
      </c>
      <c r="H510" s="384" t="s">
        <v>88</v>
      </c>
      <c r="I510" s="392">
        <v>0.95</v>
      </c>
      <c r="J510" s="392">
        <f>D508*I510</f>
        <v>31.454499999999999</v>
      </c>
      <c r="K510" s="454"/>
      <c r="L510" s="396">
        <f t="shared" si="69"/>
        <v>0</v>
      </c>
    </row>
    <row r="511" spans="1:14" s="393" customFormat="1" ht="15">
      <c r="A511" s="702"/>
      <c r="B511" s="707"/>
      <c r="C511" s="708"/>
      <c r="D511" s="709"/>
      <c r="E511" s="705"/>
      <c r="F511" s="706"/>
      <c r="G511" s="399" t="s">
        <v>89</v>
      </c>
      <c r="H511" s="384" t="s">
        <v>88</v>
      </c>
      <c r="I511" s="392">
        <v>0.95</v>
      </c>
      <c r="J511" s="392">
        <f>D508*I511</f>
        <v>31.454499999999999</v>
      </c>
      <c r="K511" s="454"/>
      <c r="L511" s="396">
        <f t="shared" si="69"/>
        <v>0</v>
      </c>
    </row>
    <row r="512" spans="1:14" s="393" customFormat="1" ht="15">
      <c r="A512" s="702"/>
      <c r="B512" s="707"/>
      <c r="C512" s="708"/>
      <c r="D512" s="709"/>
      <c r="E512" s="705"/>
      <c r="F512" s="706"/>
      <c r="G512" s="399" t="s">
        <v>90</v>
      </c>
      <c r="H512" s="384" t="s">
        <v>88</v>
      </c>
      <c r="I512" s="392">
        <v>1.9</v>
      </c>
      <c r="J512" s="392">
        <f>D508*I512</f>
        <v>62.908999999999999</v>
      </c>
      <c r="K512" s="454"/>
      <c r="L512" s="396">
        <f t="shared" si="69"/>
        <v>0</v>
      </c>
    </row>
    <row r="513" spans="1:12" s="393" customFormat="1" ht="15">
      <c r="A513" s="702"/>
      <c r="B513" s="707"/>
      <c r="C513" s="708"/>
      <c r="D513" s="709"/>
      <c r="E513" s="705"/>
      <c r="F513" s="706"/>
      <c r="G513" s="399" t="s">
        <v>91</v>
      </c>
      <c r="H513" s="384" t="s">
        <v>92</v>
      </c>
      <c r="I513" s="392">
        <v>1.08</v>
      </c>
      <c r="J513" s="392">
        <f>I513*D508</f>
        <v>35.758800000000001</v>
      </c>
      <c r="K513" s="454"/>
      <c r="L513" s="396">
        <f t="shared" si="69"/>
        <v>0</v>
      </c>
    </row>
    <row r="514" spans="1:12" s="393" customFormat="1" ht="15">
      <c r="A514" s="702"/>
      <c r="B514" s="707"/>
      <c r="C514" s="708"/>
      <c r="D514" s="709"/>
      <c r="E514" s="705"/>
      <c r="F514" s="706"/>
      <c r="G514" s="399" t="s">
        <v>93</v>
      </c>
      <c r="H514" s="384" t="s">
        <v>88</v>
      </c>
      <c r="I514" s="392">
        <v>1.5</v>
      </c>
      <c r="J514" s="392">
        <f>D508*I514</f>
        <v>49.664999999999999</v>
      </c>
      <c r="K514" s="454"/>
      <c r="L514" s="396">
        <f t="shared" si="69"/>
        <v>0</v>
      </c>
    </row>
    <row r="515" spans="1:12" s="393" customFormat="1" ht="15">
      <c r="A515" s="702"/>
      <c r="B515" s="707"/>
      <c r="C515" s="708"/>
      <c r="D515" s="709"/>
      <c r="E515" s="705"/>
      <c r="F515" s="706"/>
      <c r="G515" s="399" t="s">
        <v>94</v>
      </c>
      <c r="H515" s="384" t="s">
        <v>88</v>
      </c>
      <c r="I515" s="392">
        <v>1.5</v>
      </c>
      <c r="J515" s="392">
        <f>D508*I515</f>
        <v>49.664999999999999</v>
      </c>
      <c r="K515" s="454"/>
      <c r="L515" s="396">
        <f t="shared" si="69"/>
        <v>0</v>
      </c>
    </row>
    <row r="516" spans="1:12" s="393" customFormat="1" ht="15">
      <c r="A516" s="702"/>
      <c r="B516" s="707"/>
      <c r="C516" s="708"/>
      <c r="D516" s="709"/>
      <c r="E516" s="705"/>
      <c r="F516" s="706"/>
      <c r="G516" s="399" t="s">
        <v>95</v>
      </c>
      <c r="H516" s="384" t="s">
        <v>88</v>
      </c>
      <c r="I516" s="392">
        <v>1.5</v>
      </c>
      <c r="J516" s="392">
        <f>D508*I516</f>
        <v>49.664999999999999</v>
      </c>
      <c r="K516" s="454"/>
      <c r="L516" s="396">
        <f t="shared" si="69"/>
        <v>0</v>
      </c>
    </row>
    <row r="517" spans="1:12" s="393" customFormat="1" ht="15">
      <c r="A517" s="702"/>
      <c r="B517" s="707"/>
      <c r="C517" s="708"/>
      <c r="D517" s="709"/>
      <c r="E517" s="705"/>
      <c r="F517" s="706"/>
      <c r="G517" s="399" t="s">
        <v>309</v>
      </c>
      <c r="H517" s="384" t="s">
        <v>88</v>
      </c>
      <c r="I517" s="392"/>
      <c r="J517" s="392">
        <v>210</v>
      </c>
      <c r="K517" s="454"/>
      <c r="L517" s="396">
        <f t="shared" si="69"/>
        <v>0</v>
      </c>
    </row>
    <row r="518" spans="1:12" s="393" customFormat="1" ht="15">
      <c r="A518" s="702"/>
      <c r="B518" s="707"/>
      <c r="C518" s="708"/>
      <c r="D518" s="709"/>
      <c r="E518" s="705"/>
      <c r="F518" s="706"/>
      <c r="G518" s="399" t="s">
        <v>96</v>
      </c>
      <c r="H518" s="384" t="s">
        <v>88</v>
      </c>
      <c r="I518" s="392">
        <v>1.5</v>
      </c>
      <c r="J518" s="392">
        <f>D508*I518</f>
        <v>49.664999999999999</v>
      </c>
      <c r="K518" s="392"/>
      <c r="L518" s="396">
        <f t="shared" si="69"/>
        <v>0</v>
      </c>
    </row>
    <row r="519" spans="1:12" s="393" customFormat="1" ht="30">
      <c r="A519" s="702"/>
      <c r="B519" s="707"/>
      <c r="C519" s="708"/>
      <c r="D519" s="709"/>
      <c r="E519" s="705"/>
      <c r="F519" s="706"/>
      <c r="G519" s="378" t="s">
        <v>301</v>
      </c>
      <c r="H519" s="455" t="s">
        <v>286</v>
      </c>
      <c r="I519" s="392">
        <v>3</v>
      </c>
      <c r="J519" s="392">
        <f>I519*J517</f>
        <v>630</v>
      </c>
      <c r="K519" s="385"/>
      <c r="L519" s="396">
        <f t="shared" si="69"/>
        <v>0</v>
      </c>
    </row>
    <row r="520" spans="1:12" s="372" customFormat="1" ht="15" customHeight="1">
      <c r="A520" s="403"/>
      <c r="B520" s="362" t="s">
        <v>285</v>
      </c>
      <c r="C520" s="410"/>
      <c r="D520" s="411"/>
      <c r="E520" s="440"/>
      <c r="F520" s="440"/>
      <c r="G520" s="442"/>
      <c r="H520" s="438"/>
      <c r="I520" s="439"/>
      <c r="J520" s="439"/>
      <c r="K520" s="439"/>
      <c r="L520" s="371"/>
    </row>
    <row r="521" spans="1:12" ht="17.25" customHeight="1">
      <c r="A521" s="361">
        <v>181</v>
      </c>
      <c r="B521" s="362" t="s">
        <v>272</v>
      </c>
      <c r="C521" s="412" t="s">
        <v>151</v>
      </c>
      <c r="D521" s="411">
        <v>3</v>
      </c>
      <c r="E521" s="411"/>
      <c r="F521" s="411">
        <f>D521*E521</f>
        <v>0</v>
      </c>
      <c r="G521" s="365"/>
      <c r="H521" s="365"/>
      <c r="I521" s="365"/>
      <c r="J521" s="416"/>
      <c r="K521" s="416"/>
      <c r="L521" s="417"/>
    </row>
    <row r="522" spans="1:12" s="372" customFormat="1" ht="15" customHeight="1">
      <c r="A522" s="361"/>
      <c r="B522" s="362" t="s">
        <v>31</v>
      </c>
      <c r="C522" s="410"/>
      <c r="D522" s="411"/>
      <c r="E522" s="440"/>
      <c r="F522" s="440"/>
      <c r="G522" s="441"/>
      <c r="H522" s="438"/>
      <c r="I522" s="439"/>
      <c r="J522" s="439"/>
      <c r="K522" s="439"/>
      <c r="L522" s="371"/>
    </row>
    <row r="523" spans="1:12" s="372" customFormat="1" ht="15" customHeight="1">
      <c r="A523" s="361">
        <v>182</v>
      </c>
      <c r="B523" s="362" t="s">
        <v>241</v>
      </c>
      <c r="C523" s="410" t="s">
        <v>40</v>
      </c>
      <c r="D523" s="411">
        <f>2.15+1.89+13.37+15.7</f>
        <v>33.11</v>
      </c>
      <c r="E523" s="422"/>
      <c r="F523" s="423">
        <f>ROUND(D523*E523,2)</f>
        <v>0</v>
      </c>
      <c r="G523" s="442"/>
      <c r="H523" s="438"/>
      <c r="I523" s="439"/>
      <c r="J523" s="439"/>
      <c r="K523" s="439"/>
      <c r="L523" s="371"/>
    </row>
    <row r="524" spans="1:12" s="372" customFormat="1" ht="15" customHeight="1">
      <c r="A524" s="361">
        <v>183</v>
      </c>
      <c r="B524" s="362" t="s">
        <v>216</v>
      </c>
      <c r="C524" s="410" t="s">
        <v>22</v>
      </c>
      <c r="D524" s="411">
        <f>(7.57+2.72+2.74)*2</f>
        <v>26.060000000000002</v>
      </c>
      <c r="E524" s="422"/>
      <c r="F524" s="423">
        <f>ROUND(D524*E524,2)</f>
        <v>0</v>
      </c>
      <c r="G524" s="442"/>
      <c r="H524" s="438"/>
      <c r="I524" s="439"/>
      <c r="J524" s="439"/>
      <c r="K524" s="439"/>
      <c r="L524" s="371"/>
    </row>
    <row r="525" spans="1:12" s="372" customFormat="1" ht="15" customHeight="1">
      <c r="A525" s="361">
        <v>184</v>
      </c>
      <c r="B525" s="362" t="s">
        <v>242</v>
      </c>
      <c r="C525" s="410" t="s">
        <v>40</v>
      </c>
      <c r="D525" s="411">
        <f>D523</f>
        <v>33.11</v>
      </c>
      <c r="E525" s="422"/>
      <c r="F525" s="423">
        <f>ROUND(D525*E525,2)</f>
        <v>0</v>
      </c>
      <c r="G525" s="391" t="s">
        <v>298</v>
      </c>
      <c r="H525" s="401" t="s">
        <v>13</v>
      </c>
      <c r="I525" s="395">
        <v>0.15</v>
      </c>
      <c r="J525" s="395">
        <f>D525*I525</f>
        <v>4.9664999999999999</v>
      </c>
      <c r="K525" s="392"/>
      <c r="L525" s="396">
        <f t="shared" ref="L525" si="70">ROUND(K525*J525,2)</f>
        <v>0</v>
      </c>
    </row>
    <row r="526" spans="1:12" s="372" customFormat="1" ht="15" customHeight="1">
      <c r="A526" s="677">
        <v>185</v>
      </c>
      <c r="B526" s="721" t="s">
        <v>246</v>
      </c>
      <c r="C526" s="716" t="s">
        <v>40</v>
      </c>
      <c r="D526" s="717">
        <f>D523+(D524*0.2)</f>
        <v>38.322000000000003</v>
      </c>
      <c r="E526" s="709"/>
      <c r="F526" s="706">
        <f>ROUND(D526*E526,2)</f>
        <v>0</v>
      </c>
      <c r="G526" s="442" t="s">
        <v>310</v>
      </c>
      <c r="H526" s="438" t="s">
        <v>40</v>
      </c>
      <c r="I526" s="439">
        <v>1.01</v>
      </c>
      <c r="J526" s="439">
        <f>D526*I526</f>
        <v>38.705220000000004</v>
      </c>
      <c r="K526" s="439"/>
      <c r="L526" s="371">
        <f>J526*K526</f>
        <v>0</v>
      </c>
    </row>
    <row r="527" spans="1:12" s="372" customFormat="1" ht="15" customHeight="1">
      <c r="A527" s="677"/>
      <c r="B527" s="721"/>
      <c r="C527" s="716"/>
      <c r="D527" s="717"/>
      <c r="E527" s="709"/>
      <c r="F527" s="706"/>
      <c r="G527" s="442" t="s">
        <v>311</v>
      </c>
      <c r="H527" s="438" t="s">
        <v>312</v>
      </c>
      <c r="I527" s="439">
        <v>0.4</v>
      </c>
      <c r="J527" s="439">
        <f>I527*D526</f>
        <v>15.328800000000001</v>
      </c>
      <c r="K527" s="439"/>
      <c r="L527" s="371">
        <f>J527*K527</f>
        <v>0</v>
      </c>
    </row>
    <row r="528" spans="1:12" s="372" customFormat="1" ht="15" customHeight="1">
      <c r="A528" s="677">
        <v>186</v>
      </c>
      <c r="B528" s="715" t="s">
        <v>245</v>
      </c>
      <c r="C528" s="716" t="s">
        <v>22</v>
      </c>
      <c r="D528" s="717">
        <f>15.5+4.75+5+2.18+2.18</f>
        <v>29.61</v>
      </c>
      <c r="E528" s="709"/>
      <c r="F528" s="706">
        <f>ROUND(D528*E528,2)</f>
        <v>0</v>
      </c>
      <c r="G528" s="363" t="s">
        <v>293</v>
      </c>
      <c r="H528" s="373" t="s">
        <v>22</v>
      </c>
      <c r="I528" s="374">
        <v>1.01</v>
      </c>
      <c r="J528" s="374">
        <f>10.93*I528</f>
        <v>11.039299999999999</v>
      </c>
      <c r="K528" s="375"/>
      <c r="L528" s="387">
        <f t="shared" ref="L528" si="71">ROUND(K528*J528,2)</f>
        <v>0</v>
      </c>
    </row>
    <row r="529" spans="1:15" s="372" customFormat="1" ht="15" customHeight="1">
      <c r="A529" s="677"/>
      <c r="B529" s="715"/>
      <c r="C529" s="716"/>
      <c r="D529" s="717"/>
      <c r="E529" s="709"/>
      <c r="F529" s="706"/>
      <c r="G529" s="363" t="s">
        <v>295</v>
      </c>
      <c r="H529" s="376" t="s">
        <v>294</v>
      </c>
      <c r="I529" s="376">
        <v>0.1</v>
      </c>
      <c r="J529" s="374">
        <f>I529*D528</f>
        <v>2.9610000000000003</v>
      </c>
      <c r="K529" s="375"/>
      <c r="L529" s="367">
        <f>J529*K529</f>
        <v>0</v>
      </c>
    </row>
    <row r="530" spans="1:15" s="372" customFormat="1" ht="15" customHeight="1">
      <c r="A530" s="674">
        <v>187</v>
      </c>
      <c r="B530" s="675" t="s">
        <v>278</v>
      </c>
      <c r="C530" s="700" t="s">
        <v>40</v>
      </c>
      <c r="D530" s="701">
        <v>84.131</v>
      </c>
      <c r="E530" s="701"/>
      <c r="F530" s="701">
        <f>D530*E530</f>
        <v>0</v>
      </c>
      <c r="G530" s="402" t="s">
        <v>308</v>
      </c>
      <c r="H530" s="373" t="s">
        <v>147</v>
      </c>
      <c r="I530" s="374">
        <v>1.1000000000000001</v>
      </c>
      <c r="J530" s="374">
        <f>D530*I530</f>
        <v>92.544100000000014</v>
      </c>
      <c r="K530" s="375"/>
      <c r="L530" s="387">
        <f t="shared" ref="L530:L531" si="72">ROUND(K530*J530,2)</f>
        <v>0</v>
      </c>
      <c r="O530" s="389"/>
    </row>
    <row r="531" spans="1:15" s="372" customFormat="1" ht="15" customHeight="1">
      <c r="A531" s="674"/>
      <c r="B531" s="675"/>
      <c r="C531" s="700"/>
      <c r="D531" s="701"/>
      <c r="E531" s="701"/>
      <c r="F531" s="701"/>
      <c r="G531" s="402" t="s">
        <v>220</v>
      </c>
      <c r="H531" s="373" t="s">
        <v>22</v>
      </c>
      <c r="I531" s="374">
        <v>1.01</v>
      </c>
      <c r="J531" s="374">
        <f>10.93*I531</f>
        <v>11.039299999999999</v>
      </c>
      <c r="K531" s="375"/>
      <c r="L531" s="387">
        <f t="shared" si="72"/>
        <v>0</v>
      </c>
      <c r="O531" s="389"/>
    </row>
    <row r="532" spans="1:15" s="372" customFormat="1" ht="15" customHeight="1">
      <c r="A532" s="677">
        <v>188</v>
      </c>
      <c r="B532" s="721" t="s">
        <v>246</v>
      </c>
      <c r="C532" s="716" t="s">
        <v>40</v>
      </c>
      <c r="D532" s="717">
        <f>D523</f>
        <v>33.11</v>
      </c>
      <c r="E532" s="709"/>
      <c r="F532" s="706">
        <f>ROUND(D532*E532,2)</f>
        <v>0</v>
      </c>
      <c r="G532" s="442" t="s">
        <v>310</v>
      </c>
      <c r="H532" s="438" t="s">
        <v>40</v>
      </c>
      <c r="I532" s="439">
        <v>1.01</v>
      </c>
      <c r="J532" s="439">
        <f>D532*I532</f>
        <v>33.441099999999999</v>
      </c>
      <c r="K532" s="439"/>
      <c r="L532" s="371">
        <f>J532*K532</f>
        <v>0</v>
      </c>
    </row>
    <row r="533" spans="1:15" s="372" customFormat="1" ht="15" customHeight="1">
      <c r="A533" s="677"/>
      <c r="B533" s="721"/>
      <c r="C533" s="716"/>
      <c r="D533" s="717"/>
      <c r="E533" s="709"/>
      <c r="F533" s="706"/>
      <c r="G533" s="442" t="s">
        <v>311</v>
      </c>
      <c r="H533" s="438" t="s">
        <v>312</v>
      </c>
      <c r="I533" s="439">
        <v>0.4</v>
      </c>
      <c r="J533" s="439">
        <f>I533*D532</f>
        <v>13.244</v>
      </c>
      <c r="K533" s="439"/>
      <c r="L533" s="371">
        <f>J533*K533</f>
        <v>0</v>
      </c>
    </row>
    <row r="534" spans="1:15" s="372" customFormat="1" ht="15" customHeight="1">
      <c r="A534" s="677">
        <v>189</v>
      </c>
      <c r="B534" s="715" t="s">
        <v>245</v>
      </c>
      <c r="C534" s="716" t="s">
        <v>22</v>
      </c>
      <c r="D534" s="717">
        <f>15.5+4.75+5+2.18+2.18</f>
        <v>29.61</v>
      </c>
      <c r="E534" s="709"/>
      <c r="F534" s="706">
        <f>ROUND(D534*E534,2)</f>
        <v>0</v>
      </c>
      <c r="G534" s="363" t="s">
        <v>293</v>
      </c>
      <c r="H534" s="373" t="s">
        <v>22</v>
      </c>
      <c r="I534" s="374">
        <v>1.01</v>
      </c>
      <c r="J534" s="374">
        <f>10.93*I534</f>
        <v>11.039299999999999</v>
      </c>
      <c r="K534" s="375"/>
      <c r="L534" s="387">
        <f t="shared" ref="L534" si="73">ROUND(K534*J534,2)</f>
        <v>0</v>
      </c>
    </row>
    <row r="535" spans="1:15" s="372" customFormat="1" ht="15" customHeight="1">
      <c r="A535" s="677"/>
      <c r="B535" s="715"/>
      <c r="C535" s="716"/>
      <c r="D535" s="717"/>
      <c r="E535" s="709"/>
      <c r="F535" s="706"/>
      <c r="G535" s="363" t="s">
        <v>295</v>
      </c>
      <c r="H535" s="376" t="s">
        <v>294</v>
      </c>
      <c r="I535" s="376">
        <v>0.1</v>
      </c>
      <c r="J535" s="374">
        <f>I535*D534</f>
        <v>2.9610000000000003</v>
      </c>
      <c r="K535" s="375"/>
      <c r="L535" s="367">
        <f>J535*K535</f>
        <v>0</v>
      </c>
    </row>
    <row r="536" spans="1:15" s="397" customFormat="1" ht="15">
      <c r="A536" s="718">
        <v>190</v>
      </c>
      <c r="B536" s="707" t="s">
        <v>236</v>
      </c>
      <c r="C536" s="708" t="s">
        <v>11</v>
      </c>
      <c r="D536" s="720">
        <f>3.8*2</f>
        <v>7.6</v>
      </c>
      <c r="E536" s="709"/>
      <c r="F536" s="709">
        <f>ROUND(E536*D536,2)</f>
        <v>0</v>
      </c>
      <c r="G536" s="391" t="s">
        <v>298</v>
      </c>
      <c r="H536" s="384" t="s">
        <v>13</v>
      </c>
      <c r="I536" s="385">
        <v>0.2</v>
      </c>
      <c r="J536" s="385">
        <f>I536*D536</f>
        <v>1.52</v>
      </c>
      <c r="K536" s="392"/>
      <c r="L536" s="387">
        <f t="shared" ref="L536:L539" si="74">ROUND(K536*J536,2)</f>
        <v>0</v>
      </c>
    </row>
    <row r="537" spans="1:15" s="397" customFormat="1" ht="15">
      <c r="A537" s="719"/>
      <c r="B537" s="707"/>
      <c r="C537" s="708"/>
      <c r="D537" s="720"/>
      <c r="E537" s="709"/>
      <c r="F537" s="709"/>
      <c r="G537" s="391" t="s">
        <v>307</v>
      </c>
      <c r="H537" s="384" t="s">
        <v>11</v>
      </c>
      <c r="I537" s="386">
        <v>1.03</v>
      </c>
      <c r="J537" s="386">
        <f>D536*I537</f>
        <v>7.8279999999999994</v>
      </c>
      <c r="K537" s="375"/>
      <c r="L537" s="387">
        <f t="shared" si="74"/>
        <v>0</v>
      </c>
    </row>
    <row r="538" spans="1:15" s="397" customFormat="1" ht="15">
      <c r="A538" s="719"/>
      <c r="B538" s="707"/>
      <c r="C538" s="708"/>
      <c r="D538" s="720"/>
      <c r="E538" s="709"/>
      <c r="F538" s="709"/>
      <c r="G538" s="391" t="s">
        <v>303</v>
      </c>
      <c r="H538" s="384" t="s">
        <v>15</v>
      </c>
      <c r="I538" s="385">
        <v>6.5</v>
      </c>
      <c r="J538" s="385">
        <f>D536*I538</f>
        <v>49.4</v>
      </c>
      <c r="K538" s="375"/>
      <c r="L538" s="387">
        <f t="shared" si="74"/>
        <v>0</v>
      </c>
    </row>
    <row r="539" spans="1:15" s="397" customFormat="1" ht="15">
      <c r="A539" s="719"/>
      <c r="B539" s="707"/>
      <c r="C539" s="708"/>
      <c r="D539" s="720"/>
      <c r="E539" s="709"/>
      <c r="F539" s="709"/>
      <c r="G539" s="391" t="s">
        <v>302</v>
      </c>
      <c r="H539" s="384" t="s">
        <v>15</v>
      </c>
      <c r="I539" s="386">
        <v>0.45</v>
      </c>
      <c r="J539" s="386">
        <f>D536*I539</f>
        <v>3.42</v>
      </c>
      <c r="K539" s="385"/>
      <c r="L539" s="387">
        <f t="shared" si="74"/>
        <v>0</v>
      </c>
    </row>
    <row r="540" spans="1:15" s="372" customFormat="1" ht="15" customHeight="1">
      <c r="A540" s="361"/>
      <c r="B540" s="362" t="s">
        <v>20</v>
      </c>
      <c r="C540" s="410"/>
      <c r="D540" s="411"/>
      <c r="E540" s="440"/>
      <c r="F540" s="440"/>
      <c r="G540" s="441"/>
      <c r="H540" s="438"/>
      <c r="I540" s="439"/>
      <c r="J540" s="439"/>
      <c r="K540" s="439"/>
      <c r="L540" s="371"/>
    </row>
    <row r="541" spans="1:15" s="372" customFormat="1" ht="15" customHeight="1">
      <c r="A541" s="403">
        <v>191</v>
      </c>
      <c r="B541" s="409" t="s">
        <v>279</v>
      </c>
      <c r="C541" s="412" t="s">
        <v>40</v>
      </c>
      <c r="D541" s="411">
        <f>(7.57+1.9+2.2+2.2+2.2+2.2)*3</f>
        <v>54.81</v>
      </c>
      <c r="E541" s="422"/>
      <c r="F541" s="423">
        <f>ROUND(D541*E541,2)</f>
        <v>0</v>
      </c>
      <c r="G541" s="363"/>
      <c r="H541" s="438"/>
      <c r="I541" s="439"/>
      <c r="J541" s="439"/>
      <c r="K541" s="407"/>
      <c r="L541" s="408"/>
    </row>
    <row r="542" spans="1:15" ht="15" customHeight="1">
      <c r="A542" s="710">
        <v>192</v>
      </c>
      <c r="B542" s="711" t="s">
        <v>207</v>
      </c>
      <c r="C542" s="712" t="s">
        <v>11</v>
      </c>
      <c r="D542" s="713">
        <f>22.6*3</f>
        <v>67.800000000000011</v>
      </c>
      <c r="E542" s="713"/>
      <c r="F542" s="714">
        <v>5414.5</v>
      </c>
      <c r="G542" s="378" t="s">
        <v>297</v>
      </c>
      <c r="H542" s="384" t="s">
        <v>11</v>
      </c>
      <c r="I542" s="385">
        <f>1.05*4</f>
        <v>4.2</v>
      </c>
      <c r="J542" s="385">
        <f>D542*I542</f>
        <v>284.76000000000005</v>
      </c>
      <c r="K542" s="386"/>
      <c r="L542" s="387">
        <f t="shared" ref="L542:L566" si="75">ROUND(K542*J542,2)</f>
        <v>0</v>
      </c>
    </row>
    <row r="543" spans="1:15" s="372" customFormat="1" ht="15" customHeight="1">
      <c r="A543" s="710"/>
      <c r="B543" s="711"/>
      <c r="C543" s="712"/>
      <c r="D543" s="713"/>
      <c r="E543" s="713"/>
      <c r="F543" s="714"/>
      <c r="G543" s="378" t="s">
        <v>208</v>
      </c>
      <c r="H543" s="384" t="s">
        <v>37</v>
      </c>
      <c r="I543" s="388">
        <v>2</v>
      </c>
      <c r="J543" s="386">
        <f>I543*D542</f>
        <v>135.60000000000002</v>
      </c>
      <c r="K543" s="375"/>
      <c r="L543" s="387">
        <f t="shared" si="75"/>
        <v>0</v>
      </c>
    </row>
    <row r="544" spans="1:15" s="372" customFormat="1" ht="15" customHeight="1">
      <c r="A544" s="710"/>
      <c r="B544" s="711"/>
      <c r="C544" s="712"/>
      <c r="D544" s="713"/>
      <c r="E544" s="713"/>
      <c r="F544" s="714"/>
      <c r="G544" s="378" t="s">
        <v>209</v>
      </c>
      <c r="H544" s="384" t="s">
        <v>37</v>
      </c>
      <c r="I544" s="385">
        <v>0.8</v>
      </c>
      <c r="J544" s="385">
        <f>I544*D542</f>
        <v>54.240000000000009</v>
      </c>
      <c r="K544" s="375"/>
      <c r="L544" s="387">
        <f t="shared" si="75"/>
        <v>0</v>
      </c>
    </row>
    <row r="545" spans="1:15" s="372" customFormat="1" ht="15" customHeight="1">
      <c r="A545" s="710"/>
      <c r="B545" s="711"/>
      <c r="C545" s="712"/>
      <c r="D545" s="713"/>
      <c r="E545" s="713"/>
      <c r="F545" s="714"/>
      <c r="G545" s="378" t="s">
        <v>305</v>
      </c>
      <c r="H545" s="384" t="s">
        <v>88</v>
      </c>
      <c r="I545" s="388">
        <v>1.32</v>
      </c>
      <c r="J545" s="386">
        <f>D542*I545</f>
        <v>89.496000000000024</v>
      </c>
      <c r="K545" s="375"/>
      <c r="L545" s="387">
        <f t="shared" si="75"/>
        <v>0</v>
      </c>
    </row>
    <row r="546" spans="1:15" s="372" customFormat="1" ht="15" customHeight="1">
      <c r="A546" s="710"/>
      <c r="B546" s="711"/>
      <c r="C546" s="712"/>
      <c r="D546" s="713"/>
      <c r="E546" s="713"/>
      <c r="F546" s="714"/>
      <c r="G546" s="378" t="s">
        <v>210</v>
      </c>
      <c r="H546" s="384" t="s">
        <v>88</v>
      </c>
      <c r="I546" s="385">
        <v>0.2</v>
      </c>
      <c r="J546" s="385">
        <f>D542*I546</f>
        <v>13.560000000000002</v>
      </c>
      <c r="K546" s="375"/>
      <c r="L546" s="387">
        <f t="shared" si="75"/>
        <v>0</v>
      </c>
    </row>
    <row r="547" spans="1:15" s="372" customFormat="1" ht="15" customHeight="1">
      <c r="A547" s="710"/>
      <c r="B547" s="711"/>
      <c r="C547" s="712"/>
      <c r="D547" s="713"/>
      <c r="E547" s="713"/>
      <c r="F547" s="714"/>
      <c r="G547" s="378" t="s">
        <v>211</v>
      </c>
      <c r="H547" s="384" t="s">
        <v>37</v>
      </c>
      <c r="I547" s="388">
        <f>0.85*4</f>
        <v>3.4</v>
      </c>
      <c r="J547" s="386">
        <f>D542*I547</f>
        <v>230.52000000000004</v>
      </c>
      <c r="K547" s="375"/>
      <c r="L547" s="387">
        <f t="shared" si="75"/>
        <v>0</v>
      </c>
    </row>
    <row r="548" spans="1:15" s="372" customFormat="1" ht="15" customHeight="1">
      <c r="A548" s="710"/>
      <c r="B548" s="711"/>
      <c r="C548" s="712"/>
      <c r="D548" s="713"/>
      <c r="E548" s="713"/>
      <c r="F548" s="714"/>
      <c r="G548" s="378" t="s">
        <v>301</v>
      </c>
      <c r="H548" s="384" t="s">
        <v>88</v>
      </c>
      <c r="I548" s="385">
        <v>3</v>
      </c>
      <c r="J548" s="385">
        <f>I548*D542</f>
        <v>203.40000000000003</v>
      </c>
      <c r="K548" s="385"/>
      <c r="L548" s="387">
        <f t="shared" si="75"/>
        <v>0</v>
      </c>
    </row>
    <row r="549" spans="1:15" s="372" customFormat="1" ht="15" customHeight="1">
      <c r="A549" s="710"/>
      <c r="B549" s="711"/>
      <c r="C549" s="712"/>
      <c r="D549" s="713"/>
      <c r="E549" s="713"/>
      <c r="F549" s="714"/>
      <c r="G549" s="378" t="s">
        <v>212</v>
      </c>
      <c r="H549" s="384" t="s">
        <v>88</v>
      </c>
      <c r="I549" s="388">
        <f>2.7*4</f>
        <v>10.8</v>
      </c>
      <c r="J549" s="386">
        <f>D542*I549</f>
        <v>732.24000000000012</v>
      </c>
      <c r="K549" s="375"/>
      <c r="L549" s="387">
        <f t="shared" si="75"/>
        <v>0</v>
      </c>
      <c r="O549" s="389"/>
    </row>
    <row r="550" spans="1:15" s="372" customFormat="1" ht="15" customHeight="1">
      <c r="A550" s="710"/>
      <c r="B550" s="711"/>
      <c r="C550" s="712"/>
      <c r="D550" s="713"/>
      <c r="E550" s="713"/>
      <c r="F550" s="714"/>
      <c r="G550" s="378" t="s">
        <v>213</v>
      </c>
      <c r="H550" s="384" t="s">
        <v>88</v>
      </c>
      <c r="I550" s="385">
        <f>1.7*4</f>
        <v>6.8</v>
      </c>
      <c r="J550" s="385">
        <f>I550*D542</f>
        <v>461.04000000000008</v>
      </c>
      <c r="K550" s="375"/>
      <c r="L550" s="387">
        <f t="shared" si="75"/>
        <v>0</v>
      </c>
      <c r="M550" s="390"/>
      <c r="N550" s="390"/>
      <c r="O550" s="389"/>
    </row>
    <row r="551" spans="1:15" s="372" customFormat="1" ht="15" customHeight="1">
      <c r="A551" s="710"/>
      <c r="B551" s="711"/>
      <c r="C551" s="712"/>
      <c r="D551" s="713"/>
      <c r="E551" s="713"/>
      <c r="F551" s="714"/>
      <c r="G551" s="378" t="s">
        <v>214</v>
      </c>
      <c r="H551" s="384" t="s">
        <v>15</v>
      </c>
      <c r="I551" s="388">
        <f>0.3*2</f>
        <v>0.6</v>
      </c>
      <c r="J551" s="386">
        <f>D542*I551</f>
        <v>40.680000000000007</v>
      </c>
      <c r="K551" s="375"/>
      <c r="L551" s="387">
        <f t="shared" si="75"/>
        <v>0</v>
      </c>
      <c r="M551" s="390"/>
      <c r="N551" s="390"/>
      <c r="O551" s="389"/>
    </row>
    <row r="552" spans="1:15" s="372" customFormat="1" ht="15" customHeight="1">
      <c r="A552" s="710"/>
      <c r="B552" s="711"/>
      <c r="C552" s="712"/>
      <c r="D552" s="713"/>
      <c r="E552" s="713"/>
      <c r="F552" s="714"/>
      <c r="G552" s="378" t="s">
        <v>215</v>
      </c>
      <c r="H552" s="384" t="s">
        <v>37</v>
      </c>
      <c r="I552" s="385">
        <f>1.1*2</f>
        <v>2.2000000000000002</v>
      </c>
      <c r="J552" s="385">
        <f>D542*I552</f>
        <v>149.16000000000003</v>
      </c>
      <c r="K552" s="385"/>
      <c r="L552" s="387">
        <f t="shared" si="75"/>
        <v>0</v>
      </c>
      <c r="M552" s="390"/>
      <c r="N552" s="390"/>
      <c r="O552" s="389"/>
    </row>
    <row r="553" spans="1:15" s="372" customFormat="1" ht="15">
      <c r="A553" s="674">
        <v>193</v>
      </c>
      <c r="B553" s="707" t="s">
        <v>259</v>
      </c>
      <c r="C553" s="708" t="s">
        <v>11</v>
      </c>
      <c r="D553" s="709">
        <f>D542*2</f>
        <v>135.60000000000002</v>
      </c>
      <c r="E553" s="709"/>
      <c r="F553" s="706">
        <f>ROUND(D553*E553,2)</f>
        <v>0</v>
      </c>
      <c r="G553" s="399" t="s">
        <v>260</v>
      </c>
      <c r="H553" s="401" t="s">
        <v>15</v>
      </c>
      <c r="I553" s="395">
        <v>3.2</v>
      </c>
      <c r="J553" s="395">
        <f>D553*I553</f>
        <v>433.92000000000007</v>
      </c>
      <c r="K553" s="395"/>
      <c r="L553" s="396">
        <f t="shared" si="75"/>
        <v>0</v>
      </c>
    </row>
    <row r="554" spans="1:15" s="372" customFormat="1" ht="15">
      <c r="A554" s="674"/>
      <c r="B554" s="707"/>
      <c r="C554" s="708"/>
      <c r="D554" s="709"/>
      <c r="E554" s="709"/>
      <c r="F554" s="706"/>
      <c r="G554" s="391" t="s">
        <v>298</v>
      </c>
      <c r="H554" s="401" t="s">
        <v>13</v>
      </c>
      <c r="I554" s="395">
        <v>0.15</v>
      </c>
      <c r="J554" s="395">
        <f>D553*I554</f>
        <v>20.340000000000003</v>
      </c>
      <c r="K554" s="392"/>
      <c r="L554" s="396">
        <f t="shared" si="75"/>
        <v>0</v>
      </c>
    </row>
    <row r="555" spans="1:15" s="372" customFormat="1" ht="15" customHeight="1">
      <c r="A555" s="674"/>
      <c r="B555" s="707"/>
      <c r="C555" s="708"/>
      <c r="D555" s="709"/>
      <c r="E555" s="709"/>
      <c r="F555" s="706"/>
      <c r="G555" s="399" t="s">
        <v>223</v>
      </c>
      <c r="H555" s="401" t="s">
        <v>15</v>
      </c>
      <c r="I555" s="395">
        <v>1.8</v>
      </c>
      <c r="J555" s="395">
        <f>D553*I555</f>
        <v>244.08000000000004</v>
      </c>
      <c r="K555" s="395"/>
      <c r="L555" s="396">
        <f t="shared" si="75"/>
        <v>0</v>
      </c>
    </row>
    <row r="556" spans="1:15" s="372" customFormat="1" ht="15" customHeight="1">
      <c r="A556" s="674"/>
      <c r="B556" s="707"/>
      <c r="C556" s="708"/>
      <c r="D556" s="709"/>
      <c r="E556" s="709"/>
      <c r="F556" s="706"/>
      <c r="G556" s="391" t="s">
        <v>298</v>
      </c>
      <c r="H556" s="384" t="s">
        <v>13</v>
      </c>
      <c r="I556" s="449">
        <v>0.15</v>
      </c>
      <c r="J556" s="449">
        <f>I556*D553</f>
        <v>20.340000000000003</v>
      </c>
      <c r="K556" s="392"/>
      <c r="L556" s="396">
        <f t="shared" si="75"/>
        <v>0</v>
      </c>
    </row>
    <row r="557" spans="1:15" s="397" customFormat="1" ht="30" customHeight="1">
      <c r="A557" s="702" t="s">
        <v>453</v>
      </c>
      <c r="B557" s="703" t="s">
        <v>288</v>
      </c>
      <c r="C557" s="704" t="s">
        <v>11</v>
      </c>
      <c r="D557" s="705">
        <f>D553</f>
        <v>135.60000000000002</v>
      </c>
      <c r="E557" s="705"/>
      <c r="F557" s="706">
        <f>ROUND(D557*E557,2)</f>
        <v>0</v>
      </c>
      <c r="G557" s="391" t="s">
        <v>298</v>
      </c>
      <c r="H557" s="394" t="s">
        <v>23</v>
      </c>
      <c r="I557" s="552">
        <v>1.2999999999999999E-2</v>
      </c>
      <c r="J557" s="395">
        <f>I557*D557</f>
        <v>1.7628000000000001</v>
      </c>
      <c r="K557" s="392"/>
      <c r="L557" s="396">
        <f t="shared" si="75"/>
        <v>0</v>
      </c>
      <c r="N557" s="398"/>
    </row>
    <row r="558" spans="1:15" s="397" customFormat="1" ht="15">
      <c r="A558" s="702"/>
      <c r="B558" s="703"/>
      <c r="C558" s="704"/>
      <c r="D558" s="705"/>
      <c r="E558" s="705"/>
      <c r="F558" s="706"/>
      <c r="G558" s="391" t="s">
        <v>296</v>
      </c>
      <c r="H558" s="384" t="s">
        <v>15</v>
      </c>
      <c r="I558" s="553">
        <v>3.5000000000000003E-2</v>
      </c>
      <c r="J558" s="400">
        <f>I558*D557</f>
        <v>4.7460000000000013</v>
      </c>
      <c r="K558" s="385"/>
      <c r="L558" s="396">
        <f t="shared" si="75"/>
        <v>0</v>
      </c>
      <c r="N558" s="398"/>
    </row>
    <row r="559" spans="1:15" s="397" customFormat="1" ht="15">
      <c r="A559" s="718">
        <v>195</v>
      </c>
      <c r="B559" s="707" t="s">
        <v>240</v>
      </c>
      <c r="C559" s="708" t="s">
        <v>11</v>
      </c>
      <c r="D559" s="720">
        <f>8.2*2*3</f>
        <v>49.199999999999996</v>
      </c>
      <c r="E559" s="709"/>
      <c r="F559" s="709">
        <f>ROUND(E559*D559,2)</f>
        <v>0</v>
      </c>
      <c r="G559" s="391" t="s">
        <v>298</v>
      </c>
      <c r="H559" s="384" t="s">
        <v>13</v>
      </c>
      <c r="I559" s="385">
        <v>0.2</v>
      </c>
      <c r="J559" s="385">
        <f>I559*D559</f>
        <v>9.84</v>
      </c>
      <c r="K559" s="392"/>
      <c r="L559" s="387">
        <f t="shared" si="75"/>
        <v>0</v>
      </c>
    </row>
    <row r="560" spans="1:15" s="397" customFormat="1" ht="15">
      <c r="A560" s="719"/>
      <c r="B560" s="707"/>
      <c r="C560" s="708"/>
      <c r="D560" s="720"/>
      <c r="E560" s="709"/>
      <c r="F560" s="709"/>
      <c r="G560" s="391" t="s">
        <v>307</v>
      </c>
      <c r="H560" s="384" t="s">
        <v>11</v>
      </c>
      <c r="I560" s="386">
        <v>1.03</v>
      </c>
      <c r="J560" s="386">
        <f>D559*I560</f>
        <v>50.675999999999995</v>
      </c>
      <c r="K560" s="375"/>
      <c r="L560" s="387">
        <f t="shared" si="75"/>
        <v>0</v>
      </c>
    </row>
    <row r="561" spans="1:12" s="397" customFormat="1" ht="15">
      <c r="A561" s="719"/>
      <c r="B561" s="707"/>
      <c r="C561" s="708"/>
      <c r="D561" s="720"/>
      <c r="E561" s="709"/>
      <c r="F561" s="709"/>
      <c r="G561" s="391" t="s">
        <v>303</v>
      </c>
      <c r="H561" s="384" t="s">
        <v>15</v>
      </c>
      <c r="I561" s="385">
        <v>6.5</v>
      </c>
      <c r="J561" s="385">
        <f>D559*I561</f>
        <v>319.79999999999995</v>
      </c>
      <c r="K561" s="375"/>
      <c r="L561" s="387">
        <f t="shared" si="75"/>
        <v>0</v>
      </c>
    </row>
    <row r="562" spans="1:12" s="397" customFormat="1" ht="15">
      <c r="A562" s="719"/>
      <c r="B562" s="707"/>
      <c r="C562" s="708"/>
      <c r="D562" s="720"/>
      <c r="E562" s="709"/>
      <c r="F562" s="709"/>
      <c r="G562" s="391" t="s">
        <v>302</v>
      </c>
      <c r="H562" s="384" t="s">
        <v>15</v>
      </c>
      <c r="I562" s="386">
        <v>0.45</v>
      </c>
      <c r="J562" s="386">
        <f>D559*I562</f>
        <v>22.139999999999997</v>
      </c>
      <c r="K562" s="385"/>
      <c r="L562" s="387">
        <f t="shared" si="75"/>
        <v>0</v>
      </c>
    </row>
    <row r="563" spans="1:12" s="397" customFormat="1" ht="15">
      <c r="A563" s="718">
        <f>A559+1</f>
        <v>196</v>
      </c>
      <c r="B563" s="707" t="s">
        <v>280</v>
      </c>
      <c r="C563" s="708" t="s">
        <v>11</v>
      </c>
      <c r="D563" s="720">
        <f>(3.2*2*3)</f>
        <v>19.200000000000003</v>
      </c>
      <c r="E563" s="709"/>
      <c r="F563" s="709">
        <f>ROUND(E563*D563,2)</f>
        <v>0</v>
      </c>
      <c r="G563" s="391" t="s">
        <v>298</v>
      </c>
      <c r="H563" s="384" t="s">
        <v>13</v>
      </c>
      <c r="I563" s="385">
        <v>0.2</v>
      </c>
      <c r="J563" s="385">
        <f>I563*D563</f>
        <v>3.8400000000000007</v>
      </c>
      <c r="K563" s="392"/>
      <c r="L563" s="387">
        <f t="shared" si="75"/>
        <v>0</v>
      </c>
    </row>
    <row r="564" spans="1:12" s="397" customFormat="1" ht="15">
      <c r="A564" s="719"/>
      <c r="B564" s="707"/>
      <c r="C564" s="708"/>
      <c r="D564" s="720"/>
      <c r="E564" s="709"/>
      <c r="F564" s="709"/>
      <c r="G564" s="391" t="s">
        <v>304</v>
      </c>
      <c r="H564" s="384" t="s">
        <v>11</v>
      </c>
      <c r="I564" s="386">
        <v>1.03</v>
      </c>
      <c r="J564" s="386">
        <f>D563*I564</f>
        <v>19.776000000000003</v>
      </c>
      <c r="K564" s="375"/>
      <c r="L564" s="387">
        <f t="shared" si="75"/>
        <v>0</v>
      </c>
    </row>
    <row r="565" spans="1:12" s="397" customFormat="1" ht="15">
      <c r="A565" s="719"/>
      <c r="B565" s="707"/>
      <c r="C565" s="708"/>
      <c r="D565" s="720"/>
      <c r="E565" s="709"/>
      <c r="F565" s="709"/>
      <c r="G565" s="391" t="s">
        <v>303</v>
      </c>
      <c r="H565" s="384" t="s">
        <v>15</v>
      </c>
      <c r="I565" s="385">
        <v>6.5</v>
      </c>
      <c r="J565" s="385">
        <f>D563*I565</f>
        <v>124.80000000000001</v>
      </c>
      <c r="K565" s="375"/>
      <c r="L565" s="387">
        <f t="shared" si="75"/>
        <v>0</v>
      </c>
    </row>
    <row r="566" spans="1:12" s="397" customFormat="1" ht="15">
      <c r="A566" s="719"/>
      <c r="B566" s="707"/>
      <c r="C566" s="708"/>
      <c r="D566" s="720"/>
      <c r="E566" s="709"/>
      <c r="F566" s="709"/>
      <c r="G566" s="391" t="s">
        <v>302</v>
      </c>
      <c r="H566" s="384" t="s">
        <v>15</v>
      </c>
      <c r="I566" s="386">
        <v>0.45</v>
      </c>
      <c r="J566" s="386">
        <f>D563*I566</f>
        <v>8.6400000000000023</v>
      </c>
      <c r="K566" s="385"/>
      <c r="L566" s="387">
        <f t="shared" si="75"/>
        <v>0</v>
      </c>
    </row>
    <row r="567" spans="1:12" s="393" customFormat="1" ht="29.25" customHeight="1">
      <c r="A567" s="702" t="s">
        <v>454</v>
      </c>
      <c r="B567" s="707" t="s">
        <v>85</v>
      </c>
      <c r="C567" s="708" t="s">
        <v>11</v>
      </c>
      <c r="D567" s="709">
        <v>33.11</v>
      </c>
      <c r="E567" s="705"/>
      <c r="F567" s="706">
        <f>ROUND(D567*E567,2)</f>
        <v>0</v>
      </c>
      <c r="G567" s="452"/>
      <c r="H567" s="384"/>
      <c r="I567" s="392"/>
      <c r="J567" s="392"/>
      <c r="K567" s="392"/>
      <c r="L567" s="396"/>
    </row>
    <row r="568" spans="1:12" s="393" customFormat="1" ht="15">
      <c r="A568" s="702"/>
      <c r="B568" s="707"/>
      <c r="C568" s="708"/>
      <c r="D568" s="709"/>
      <c r="E568" s="705"/>
      <c r="F568" s="706"/>
      <c r="G568" s="453" t="s">
        <v>306</v>
      </c>
      <c r="H568" s="384" t="s">
        <v>18</v>
      </c>
      <c r="I568" s="392">
        <v>1.1000000000000001</v>
      </c>
      <c r="J568" s="392">
        <f>D567*I568</f>
        <v>36.420999999999999</v>
      </c>
      <c r="K568" s="454"/>
      <c r="L568" s="396">
        <f t="shared" ref="L568:L578" si="76">ROUND(K568*J568,2)</f>
        <v>0</v>
      </c>
    </row>
    <row r="569" spans="1:12" s="393" customFormat="1" ht="15">
      <c r="A569" s="702"/>
      <c r="B569" s="707"/>
      <c r="C569" s="708"/>
      <c r="D569" s="709"/>
      <c r="E569" s="705"/>
      <c r="F569" s="706"/>
      <c r="G569" s="399" t="s">
        <v>87</v>
      </c>
      <c r="H569" s="384" t="s">
        <v>88</v>
      </c>
      <c r="I569" s="392">
        <v>0.95</v>
      </c>
      <c r="J569" s="392">
        <f>D567*I569</f>
        <v>31.454499999999999</v>
      </c>
      <c r="K569" s="454"/>
      <c r="L569" s="396">
        <f t="shared" si="76"/>
        <v>0</v>
      </c>
    </row>
    <row r="570" spans="1:12" s="393" customFormat="1" ht="15">
      <c r="A570" s="702"/>
      <c r="B570" s="707"/>
      <c r="C570" s="708"/>
      <c r="D570" s="709"/>
      <c r="E570" s="705"/>
      <c r="F570" s="706"/>
      <c r="G570" s="399" t="s">
        <v>89</v>
      </c>
      <c r="H570" s="384" t="s">
        <v>88</v>
      </c>
      <c r="I570" s="392">
        <v>0.95</v>
      </c>
      <c r="J570" s="392">
        <f>D567*I570</f>
        <v>31.454499999999999</v>
      </c>
      <c r="K570" s="454"/>
      <c r="L570" s="396">
        <f t="shared" si="76"/>
        <v>0</v>
      </c>
    </row>
    <row r="571" spans="1:12" s="393" customFormat="1" ht="15">
      <c r="A571" s="702"/>
      <c r="B571" s="707"/>
      <c r="C571" s="708"/>
      <c r="D571" s="709"/>
      <c r="E571" s="705"/>
      <c r="F571" s="706"/>
      <c r="G571" s="399" t="s">
        <v>90</v>
      </c>
      <c r="H571" s="384" t="s">
        <v>88</v>
      </c>
      <c r="I571" s="392">
        <v>1.9</v>
      </c>
      <c r="J571" s="392">
        <f>D567*I571</f>
        <v>62.908999999999999</v>
      </c>
      <c r="K571" s="454"/>
      <c r="L571" s="396">
        <f t="shared" si="76"/>
        <v>0</v>
      </c>
    </row>
    <row r="572" spans="1:12" s="393" customFormat="1" ht="15">
      <c r="A572" s="702"/>
      <c r="B572" s="707"/>
      <c r="C572" s="708"/>
      <c r="D572" s="709"/>
      <c r="E572" s="705"/>
      <c r="F572" s="706"/>
      <c r="G572" s="399" t="s">
        <v>91</v>
      </c>
      <c r="H572" s="384" t="s">
        <v>92</v>
      </c>
      <c r="I572" s="392">
        <v>1.08</v>
      </c>
      <c r="J572" s="392">
        <f>I572*D567</f>
        <v>35.758800000000001</v>
      </c>
      <c r="K572" s="454"/>
      <c r="L572" s="396">
        <f t="shared" si="76"/>
        <v>0</v>
      </c>
    </row>
    <row r="573" spans="1:12" s="393" customFormat="1" ht="15">
      <c r="A573" s="702"/>
      <c r="B573" s="707"/>
      <c r="C573" s="708"/>
      <c r="D573" s="709"/>
      <c r="E573" s="705"/>
      <c r="F573" s="706"/>
      <c r="G573" s="399" t="s">
        <v>93</v>
      </c>
      <c r="H573" s="384" t="s">
        <v>88</v>
      </c>
      <c r="I573" s="392">
        <v>1.5</v>
      </c>
      <c r="J573" s="392">
        <f>D567*I573</f>
        <v>49.664999999999999</v>
      </c>
      <c r="K573" s="454"/>
      <c r="L573" s="396">
        <f t="shared" si="76"/>
        <v>0</v>
      </c>
    </row>
    <row r="574" spans="1:12" s="393" customFormat="1" ht="15">
      <c r="A574" s="702"/>
      <c r="B574" s="707"/>
      <c r="C574" s="708"/>
      <c r="D574" s="709"/>
      <c r="E574" s="705"/>
      <c r="F574" s="706"/>
      <c r="G574" s="399" t="s">
        <v>94</v>
      </c>
      <c r="H574" s="384" t="s">
        <v>88</v>
      </c>
      <c r="I574" s="392">
        <v>1.5</v>
      </c>
      <c r="J574" s="392">
        <f>D567*I574</f>
        <v>49.664999999999999</v>
      </c>
      <c r="K574" s="454"/>
      <c r="L574" s="396">
        <f t="shared" si="76"/>
        <v>0</v>
      </c>
    </row>
    <row r="575" spans="1:12" s="393" customFormat="1" ht="15">
      <c r="A575" s="702"/>
      <c r="B575" s="707"/>
      <c r="C575" s="708"/>
      <c r="D575" s="709"/>
      <c r="E575" s="705"/>
      <c r="F575" s="706"/>
      <c r="G575" s="399" t="s">
        <v>95</v>
      </c>
      <c r="H575" s="384" t="s">
        <v>88</v>
      </c>
      <c r="I575" s="392">
        <v>1.5</v>
      </c>
      <c r="J575" s="392">
        <f>D567*I575</f>
        <v>49.664999999999999</v>
      </c>
      <c r="K575" s="454"/>
      <c r="L575" s="396">
        <f t="shared" si="76"/>
        <v>0</v>
      </c>
    </row>
    <row r="576" spans="1:12" s="393" customFormat="1" ht="15">
      <c r="A576" s="702"/>
      <c r="B576" s="707"/>
      <c r="C576" s="708"/>
      <c r="D576" s="709"/>
      <c r="E576" s="705"/>
      <c r="F576" s="706"/>
      <c r="G576" s="399" t="s">
        <v>309</v>
      </c>
      <c r="H576" s="384" t="s">
        <v>88</v>
      </c>
      <c r="I576" s="392"/>
      <c r="J576" s="392">
        <v>210</v>
      </c>
      <c r="K576" s="454"/>
      <c r="L576" s="396">
        <f t="shared" si="76"/>
        <v>0</v>
      </c>
    </row>
    <row r="577" spans="1:15" s="393" customFormat="1" ht="15">
      <c r="A577" s="702"/>
      <c r="B577" s="707"/>
      <c r="C577" s="708"/>
      <c r="D577" s="709"/>
      <c r="E577" s="705"/>
      <c r="F577" s="706"/>
      <c r="G577" s="399" t="s">
        <v>96</v>
      </c>
      <c r="H577" s="384" t="s">
        <v>88</v>
      </c>
      <c r="I577" s="392">
        <v>1.5</v>
      </c>
      <c r="J577" s="392">
        <f>D567*I577</f>
        <v>49.664999999999999</v>
      </c>
      <c r="K577" s="392"/>
      <c r="L577" s="396">
        <f t="shared" si="76"/>
        <v>0</v>
      </c>
    </row>
    <row r="578" spans="1:15" s="393" customFormat="1" ht="30">
      <c r="A578" s="702"/>
      <c r="B578" s="707"/>
      <c r="C578" s="708"/>
      <c r="D578" s="709"/>
      <c r="E578" s="705"/>
      <c r="F578" s="706"/>
      <c r="G578" s="378" t="s">
        <v>301</v>
      </c>
      <c r="H578" s="455" t="s">
        <v>286</v>
      </c>
      <c r="I578" s="392">
        <v>3</v>
      </c>
      <c r="J578" s="392">
        <f>I578*J576</f>
        <v>630</v>
      </c>
      <c r="K578" s="385"/>
      <c r="L578" s="396">
        <f t="shared" si="76"/>
        <v>0</v>
      </c>
    </row>
    <row r="579" spans="1:15" s="372" customFormat="1" ht="15" customHeight="1">
      <c r="A579" s="403"/>
      <c r="B579" s="362" t="s">
        <v>287</v>
      </c>
      <c r="C579" s="410"/>
      <c r="D579" s="411"/>
      <c r="E579" s="440"/>
      <c r="F579" s="440"/>
      <c r="G579" s="442"/>
      <c r="H579" s="438"/>
      <c r="I579" s="439"/>
      <c r="J579" s="439"/>
      <c r="K579" s="439"/>
      <c r="L579" s="371"/>
    </row>
    <row r="580" spans="1:15" s="372" customFormat="1" ht="15" customHeight="1">
      <c r="A580" s="361"/>
      <c r="B580" s="362" t="s">
        <v>20</v>
      </c>
      <c r="C580" s="410"/>
      <c r="D580" s="411"/>
      <c r="E580" s="440"/>
      <c r="F580" s="440"/>
      <c r="G580" s="441"/>
      <c r="H580" s="438"/>
      <c r="I580" s="439"/>
      <c r="J580" s="439"/>
      <c r="K580" s="439"/>
      <c r="L580" s="371"/>
    </row>
    <row r="581" spans="1:15" s="397" customFormat="1" ht="30" customHeight="1">
      <c r="A581" s="702" t="s">
        <v>455</v>
      </c>
      <c r="B581" s="703" t="s">
        <v>288</v>
      </c>
      <c r="C581" s="704" t="s">
        <v>11</v>
      </c>
      <c r="D581" s="705">
        <f>(4.27+5.53)*2*3.1</f>
        <v>60.760000000000005</v>
      </c>
      <c r="E581" s="705"/>
      <c r="F581" s="706">
        <f>ROUND(D581*E581,2)</f>
        <v>0</v>
      </c>
      <c r="G581" s="391" t="s">
        <v>298</v>
      </c>
      <c r="H581" s="394" t="s">
        <v>23</v>
      </c>
      <c r="I581" s="552">
        <v>1.2999999999999999E-2</v>
      </c>
      <c r="J581" s="395">
        <f>I581*D581</f>
        <v>0.78988000000000003</v>
      </c>
      <c r="K581" s="392"/>
      <c r="L581" s="396">
        <f t="shared" ref="L581:L582" si="77">ROUND(K581*J581,2)</f>
        <v>0</v>
      </c>
      <c r="N581" s="398"/>
    </row>
    <row r="582" spans="1:15" s="397" customFormat="1" ht="15">
      <c r="A582" s="702"/>
      <c r="B582" s="703"/>
      <c r="C582" s="704"/>
      <c r="D582" s="705"/>
      <c r="E582" s="705"/>
      <c r="F582" s="706"/>
      <c r="G582" s="391" t="s">
        <v>296</v>
      </c>
      <c r="H582" s="384" t="s">
        <v>15</v>
      </c>
      <c r="I582" s="553">
        <v>3.5000000000000003E-2</v>
      </c>
      <c r="J582" s="400">
        <f>I582*D581</f>
        <v>2.1266000000000003</v>
      </c>
      <c r="K582" s="385"/>
      <c r="L582" s="396">
        <f t="shared" si="77"/>
        <v>0</v>
      </c>
      <c r="N582" s="398"/>
    </row>
    <row r="583" spans="1:15" ht="17.25" customHeight="1">
      <c r="A583" s="361"/>
      <c r="B583" s="362" t="s">
        <v>289</v>
      </c>
      <c r="C583" s="363"/>
      <c r="D583" s="365"/>
      <c r="E583" s="365"/>
      <c r="F583" s="415"/>
      <c r="G583" s="365"/>
      <c r="H583" s="365"/>
      <c r="I583" s="365"/>
      <c r="J583" s="416"/>
      <c r="K583" s="416"/>
      <c r="L583" s="417"/>
    </row>
    <row r="584" spans="1:15" ht="17.25" customHeight="1">
      <c r="A584" s="361"/>
      <c r="B584" s="362" t="s">
        <v>290</v>
      </c>
      <c r="C584" s="363"/>
      <c r="D584" s="365"/>
      <c r="E584" s="365"/>
      <c r="F584" s="415"/>
      <c r="G584" s="365"/>
      <c r="H584" s="365"/>
      <c r="I584" s="365"/>
      <c r="J584" s="416"/>
      <c r="K584" s="416"/>
      <c r="L584" s="417"/>
    </row>
    <row r="585" spans="1:15" ht="17.25" customHeight="1">
      <c r="A585" s="361"/>
      <c r="B585" s="362" t="s">
        <v>20</v>
      </c>
      <c r="C585" s="363"/>
      <c r="D585" s="365"/>
      <c r="E585" s="365"/>
      <c r="F585" s="415"/>
      <c r="G585" s="365"/>
      <c r="H585" s="365"/>
      <c r="I585" s="365"/>
      <c r="J585" s="416"/>
      <c r="K585" s="416"/>
      <c r="L585" s="417"/>
    </row>
    <row r="586" spans="1:15" ht="15" customHeight="1">
      <c r="A586" s="403">
        <v>199</v>
      </c>
      <c r="B586" s="409" t="s">
        <v>227</v>
      </c>
      <c r="C586" s="410" t="s">
        <v>228</v>
      </c>
      <c r="D586" s="411">
        <f>1.45*2.1</f>
        <v>3.0449999999999999</v>
      </c>
      <c r="E586" s="411"/>
      <c r="F586" s="411">
        <f>D586*E586</f>
        <v>0</v>
      </c>
      <c r="G586" s="362"/>
      <c r="H586" s="412"/>
      <c r="I586" s="407"/>
      <c r="J586" s="407"/>
      <c r="K586" s="413"/>
      <c r="L586" s="408"/>
      <c r="O586" s="372"/>
    </row>
    <row r="587" spans="1:15" s="397" customFormat="1" ht="30" customHeight="1">
      <c r="A587" s="702" t="s">
        <v>456</v>
      </c>
      <c r="B587" s="703" t="s">
        <v>224</v>
      </c>
      <c r="C587" s="704" t="s">
        <v>27</v>
      </c>
      <c r="D587" s="705">
        <f>1.45+2.1+2.1</f>
        <v>5.65</v>
      </c>
      <c r="E587" s="705"/>
      <c r="F587" s="706">
        <f>ROUND(D587*E587,2)</f>
        <v>0</v>
      </c>
      <c r="G587" s="391" t="s">
        <v>298</v>
      </c>
      <c r="H587" s="394" t="s">
        <v>23</v>
      </c>
      <c r="I587" s="552">
        <v>1.2999999999999999E-2</v>
      </c>
      <c r="J587" s="395">
        <f>I587*D587</f>
        <v>7.3450000000000001E-2</v>
      </c>
      <c r="K587" s="392"/>
      <c r="L587" s="396">
        <f t="shared" ref="L587:L589" si="78">ROUND(K587*J587,2)</f>
        <v>0</v>
      </c>
      <c r="N587" s="398"/>
    </row>
    <row r="588" spans="1:15" s="397" customFormat="1" ht="15" customHeight="1">
      <c r="A588" s="702"/>
      <c r="B588" s="703"/>
      <c r="C588" s="704"/>
      <c r="D588" s="705"/>
      <c r="E588" s="705"/>
      <c r="F588" s="706"/>
      <c r="G588" s="399" t="s">
        <v>221</v>
      </c>
      <c r="H588" s="394" t="s">
        <v>24</v>
      </c>
      <c r="I588" s="395">
        <v>3.5</v>
      </c>
      <c r="J588" s="395">
        <f>D587*I588</f>
        <v>19.775000000000002</v>
      </c>
      <c r="K588" s="400"/>
      <c r="L588" s="396">
        <f t="shared" si="78"/>
        <v>0</v>
      </c>
      <c r="N588" s="398"/>
    </row>
    <row r="589" spans="1:15" s="397" customFormat="1" ht="15">
      <c r="A589" s="702"/>
      <c r="B589" s="703"/>
      <c r="C589" s="704"/>
      <c r="D589" s="705"/>
      <c r="E589" s="705"/>
      <c r="F589" s="706"/>
      <c r="G589" s="399" t="s">
        <v>222</v>
      </c>
      <c r="H589" s="394" t="s">
        <v>45</v>
      </c>
      <c r="I589" s="400">
        <v>1.01</v>
      </c>
      <c r="J589" s="400">
        <f>D587*I589</f>
        <v>5.7065000000000001</v>
      </c>
      <c r="K589" s="395"/>
      <c r="L589" s="396">
        <f t="shared" si="78"/>
        <v>0</v>
      </c>
      <c r="N589" s="398"/>
    </row>
    <row r="590" spans="1:15" s="397" customFormat="1" ht="15">
      <c r="A590" s="702" t="s">
        <v>457</v>
      </c>
      <c r="B590" s="703" t="s">
        <v>225</v>
      </c>
      <c r="C590" s="704" t="s">
        <v>40</v>
      </c>
      <c r="D590" s="705">
        <f>D587</f>
        <v>5.65</v>
      </c>
      <c r="E590" s="705"/>
      <c r="F590" s="706">
        <f>ROUND(D590*E590,2)</f>
        <v>0</v>
      </c>
      <c r="G590" s="399"/>
      <c r="H590" s="394"/>
      <c r="I590" s="400"/>
      <c r="J590" s="400"/>
      <c r="K590" s="395"/>
      <c r="L590" s="396"/>
      <c r="N590" s="398"/>
    </row>
    <row r="591" spans="1:15" s="397" customFormat="1" ht="15">
      <c r="A591" s="702"/>
      <c r="B591" s="703"/>
      <c r="C591" s="704"/>
      <c r="D591" s="705"/>
      <c r="E591" s="705"/>
      <c r="F591" s="706"/>
      <c r="G591" s="391" t="s">
        <v>298</v>
      </c>
      <c r="H591" s="394" t="s">
        <v>23</v>
      </c>
      <c r="I591" s="552">
        <v>1.2999999999999999E-2</v>
      </c>
      <c r="J591" s="395">
        <f>I591*D590</f>
        <v>7.3450000000000001E-2</v>
      </c>
      <c r="K591" s="392"/>
      <c r="L591" s="396">
        <f t="shared" ref="L591:L615" si="79">ROUND(K591*J591,2)</f>
        <v>0</v>
      </c>
      <c r="N591" s="398"/>
    </row>
    <row r="592" spans="1:15" s="397" customFormat="1" ht="15">
      <c r="A592" s="702"/>
      <c r="B592" s="703"/>
      <c r="C592" s="704"/>
      <c r="D592" s="705"/>
      <c r="E592" s="705"/>
      <c r="F592" s="706"/>
      <c r="G592" s="399" t="s">
        <v>223</v>
      </c>
      <c r="H592" s="401" t="s">
        <v>15</v>
      </c>
      <c r="I592" s="395">
        <v>1.8</v>
      </c>
      <c r="J592" s="400">
        <f>I592*D590</f>
        <v>10.170000000000002</v>
      </c>
      <c r="K592" s="395"/>
      <c r="L592" s="396">
        <f t="shared" si="79"/>
        <v>0</v>
      </c>
      <c r="N592" s="398"/>
    </row>
    <row r="593" spans="1:15" s="397" customFormat="1" ht="30" customHeight="1">
      <c r="A593" s="702" t="s">
        <v>458</v>
      </c>
      <c r="B593" s="703" t="s">
        <v>226</v>
      </c>
      <c r="C593" s="704" t="s">
        <v>11</v>
      </c>
      <c r="D593" s="705">
        <f>D590</f>
        <v>5.65</v>
      </c>
      <c r="E593" s="705"/>
      <c r="F593" s="706">
        <f>ROUND(D593*E593,2)</f>
        <v>0</v>
      </c>
      <c r="G593" s="391" t="s">
        <v>298</v>
      </c>
      <c r="H593" s="394" t="s">
        <v>23</v>
      </c>
      <c r="I593" s="552">
        <v>1.2999999999999999E-2</v>
      </c>
      <c r="J593" s="395">
        <f>I593*D593</f>
        <v>7.3450000000000001E-2</v>
      </c>
      <c r="K593" s="392"/>
      <c r="L593" s="396">
        <f t="shared" si="79"/>
        <v>0</v>
      </c>
      <c r="N593" s="398"/>
    </row>
    <row r="594" spans="1:15" s="397" customFormat="1" ht="15">
      <c r="A594" s="702"/>
      <c r="B594" s="703"/>
      <c r="C594" s="704"/>
      <c r="D594" s="705"/>
      <c r="E594" s="705"/>
      <c r="F594" s="706"/>
      <c r="G594" s="391" t="s">
        <v>296</v>
      </c>
      <c r="H594" s="384" t="s">
        <v>15</v>
      </c>
      <c r="I594" s="553">
        <v>3.5000000000000003E-2</v>
      </c>
      <c r="J594" s="400">
        <f>I594*D593</f>
        <v>0.19775000000000004</v>
      </c>
      <c r="K594" s="385"/>
      <c r="L594" s="396">
        <f t="shared" si="79"/>
        <v>0</v>
      </c>
      <c r="N594" s="398"/>
    </row>
    <row r="595" spans="1:15" s="372" customFormat="1" ht="15" customHeight="1">
      <c r="A595" s="674">
        <v>203</v>
      </c>
      <c r="B595" s="675" t="s">
        <v>219</v>
      </c>
      <c r="C595" s="700" t="s">
        <v>40</v>
      </c>
      <c r="D595" s="701">
        <v>15</v>
      </c>
      <c r="E595" s="701"/>
      <c r="F595" s="701">
        <f>D595*E595</f>
        <v>0</v>
      </c>
      <c r="G595" s="402" t="s">
        <v>308</v>
      </c>
      <c r="H595" s="373" t="s">
        <v>147</v>
      </c>
      <c r="I595" s="374">
        <v>1.1000000000000001</v>
      </c>
      <c r="J595" s="374">
        <f>D595*I595</f>
        <v>16.5</v>
      </c>
      <c r="K595" s="375"/>
      <c r="L595" s="387">
        <f t="shared" si="79"/>
        <v>0</v>
      </c>
      <c r="O595" s="389"/>
    </row>
    <row r="596" spans="1:15" s="372" customFormat="1" ht="15" customHeight="1">
      <c r="A596" s="674"/>
      <c r="B596" s="675"/>
      <c r="C596" s="700"/>
      <c r="D596" s="701"/>
      <c r="E596" s="701"/>
      <c r="F596" s="701"/>
      <c r="G596" s="402" t="s">
        <v>220</v>
      </c>
      <c r="H596" s="373" t="s">
        <v>22</v>
      </c>
      <c r="I596" s="374">
        <v>1.01</v>
      </c>
      <c r="J596" s="374">
        <f>10.93*I596</f>
        <v>11.039299999999999</v>
      </c>
      <c r="K596" s="375"/>
      <c r="L596" s="387">
        <f t="shared" si="79"/>
        <v>0</v>
      </c>
      <c r="O596" s="389"/>
    </row>
    <row r="597" spans="1:15" ht="15" customHeight="1">
      <c r="A597" s="403">
        <v>204</v>
      </c>
      <c r="B597" s="409" t="s">
        <v>232</v>
      </c>
      <c r="C597" s="410" t="s">
        <v>151</v>
      </c>
      <c r="D597" s="406">
        <v>1</v>
      </c>
      <c r="E597" s="406"/>
      <c r="F597" s="406">
        <f>D597*E597</f>
        <v>0</v>
      </c>
      <c r="G597" s="363" t="s">
        <v>300</v>
      </c>
      <c r="H597" s="412" t="s">
        <v>151</v>
      </c>
      <c r="I597" s="366">
        <v>1</v>
      </c>
      <c r="J597" s="395">
        <f>I597*D597</f>
        <v>1</v>
      </c>
      <c r="K597" s="392"/>
      <c r="L597" s="396">
        <f t="shared" si="79"/>
        <v>0</v>
      </c>
      <c r="O597" s="372"/>
    </row>
    <row r="598" spans="1:15" ht="15" customHeight="1">
      <c r="A598" s="710">
        <v>205</v>
      </c>
      <c r="B598" s="711" t="s">
        <v>207</v>
      </c>
      <c r="C598" s="712" t="s">
        <v>11</v>
      </c>
      <c r="D598" s="713">
        <f>1.8*3.1</f>
        <v>5.58</v>
      </c>
      <c r="E598" s="713"/>
      <c r="F598" s="714">
        <v>5414.5</v>
      </c>
      <c r="G598" s="378" t="s">
        <v>297</v>
      </c>
      <c r="H598" s="384" t="s">
        <v>11</v>
      </c>
      <c r="I598" s="385">
        <f>1.05*4</f>
        <v>4.2</v>
      </c>
      <c r="J598" s="385">
        <f>D598*I598</f>
        <v>23.436</v>
      </c>
      <c r="K598" s="386"/>
      <c r="L598" s="387">
        <f t="shared" si="79"/>
        <v>0</v>
      </c>
    </row>
    <row r="599" spans="1:15" s="372" customFormat="1" ht="15" customHeight="1">
      <c r="A599" s="710"/>
      <c r="B599" s="711"/>
      <c r="C599" s="712"/>
      <c r="D599" s="713"/>
      <c r="E599" s="713"/>
      <c r="F599" s="714"/>
      <c r="G599" s="378" t="s">
        <v>208</v>
      </c>
      <c r="H599" s="384" t="s">
        <v>37</v>
      </c>
      <c r="I599" s="388">
        <v>2</v>
      </c>
      <c r="J599" s="386">
        <f>I599*D598</f>
        <v>11.16</v>
      </c>
      <c r="K599" s="375"/>
      <c r="L599" s="387">
        <f t="shared" si="79"/>
        <v>0</v>
      </c>
    </row>
    <row r="600" spans="1:15" s="372" customFormat="1" ht="15" customHeight="1">
      <c r="A600" s="710"/>
      <c r="B600" s="711"/>
      <c r="C600" s="712"/>
      <c r="D600" s="713"/>
      <c r="E600" s="713"/>
      <c r="F600" s="714"/>
      <c r="G600" s="378" t="s">
        <v>209</v>
      </c>
      <c r="H600" s="384" t="s">
        <v>37</v>
      </c>
      <c r="I600" s="385">
        <v>0.8</v>
      </c>
      <c r="J600" s="385">
        <f>I600*D598</f>
        <v>4.4640000000000004</v>
      </c>
      <c r="K600" s="375"/>
      <c r="L600" s="387">
        <f t="shared" si="79"/>
        <v>0</v>
      </c>
    </row>
    <row r="601" spans="1:15" s="372" customFormat="1" ht="15" customHeight="1">
      <c r="A601" s="710"/>
      <c r="B601" s="711"/>
      <c r="C601" s="712"/>
      <c r="D601" s="713"/>
      <c r="E601" s="713"/>
      <c r="F601" s="714"/>
      <c r="G601" s="378" t="s">
        <v>305</v>
      </c>
      <c r="H601" s="384" t="s">
        <v>88</v>
      </c>
      <c r="I601" s="388">
        <v>1.32</v>
      </c>
      <c r="J601" s="386">
        <f>D598*I601</f>
        <v>7.3656000000000006</v>
      </c>
      <c r="K601" s="375"/>
      <c r="L601" s="387">
        <f t="shared" si="79"/>
        <v>0</v>
      </c>
    </row>
    <row r="602" spans="1:15" s="372" customFormat="1" ht="15" customHeight="1">
      <c r="A602" s="710"/>
      <c r="B602" s="711"/>
      <c r="C602" s="712"/>
      <c r="D602" s="713"/>
      <c r="E602" s="713"/>
      <c r="F602" s="714"/>
      <c r="G602" s="378" t="s">
        <v>210</v>
      </c>
      <c r="H602" s="384" t="s">
        <v>88</v>
      </c>
      <c r="I602" s="385">
        <v>0.2</v>
      </c>
      <c r="J602" s="385">
        <f>D598*I602</f>
        <v>1.1160000000000001</v>
      </c>
      <c r="K602" s="375"/>
      <c r="L602" s="387">
        <f t="shared" si="79"/>
        <v>0</v>
      </c>
    </row>
    <row r="603" spans="1:15" s="372" customFormat="1" ht="15" customHeight="1">
      <c r="A603" s="710"/>
      <c r="B603" s="711"/>
      <c r="C603" s="712"/>
      <c r="D603" s="713"/>
      <c r="E603" s="713"/>
      <c r="F603" s="714"/>
      <c r="G603" s="378" t="s">
        <v>211</v>
      </c>
      <c r="H603" s="384" t="s">
        <v>37</v>
      </c>
      <c r="I603" s="388">
        <f>0.85*4</f>
        <v>3.4</v>
      </c>
      <c r="J603" s="386">
        <f>D598*I603</f>
        <v>18.972000000000001</v>
      </c>
      <c r="K603" s="375"/>
      <c r="L603" s="387">
        <f t="shared" si="79"/>
        <v>0</v>
      </c>
    </row>
    <row r="604" spans="1:15" s="372" customFormat="1" ht="15" customHeight="1">
      <c r="A604" s="710"/>
      <c r="B604" s="711"/>
      <c r="C604" s="712"/>
      <c r="D604" s="713"/>
      <c r="E604" s="713"/>
      <c r="F604" s="714"/>
      <c r="G604" s="378" t="s">
        <v>301</v>
      </c>
      <c r="H604" s="384" t="s">
        <v>88</v>
      </c>
      <c r="I604" s="385">
        <v>3</v>
      </c>
      <c r="J604" s="385">
        <f>I604*D598</f>
        <v>16.740000000000002</v>
      </c>
      <c r="K604" s="385"/>
      <c r="L604" s="387">
        <f t="shared" si="79"/>
        <v>0</v>
      </c>
    </row>
    <row r="605" spans="1:15" s="372" customFormat="1" ht="15" customHeight="1">
      <c r="A605" s="710"/>
      <c r="B605" s="711"/>
      <c r="C605" s="712"/>
      <c r="D605" s="713"/>
      <c r="E605" s="713"/>
      <c r="F605" s="714"/>
      <c r="G605" s="378" t="s">
        <v>212</v>
      </c>
      <c r="H605" s="384" t="s">
        <v>88</v>
      </c>
      <c r="I605" s="388">
        <f>2.7*4</f>
        <v>10.8</v>
      </c>
      <c r="J605" s="386">
        <f>D598*I605</f>
        <v>60.264000000000003</v>
      </c>
      <c r="K605" s="375"/>
      <c r="L605" s="387">
        <f t="shared" si="79"/>
        <v>0</v>
      </c>
      <c r="O605" s="389"/>
    </row>
    <row r="606" spans="1:15" s="372" customFormat="1" ht="15" customHeight="1">
      <c r="A606" s="710"/>
      <c r="B606" s="711"/>
      <c r="C606" s="712"/>
      <c r="D606" s="713"/>
      <c r="E606" s="713"/>
      <c r="F606" s="714"/>
      <c r="G606" s="378" t="s">
        <v>213</v>
      </c>
      <c r="H606" s="384" t="s">
        <v>88</v>
      </c>
      <c r="I606" s="385">
        <f>1.7*4</f>
        <v>6.8</v>
      </c>
      <c r="J606" s="385">
        <f>I606*D598</f>
        <v>37.944000000000003</v>
      </c>
      <c r="K606" s="375"/>
      <c r="L606" s="387">
        <f t="shared" si="79"/>
        <v>0</v>
      </c>
      <c r="M606" s="390"/>
      <c r="N606" s="390"/>
      <c r="O606" s="389"/>
    </row>
    <row r="607" spans="1:15" s="372" customFormat="1" ht="15" customHeight="1">
      <c r="A607" s="710"/>
      <c r="B607" s="711"/>
      <c r="C607" s="712"/>
      <c r="D607" s="713"/>
      <c r="E607" s="713"/>
      <c r="F607" s="714"/>
      <c r="G607" s="378" t="s">
        <v>214</v>
      </c>
      <c r="H607" s="384" t="s">
        <v>15</v>
      </c>
      <c r="I607" s="388">
        <f>0.3*2</f>
        <v>0.6</v>
      </c>
      <c r="J607" s="386">
        <f>D598*I607</f>
        <v>3.3479999999999999</v>
      </c>
      <c r="K607" s="375"/>
      <c r="L607" s="387">
        <f t="shared" si="79"/>
        <v>0</v>
      </c>
      <c r="M607" s="390"/>
      <c r="N607" s="390"/>
      <c r="O607" s="389"/>
    </row>
    <row r="608" spans="1:15" s="372" customFormat="1" ht="15" customHeight="1">
      <c r="A608" s="710"/>
      <c r="B608" s="711"/>
      <c r="C608" s="712"/>
      <c r="D608" s="713"/>
      <c r="E608" s="713"/>
      <c r="F608" s="714"/>
      <c r="G608" s="378" t="s">
        <v>215</v>
      </c>
      <c r="H608" s="384" t="s">
        <v>37</v>
      </c>
      <c r="I608" s="385">
        <f>1.1*2</f>
        <v>2.2000000000000002</v>
      </c>
      <c r="J608" s="385">
        <f>D598*I608</f>
        <v>12.276000000000002</v>
      </c>
      <c r="K608" s="385"/>
      <c r="L608" s="387">
        <f t="shared" si="79"/>
        <v>0</v>
      </c>
      <c r="M608" s="390"/>
      <c r="N608" s="390"/>
      <c r="O608" s="389"/>
    </row>
    <row r="609" spans="1:15" s="372" customFormat="1" ht="15">
      <c r="A609" s="674">
        <v>206</v>
      </c>
      <c r="B609" s="707" t="s">
        <v>259</v>
      </c>
      <c r="C609" s="708" t="s">
        <v>11</v>
      </c>
      <c r="D609" s="709">
        <f>D598*2</f>
        <v>11.16</v>
      </c>
      <c r="E609" s="709"/>
      <c r="F609" s="706">
        <f>ROUND(D609*E609,2)</f>
        <v>0</v>
      </c>
      <c r="G609" s="399" t="s">
        <v>260</v>
      </c>
      <c r="H609" s="401" t="s">
        <v>15</v>
      </c>
      <c r="I609" s="395">
        <v>3.2</v>
      </c>
      <c r="J609" s="395">
        <f>D609*I609</f>
        <v>35.712000000000003</v>
      </c>
      <c r="K609" s="395"/>
      <c r="L609" s="396">
        <f t="shared" si="79"/>
        <v>0</v>
      </c>
    </row>
    <row r="610" spans="1:15" s="372" customFormat="1" ht="15">
      <c r="A610" s="674"/>
      <c r="B610" s="707"/>
      <c r="C610" s="708"/>
      <c r="D610" s="709"/>
      <c r="E610" s="709"/>
      <c r="F610" s="706"/>
      <c r="G610" s="391" t="s">
        <v>298</v>
      </c>
      <c r="H610" s="401" t="s">
        <v>13</v>
      </c>
      <c r="I610" s="395">
        <v>0.15</v>
      </c>
      <c r="J610" s="395">
        <f>D609*I610</f>
        <v>1.6739999999999999</v>
      </c>
      <c r="K610" s="392"/>
      <c r="L610" s="396">
        <f t="shared" si="79"/>
        <v>0</v>
      </c>
    </row>
    <row r="611" spans="1:15" s="372" customFormat="1" ht="15" customHeight="1">
      <c r="A611" s="674"/>
      <c r="B611" s="707"/>
      <c r="C611" s="708"/>
      <c r="D611" s="709"/>
      <c r="E611" s="709"/>
      <c r="F611" s="706"/>
      <c r="G611" s="399" t="s">
        <v>223</v>
      </c>
      <c r="H611" s="401" t="s">
        <v>15</v>
      </c>
      <c r="I611" s="395">
        <v>1.8</v>
      </c>
      <c r="J611" s="395">
        <f>D609*I611</f>
        <v>20.088000000000001</v>
      </c>
      <c r="K611" s="395"/>
      <c r="L611" s="396">
        <f t="shared" si="79"/>
        <v>0</v>
      </c>
    </row>
    <row r="612" spans="1:15" s="372" customFormat="1" ht="15" customHeight="1">
      <c r="A612" s="674"/>
      <c r="B612" s="707"/>
      <c r="C612" s="708"/>
      <c r="D612" s="709"/>
      <c r="E612" s="709"/>
      <c r="F612" s="706"/>
      <c r="G612" s="391" t="s">
        <v>298</v>
      </c>
      <c r="H612" s="384" t="s">
        <v>13</v>
      </c>
      <c r="I612" s="449">
        <v>0.15</v>
      </c>
      <c r="J612" s="449">
        <f>I612*D609</f>
        <v>1.6739999999999999</v>
      </c>
      <c r="K612" s="392"/>
      <c r="L612" s="396">
        <f t="shared" si="79"/>
        <v>0</v>
      </c>
    </row>
    <row r="613" spans="1:15" s="397" customFormat="1" ht="30" customHeight="1">
      <c r="A613" s="702" t="s">
        <v>459</v>
      </c>
      <c r="B613" s="703" t="s">
        <v>288</v>
      </c>
      <c r="C613" s="704" t="s">
        <v>11</v>
      </c>
      <c r="D613" s="705">
        <f>D609</f>
        <v>11.16</v>
      </c>
      <c r="E613" s="705"/>
      <c r="F613" s="706">
        <f>ROUND(D613*E613,2)</f>
        <v>0</v>
      </c>
      <c r="G613" s="391" t="s">
        <v>298</v>
      </c>
      <c r="H613" s="394" t="s">
        <v>23</v>
      </c>
      <c r="I613" s="552">
        <v>1.2999999999999999E-2</v>
      </c>
      <c r="J613" s="395">
        <f>I613*D613</f>
        <v>0.14507999999999999</v>
      </c>
      <c r="K613" s="392"/>
      <c r="L613" s="396">
        <f t="shared" si="79"/>
        <v>0</v>
      </c>
      <c r="N613" s="398"/>
    </row>
    <row r="614" spans="1:15" s="397" customFormat="1" ht="15">
      <c r="A614" s="702"/>
      <c r="B614" s="703"/>
      <c r="C614" s="704"/>
      <c r="D614" s="705"/>
      <c r="E614" s="705"/>
      <c r="F614" s="706"/>
      <c r="G614" s="391" t="s">
        <v>296</v>
      </c>
      <c r="H614" s="384" t="s">
        <v>15</v>
      </c>
      <c r="I614" s="553">
        <v>3.5000000000000003E-2</v>
      </c>
      <c r="J614" s="400">
        <f>I614*D613</f>
        <v>0.39060000000000006</v>
      </c>
      <c r="K614" s="385"/>
      <c r="L614" s="396">
        <f t="shared" si="79"/>
        <v>0</v>
      </c>
      <c r="N614" s="398"/>
    </row>
    <row r="615" spans="1:15" ht="15" customHeight="1">
      <c r="A615" s="403">
        <v>208</v>
      </c>
      <c r="B615" s="409" t="s">
        <v>232</v>
      </c>
      <c r="C615" s="410" t="s">
        <v>151</v>
      </c>
      <c r="D615" s="406">
        <v>7</v>
      </c>
      <c r="E615" s="406"/>
      <c r="F615" s="406">
        <f>D615*E615</f>
        <v>0</v>
      </c>
      <c r="G615" s="363" t="s">
        <v>300</v>
      </c>
      <c r="H615" s="412" t="s">
        <v>151</v>
      </c>
      <c r="I615" s="366">
        <v>1</v>
      </c>
      <c r="J615" s="395">
        <f>I615*D615</f>
        <v>7</v>
      </c>
      <c r="K615" s="392"/>
      <c r="L615" s="396">
        <f t="shared" si="79"/>
        <v>0</v>
      </c>
      <c r="O615" s="372"/>
    </row>
    <row r="616" spans="1:15" s="397" customFormat="1" ht="15">
      <c r="A616" s="418"/>
      <c r="B616" s="362" t="s">
        <v>419</v>
      </c>
      <c r="C616" s="394"/>
      <c r="D616" s="450"/>
      <c r="E616" s="450"/>
      <c r="F616" s="423"/>
      <c r="G616" s="391"/>
      <c r="H616" s="384"/>
      <c r="I616" s="553"/>
      <c r="J616" s="400"/>
      <c r="K616" s="385"/>
      <c r="L616" s="396"/>
      <c r="N616" s="398"/>
    </row>
    <row r="617" spans="1:15" s="397" customFormat="1" ht="30" customHeight="1">
      <c r="A617" s="702" t="s">
        <v>460</v>
      </c>
      <c r="B617" s="703" t="s">
        <v>420</v>
      </c>
      <c r="C617" s="704" t="s">
        <v>11</v>
      </c>
      <c r="D617" s="705">
        <v>854.56</v>
      </c>
      <c r="E617" s="705"/>
      <c r="F617" s="706">
        <f>ROUND(D617*E617,2)</f>
        <v>0</v>
      </c>
      <c r="G617" s="391" t="s">
        <v>298</v>
      </c>
      <c r="H617" s="394" t="s">
        <v>23</v>
      </c>
      <c r="I617" s="552">
        <v>1.2999999999999999E-2</v>
      </c>
      <c r="J617" s="395">
        <f>I617*D617</f>
        <v>11.109279999999998</v>
      </c>
      <c r="K617" s="392"/>
      <c r="L617" s="396">
        <f t="shared" ref="L617:L618" si="80">ROUND(K617*J617,2)</f>
        <v>0</v>
      </c>
      <c r="N617" s="398"/>
    </row>
    <row r="618" spans="1:15" s="397" customFormat="1" ht="15">
      <c r="A618" s="702"/>
      <c r="B618" s="703"/>
      <c r="C618" s="704"/>
      <c r="D618" s="705"/>
      <c r="E618" s="705"/>
      <c r="F618" s="706"/>
      <c r="G618" s="391" t="s">
        <v>296</v>
      </c>
      <c r="H618" s="384" t="s">
        <v>15</v>
      </c>
      <c r="I618" s="553">
        <v>3.5000000000000003E-2</v>
      </c>
      <c r="J618" s="400">
        <f>I618*D617</f>
        <v>29.909600000000001</v>
      </c>
      <c r="K618" s="385"/>
      <c r="L618" s="396">
        <f t="shared" si="80"/>
        <v>0</v>
      </c>
      <c r="N618" s="398"/>
    </row>
    <row r="619" spans="1:15" ht="17.25" customHeight="1">
      <c r="A619" s="361"/>
      <c r="B619" s="362" t="s">
        <v>421</v>
      </c>
      <c r="C619" s="363"/>
      <c r="D619" s="365"/>
      <c r="E619" s="365"/>
      <c r="F619" s="415"/>
      <c r="G619" s="365"/>
      <c r="H619" s="365"/>
      <c r="I619" s="365"/>
      <c r="J619" s="416"/>
      <c r="K619" s="416"/>
      <c r="L619" s="417"/>
    </row>
    <row r="620" spans="1:15" ht="17.25" customHeight="1">
      <c r="A620" s="361"/>
      <c r="B620" s="362" t="s">
        <v>31</v>
      </c>
      <c r="C620" s="363"/>
      <c r="D620" s="365"/>
      <c r="E620" s="365"/>
      <c r="F620" s="415"/>
      <c r="G620" s="365"/>
      <c r="H620" s="365"/>
      <c r="I620" s="365"/>
      <c r="J620" s="416"/>
      <c r="K620" s="416"/>
      <c r="L620" s="417"/>
    </row>
    <row r="621" spans="1:15" s="372" customFormat="1" ht="15" customHeight="1">
      <c r="A621" s="361">
        <v>210</v>
      </c>
      <c r="B621" s="362" t="s">
        <v>241</v>
      </c>
      <c r="C621" s="410" t="s">
        <v>40</v>
      </c>
      <c r="D621" s="411">
        <v>85.38</v>
      </c>
      <c r="E621" s="422"/>
      <c r="F621" s="423">
        <f>ROUND(D621*E621,2)</f>
        <v>0</v>
      </c>
      <c r="G621" s="442"/>
      <c r="H621" s="438"/>
      <c r="I621" s="439"/>
      <c r="J621" s="439"/>
      <c r="K621" s="439"/>
      <c r="L621" s="371"/>
    </row>
    <row r="622" spans="1:15" s="372" customFormat="1" ht="15" customHeight="1">
      <c r="A622" s="361">
        <v>211</v>
      </c>
      <c r="B622" s="362" t="s">
        <v>216</v>
      </c>
      <c r="C622" s="410" t="s">
        <v>22</v>
      </c>
      <c r="D622" s="411">
        <v>165</v>
      </c>
      <c r="E622" s="422"/>
      <c r="F622" s="423">
        <f>ROUND(D622*E622,2)</f>
        <v>0</v>
      </c>
      <c r="G622" s="442"/>
      <c r="H622" s="438"/>
      <c r="I622" s="439"/>
      <c r="J622" s="439"/>
      <c r="K622" s="439"/>
      <c r="L622" s="371"/>
    </row>
    <row r="623" spans="1:15" s="372" customFormat="1" ht="15" customHeight="1">
      <c r="A623" s="361">
        <v>212</v>
      </c>
      <c r="B623" s="362" t="s">
        <v>242</v>
      </c>
      <c r="C623" s="410" t="s">
        <v>40</v>
      </c>
      <c r="D623" s="411">
        <f>D621</f>
        <v>85.38</v>
      </c>
      <c r="E623" s="422"/>
      <c r="F623" s="423">
        <f>ROUND(D623*E623,2)</f>
        <v>0</v>
      </c>
      <c r="G623" s="391" t="s">
        <v>298</v>
      </c>
      <c r="H623" s="401" t="s">
        <v>13</v>
      </c>
      <c r="I623" s="395">
        <v>0.15</v>
      </c>
      <c r="J623" s="395">
        <f>D623*I623</f>
        <v>12.806999999999999</v>
      </c>
      <c r="K623" s="392"/>
      <c r="L623" s="396">
        <f t="shared" ref="L623" si="81">ROUND(K623*J623,2)</f>
        <v>0</v>
      </c>
    </row>
    <row r="624" spans="1:15" s="372" customFormat="1" ht="15" customHeight="1">
      <c r="A624" s="677">
        <v>213</v>
      </c>
      <c r="B624" s="721" t="s">
        <v>243</v>
      </c>
      <c r="C624" s="716" t="s">
        <v>40</v>
      </c>
      <c r="D624" s="717">
        <f>D621</f>
        <v>85.38</v>
      </c>
      <c r="E624" s="709"/>
      <c r="F624" s="706">
        <f>ROUND(D624*E624,2)</f>
        <v>0</v>
      </c>
      <c r="G624" s="442" t="s">
        <v>388</v>
      </c>
      <c r="H624" s="438" t="s">
        <v>40</v>
      </c>
      <c r="I624" s="439">
        <v>1.01</v>
      </c>
      <c r="J624" s="439">
        <f>D624*I624</f>
        <v>86.233800000000002</v>
      </c>
      <c r="K624" s="439"/>
      <c r="L624" s="371">
        <f>J624*K624</f>
        <v>0</v>
      </c>
    </row>
    <row r="625" spans="1:14" s="372" customFormat="1" ht="15" customHeight="1">
      <c r="A625" s="677"/>
      <c r="B625" s="721"/>
      <c r="C625" s="716"/>
      <c r="D625" s="717"/>
      <c r="E625" s="709"/>
      <c r="F625" s="706"/>
      <c r="G625" s="442" t="s">
        <v>311</v>
      </c>
      <c r="H625" s="438" t="s">
        <v>312</v>
      </c>
      <c r="I625" s="439">
        <v>0.4</v>
      </c>
      <c r="J625" s="439">
        <f>I625*D624</f>
        <v>34.152000000000001</v>
      </c>
      <c r="K625" s="439"/>
      <c r="L625" s="371">
        <f>J625*K625</f>
        <v>0</v>
      </c>
    </row>
    <row r="626" spans="1:14" s="372" customFormat="1" ht="15" customHeight="1">
      <c r="A626" s="677">
        <v>214</v>
      </c>
      <c r="B626" s="715" t="s">
        <v>245</v>
      </c>
      <c r="C626" s="716" t="s">
        <v>22</v>
      </c>
      <c r="D626" s="717">
        <f>D622</f>
        <v>165</v>
      </c>
      <c r="E626" s="709"/>
      <c r="F626" s="706">
        <f>ROUND(D626*E626,2)</f>
        <v>0</v>
      </c>
      <c r="G626" s="363" t="s">
        <v>293</v>
      </c>
      <c r="H626" s="373" t="s">
        <v>22</v>
      </c>
      <c r="I626" s="374">
        <v>1.01</v>
      </c>
      <c r="J626" s="374">
        <f>10.93*I626</f>
        <v>11.039299999999999</v>
      </c>
      <c r="K626" s="375"/>
      <c r="L626" s="387">
        <f t="shared" ref="L626" si="82">ROUND(K626*J626,2)</f>
        <v>0</v>
      </c>
    </row>
    <row r="627" spans="1:14" s="372" customFormat="1" ht="15" customHeight="1">
      <c r="A627" s="677"/>
      <c r="B627" s="715"/>
      <c r="C627" s="716"/>
      <c r="D627" s="717"/>
      <c r="E627" s="709"/>
      <c r="F627" s="706"/>
      <c r="G627" s="363" t="s">
        <v>295</v>
      </c>
      <c r="H627" s="376" t="s">
        <v>294</v>
      </c>
      <c r="I627" s="376">
        <v>0.1</v>
      </c>
      <c r="J627" s="374">
        <f>I627*D626</f>
        <v>16.5</v>
      </c>
      <c r="K627" s="375"/>
      <c r="L627" s="367">
        <f>J627*K627</f>
        <v>0</v>
      </c>
    </row>
    <row r="628" spans="1:14" s="397" customFormat="1" ht="15">
      <c r="A628" s="418"/>
      <c r="B628" s="362" t="s">
        <v>419</v>
      </c>
      <c r="C628" s="394"/>
      <c r="D628" s="450"/>
      <c r="E628" s="450"/>
      <c r="F628" s="423"/>
      <c r="G628" s="391"/>
      <c r="H628" s="384"/>
      <c r="I628" s="553"/>
      <c r="J628" s="400"/>
      <c r="K628" s="385"/>
      <c r="L628" s="396"/>
      <c r="N628" s="398"/>
    </row>
    <row r="629" spans="1:14" s="397" customFormat="1" ht="30" customHeight="1">
      <c r="A629" s="702" t="s">
        <v>461</v>
      </c>
      <c r="B629" s="703" t="s">
        <v>420</v>
      </c>
      <c r="C629" s="704" t="s">
        <v>11</v>
      </c>
      <c r="D629" s="705">
        <v>421.58</v>
      </c>
      <c r="E629" s="705"/>
      <c r="F629" s="706">
        <f>ROUND(D629*E629,2)</f>
        <v>0</v>
      </c>
      <c r="G629" s="391" t="s">
        <v>298</v>
      </c>
      <c r="H629" s="394" t="s">
        <v>23</v>
      </c>
      <c r="I629" s="552">
        <v>1.2999999999999999E-2</v>
      </c>
      <c r="J629" s="395">
        <f>I629*D629</f>
        <v>5.4805399999999995</v>
      </c>
      <c r="K629" s="392"/>
      <c r="L629" s="396">
        <f t="shared" ref="L629:L630" si="83">ROUND(K629*J629,2)</f>
        <v>0</v>
      </c>
      <c r="N629" s="398"/>
    </row>
    <row r="630" spans="1:14" s="397" customFormat="1" ht="15">
      <c r="A630" s="702"/>
      <c r="B630" s="703"/>
      <c r="C630" s="704"/>
      <c r="D630" s="705"/>
      <c r="E630" s="705"/>
      <c r="F630" s="706"/>
      <c r="G630" s="391" t="s">
        <v>296</v>
      </c>
      <c r="H630" s="384" t="s">
        <v>15</v>
      </c>
      <c r="I630" s="553">
        <v>3.5000000000000003E-2</v>
      </c>
      <c r="J630" s="400">
        <f>I630*D629</f>
        <v>14.7553</v>
      </c>
      <c r="K630" s="385"/>
      <c r="L630" s="396">
        <f t="shared" si="83"/>
        <v>0</v>
      </c>
      <c r="N630" s="398"/>
    </row>
    <row r="631" spans="1:14" ht="17.25" customHeight="1">
      <c r="A631" s="361"/>
      <c r="B631" s="362" t="s">
        <v>291</v>
      </c>
      <c r="C631" s="363"/>
      <c r="D631" s="365"/>
      <c r="E631" s="365"/>
      <c r="F631" s="415"/>
      <c r="G631" s="365"/>
      <c r="H631" s="365"/>
      <c r="I631" s="365"/>
      <c r="J631" s="416"/>
      <c r="K631" s="416"/>
      <c r="L631" s="417"/>
    </row>
    <row r="632" spans="1:14" ht="17.25" customHeight="1">
      <c r="A632" s="361"/>
      <c r="B632" s="362" t="s">
        <v>20</v>
      </c>
      <c r="C632" s="363"/>
      <c r="D632" s="365"/>
      <c r="E632" s="365"/>
      <c r="F632" s="415"/>
      <c r="G632" s="365"/>
      <c r="H632" s="365"/>
      <c r="I632" s="365"/>
      <c r="J632" s="416"/>
      <c r="K632" s="416"/>
      <c r="L632" s="417"/>
    </row>
    <row r="633" spans="1:14" s="397" customFormat="1" ht="30" customHeight="1">
      <c r="A633" s="702" t="s">
        <v>462</v>
      </c>
      <c r="B633" s="703" t="s">
        <v>288</v>
      </c>
      <c r="C633" s="704" t="s">
        <v>11</v>
      </c>
      <c r="D633" s="705">
        <f>1102+550</f>
        <v>1652</v>
      </c>
      <c r="E633" s="705"/>
      <c r="F633" s="706">
        <f>ROUND(D633*E633,2)</f>
        <v>0</v>
      </c>
      <c r="G633" s="391" t="s">
        <v>298</v>
      </c>
      <c r="H633" s="394" t="s">
        <v>23</v>
      </c>
      <c r="I633" s="552">
        <v>1.2999999999999999E-2</v>
      </c>
      <c r="J633" s="395">
        <f>I633*D633</f>
        <v>21.475999999999999</v>
      </c>
      <c r="K633" s="392"/>
      <c r="L633" s="396">
        <f t="shared" ref="L633:L634" si="84">ROUND(K633*J633,2)</f>
        <v>0</v>
      </c>
      <c r="N633" s="398"/>
    </row>
    <row r="634" spans="1:14" s="397" customFormat="1" ht="15">
      <c r="A634" s="702"/>
      <c r="B634" s="703"/>
      <c r="C634" s="704"/>
      <c r="D634" s="705"/>
      <c r="E634" s="705"/>
      <c r="F634" s="706"/>
      <c r="G634" s="391" t="s">
        <v>296</v>
      </c>
      <c r="H634" s="384" t="s">
        <v>15</v>
      </c>
      <c r="I634" s="553">
        <v>3.5000000000000003E-2</v>
      </c>
      <c r="J634" s="400">
        <f>I634*D633</f>
        <v>57.820000000000007</v>
      </c>
      <c r="K634" s="385"/>
      <c r="L634" s="396">
        <f t="shared" si="84"/>
        <v>0</v>
      </c>
      <c r="N634" s="398"/>
    </row>
    <row r="635" spans="1:14" ht="17.25" customHeight="1">
      <c r="A635" s="361"/>
      <c r="B635" s="362" t="s">
        <v>418</v>
      </c>
      <c r="C635" s="363"/>
      <c r="D635" s="365"/>
      <c r="E635" s="365"/>
      <c r="F635" s="415"/>
      <c r="G635" s="365"/>
      <c r="H635" s="365"/>
      <c r="I635" s="365"/>
      <c r="J635" s="416"/>
      <c r="K635" s="416"/>
      <c r="L635" s="417"/>
    </row>
    <row r="636" spans="1:14" ht="17.25" customHeight="1">
      <c r="A636" s="361"/>
      <c r="B636" s="362" t="s">
        <v>31</v>
      </c>
      <c r="C636" s="363"/>
      <c r="D636" s="365"/>
      <c r="E636" s="365"/>
      <c r="F636" s="415"/>
      <c r="G636" s="365"/>
      <c r="H636" s="365"/>
      <c r="I636" s="365"/>
      <c r="J636" s="416"/>
      <c r="K636" s="416"/>
      <c r="L636" s="417"/>
    </row>
    <row r="637" spans="1:14" s="372" customFormat="1" ht="15" customHeight="1">
      <c r="A637" s="361">
        <v>217</v>
      </c>
      <c r="B637" s="362" t="s">
        <v>241</v>
      </c>
      <c r="C637" s="410" t="s">
        <v>40</v>
      </c>
      <c r="D637" s="411">
        <v>70.89</v>
      </c>
      <c r="E637" s="422"/>
      <c r="F637" s="423">
        <f>ROUND(D637*E637,2)</f>
        <v>0</v>
      </c>
      <c r="G637" s="442"/>
      <c r="H637" s="438"/>
      <c r="I637" s="439"/>
      <c r="J637" s="439"/>
      <c r="K637" s="439"/>
      <c r="L637" s="371"/>
    </row>
    <row r="638" spans="1:14" s="372" customFormat="1" ht="15" customHeight="1">
      <c r="A638" s="361">
        <v>218</v>
      </c>
      <c r="B638" s="362" t="s">
        <v>216</v>
      </c>
      <c r="C638" s="410" t="s">
        <v>22</v>
      </c>
      <c r="D638" s="411">
        <v>165</v>
      </c>
      <c r="E638" s="422"/>
      <c r="F638" s="423">
        <f>ROUND(D638*E638,2)</f>
        <v>0</v>
      </c>
      <c r="G638" s="442"/>
      <c r="H638" s="438"/>
      <c r="I638" s="439"/>
      <c r="J638" s="439"/>
      <c r="K638" s="439"/>
      <c r="L638" s="371"/>
    </row>
    <row r="639" spans="1:14" s="372" customFormat="1" ht="15" customHeight="1">
      <c r="A639" s="361">
        <v>219</v>
      </c>
      <c r="B639" s="362" t="s">
        <v>242</v>
      </c>
      <c r="C639" s="410" t="s">
        <v>40</v>
      </c>
      <c r="D639" s="411">
        <f>D637</f>
        <v>70.89</v>
      </c>
      <c r="E639" s="422"/>
      <c r="F639" s="423">
        <f>ROUND(D639*E639,2)</f>
        <v>0</v>
      </c>
      <c r="G639" s="391" t="s">
        <v>298</v>
      </c>
      <c r="H639" s="401" t="s">
        <v>13</v>
      </c>
      <c r="I639" s="395">
        <v>0.15</v>
      </c>
      <c r="J639" s="395">
        <f>D639*I639</f>
        <v>10.6335</v>
      </c>
      <c r="K639" s="392"/>
      <c r="L639" s="396">
        <f t="shared" ref="L639" si="85">ROUND(K639*J639,2)</f>
        <v>0</v>
      </c>
    </row>
    <row r="640" spans="1:14" s="372" customFormat="1" ht="15" customHeight="1">
      <c r="A640" s="677">
        <v>220</v>
      </c>
      <c r="B640" s="721" t="s">
        <v>243</v>
      </c>
      <c r="C640" s="716" t="s">
        <v>40</v>
      </c>
      <c r="D640" s="717">
        <f>D637</f>
        <v>70.89</v>
      </c>
      <c r="E640" s="709"/>
      <c r="F640" s="706">
        <f>ROUND(D640*E640,2)</f>
        <v>0</v>
      </c>
      <c r="G640" s="442" t="s">
        <v>388</v>
      </c>
      <c r="H640" s="438" t="s">
        <v>40</v>
      </c>
      <c r="I640" s="439">
        <v>1.01</v>
      </c>
      <c r="J640" s="439">
        <f>D640*I640</f>
        <v>71.5989</v>
      </c>
      <c r="K640" s="439"/>
      <c r="L640" s="371">
        <f>J640*K640</f>
        <v>0</v>
      </c>
    </row>
    <row r="641" spans="1:14" s="372" customFormat="1" ht="15" customHeight="1">
      <c r="A641" s="677"/>
      <c r="B641" s="721"/>
      <c r="C641" s="716"/>
      <c r="D641" s="717"/>
      <c r="E641" s="709"/>
      <c r="F641" s="706"/>
      <c r="G641" s="442" t="s">
        <v>311</v>
      </c>
      <c r="H641" s="438" t="s">
        <v>312</v>
      </c>
      <c r="I641" s="439">
        <v>0.4</v>
      </c>
      <c r="J641" s="439">
        <f>I641*D640</f>
        <v>28.356000000000002</v>
      </c>
      <c r="K641" s="439"/>
      <c r="L641" s="371">
        <f>J641*K641</f>
        <v>0</v>
      </c>
    </row>
    <row r="642" spans="1:14" s="372" customFormat="1" ht="15" customHeight="1">
      <c r="A642" s="677">
        <v>221</v>
      </c>
      <c r="B642" s="715" t="s">
        <v>245</v>
      </c>
      <c r="C642" s="716" t="s">
        <v>22</v>
      </c>
      <c r="D642" s="717">
        <f>D638</f>
        <v>165</v>
      </c>
      <c r="E642" s="709"/>
      <c r="F642" s="706">
        <f>ROUND(D642*E642,2)</f>
        <v>0</v>
      </c>
      <c r="G642" s="363" t="s">
        <v>293</v>
      </c>
      <c r="H642" s="373" t="s">
        <v>22</v>
      </c>
      <c r="I642" s="374">
        <v>1.01</v>
      </c>
      <c r="J642" s="374">
        <f>10.93*I642</f>
        <v>11.039299999999999</v>
      </c>
      <c r="K642" s="375"/>
      <c r="L642" s="387">
        <f t="shared" ref="L642" si="86">ROUND(K642*J642,2)</f>
        <v>0</v>
      </c>
    </row>
    <row r="643" spans="1:14" s="372" customFormat="1" ht="15" customHeight="1">
      <c r="A643" s="677"/>
      <c r="B643" s="715"/>
      <c r="C643" s="716"/>
      <c r="D643" s="717"/>
      <c r="E643" s="709"/>
      <c r="F643" s="706"/>
      <c r="G643" s="363" t="s">
        <v>295</v>
      </c>
      <c r="H643" s="376" t="s">
        <v>294</v>
      </c>
      <c r="I643" s="376">
        <v>0.1</v>
      </c>
      <c r="J643" s="374">
        <f>I643*D642</f>
        <v>16.5</v>
      </c>
      <c r="K643" s="375"/>
      <c r="L643" s="367">
        <f>J643*K643</f>
        <v>0</v>
      </c>
    </row>
    <row r="644" spans="1:14" s="397" customFormat="1" ht="15">
      <c r="A644" s="418"/>
      <c r="B644" s="362" t="s">
        <v>419</v>
      </c>
      <c r="C644" s="394"/>
      <c r="D644" s="450"/>
      <c r="E644" s="450"/>
      <c r="F644" s="423"/>
      <c r="G644" s="391"/>
      <c r="H644" s="384"/>
      <c r="I644" s="553"/>
      <c r="J644" s="400"/>
      <c r="K644" s="385"/>
      <c r="L644" s="396"/>
      <c r="N644" s="398"/>
    </row>
    <row r="645" spans="1:14" s="397" customFormat="1" ht="30" customHeight="1">
      <c r="A645" s="702" t="s">
        <v>463</v>
      </c>
      <c r="B645" s="703" t="s">
        <v>420</v>
      </c>
      <c r="C645" s="704" t="s">
        <v>11</v>
      </c>
      <c r="D645" s="705">
        <v>435.21</v>
      </c>
      <c r="E645" s="705"/>
      <c r="F645" s="706">
        <f>ROUND(D645*E645,2)</f>
        <v>0</v>
      </c>
      <c r="G645" s="391" t="s">
        <v>298</v>
      </c>
      <c r="H645" s="394" t="s">
        <v>23</v>
      </c>
      <c r="I645" s="552">
        <v>1.2999999999999999E-2</v>
      </c>
      <c r="J645" s="395">
        <f>I645*D645</f>
        <v>5.657729999999999</v>
      </c>
      <c r="K645" s="392"/>
      <c r="L645" s="396">
        <f t="shared" ref="L645:L646" si="87">ROUND(K645*J645,2)</f>
        <v>0</v>
      </c>
      <c r="N645" s="398"/>
    </row>
    <row r="646" spans="1:14" s="397" customFormat="1" ht="15">
      <c r="A646" s="702"/>
      <c r="B646" s="703"/>
      <c r="C646" s="704"/>
      <c r="D646" s="705"/>
      <c r="E646" s="705"/>
      <c r="F646" s="706"/>
      <c r="G646" s="391" t="s">
        <v>296</v>
      </c>
      <c r="H646" s="384" t="s">
        <v>15</v>
      </c>
      <c r="I646" s="553">
        <v>3.5000000000000003E-2</v>
      </c>
      <c r="J646" s="400">
        <f>I646*D645</f>
        <v>15.23235</v>
      </c>
      <c r="K646" s="385"/>
      <c r="L646" s="396">
        <f t="shared" si="87"/>
        <v>0</v>
      </c>
      <c r="N646" s="398"/>
    </row>
    <row r="647" spans="1:14" ht="17.25" customHeight="1">
      <c r="A647" s="361"/>
      <c r="B647" s="362" t="s">
        <v>292</v>
      </c>
      <c r="C647" s="363"/>
      <c r="D647" s="365"/>
      <c r="E647" s="365"/>
      <c r="F647" s="415"/>
      <c r="G647" s="365"/>
      <c r="H647" s="365"/>
      <c r="I647" s="365"/>
      <c r="J647" s="416"/>
      <c r="K647" s="416"/>
      <c r="L647" s="417"/>
    </row>
    <row r="648" spans="1:14" s="372" customFormat="1" ht="15" customHeight="1">
      <c r="A648" s="361"/>
      <c r="B648" s="362" t="s">
        <v>31</v>
      </c>
      <c r="C648" s="410"/>
      <c r="D648" s="411"/>
      <c r="E648" s="440"/>
      <c r="F648" s="440"/>
      <c r="G648" s="441"/>
      <c r="H648" s="438"/>
      <c r="I648" s="439"/>
      <c r="J648" s="439"/>
      <c r="K648" s="439"/>
      <c r="L648" s="371"/>
    </row>
    <row r="649" spans="1:14" s="372" customFormat="1" ht="15" customHeight="1">
      <c r="A649" s="361">
        <v>223</v>
      </c>
      <c r="B649" s="362" t="s">
        <v>241</v>
      </c>
      <c r="C649" s="410" t="s">
        <v>40</v>
      </c>
      <c r="D649" s="411">
        <v>18.5</v>
      </c>
      <c r="E649" s="422"/>
      <c r="F649" s="423">
        <f>ROUND(D649*E649,2)</f>
        <v>0</v>
      </c>
      <c r="G649" s="442"/>
      <c r="H649" s="438"/>
      <c r="I649" s="439"/>
      <c r="J649" s="439"/>
      <c r="K649" s="439"/>
      <c r="L649" s="371"/>
    </row>
    <row r="650" spans="1:14" s="372" customFormat="1" ht="15" customHeight="1">
      <c r="A650" s="361">
        <v>224</v>
      </c>
      <c r="B650" s="362" t="s">
        <v>216</v>
      </c>
      <c r="C650" s="410" t="s">
        <v>22</v>
      </c>
      <c r="D650" s="411">
        <f>(5.33+4.1)*2</f>
        <v>18.86</v>
      </c>
      <c r="E650" s="422"/>
      <c r="F650" s="423">
        <f>ROUND(D650*E650,2)</f>
        <v>0</v>
      </c>
      <c r="G650" s="442"/>
      <c r="H650" s="438"/>
      <c r="I650" s="439"/>
      <c r="J650" s="439"/>
      <c r="K650" s="439"/>
      <c r="L650" s="371"/>
    </row>
    <row r="651" spans="1:14" s="372" customFormat="1" ht="15" customHeight="1">
      <c r="A651" s="361">
        <v>225</v>
      </c>
      <c r="B651" s="362" t="s">
        <v>242</v>
      </c>
      <c r="C651" s="410" t="s">
        <v>40</v>
      </c>
      <c r="D651" s="411">
        <f>D649</f>
        <v>18.5</v>
      </c>
      <c r="E651" s="422"/>
      <c r="F651" s="423">
        <f>ROUND(D651*E651,2)</f>
        <v>0</v>
      </c>
      <c r="G651" s="391" t="s">
        <v>298</v>
      </c>
      <c r="H651" s="401" t="s">
        <v>13</v>
      </c>
      <c r="I651" s="395">
        <v>0.15</v>
      </c>
      <c r="J651" s="395">
        <f>D651*I651</f>
        <v>2.7749999999999999</v>
      </c>
      <c r="K651" s="392"/>
      <c r="L651" s="396">
        <f t="shared" ref="L651" si="88">ROUND(K651*J651,2)</f>
        <v>0</v>
      </c>
    </row>
    <row r="652" spans="1:14" s="372" customFormat="1" ht="15" customHeight="1">
      <c r="A652" s="677">
        <v>226</v>
      </c>
      <c r="B652" s="721" t="s">
        <v>246</v>
      </c>
      <c r="C652" s="716" t="s">
        <v>40</v>
      </c>
      <c r="D652" s="717">
        <f>D649</f>
        <v>18.5</v>
      </c>
      <c r="E652" s="709"/>
      <c r="F652" s="706">
        <f>ROUND(D652*E652,2)</f>
        <v>0</v>
      </c>
      <c r="G652" s="442" t="s">
        <v>310</v>
      </c>
      <c r="H652" s="438" t="s">
        <v>40</v>
      </c>
      <c r="I652" s="439">
        <v>1.01</v>
      </c>
      <c r="J652" s="439">
        <f>D652*I652</f>
        <v>18.684999999999999</v>
      </c>
      <c r="K652" s="439"/>
      <c r="L652" s="371">
        <f>J652*K652</f>
        <v>0</v>
      </c>
    </row>
    <row r="653" spans="1:14" s="372" customFormat="1" ht="15" customHeight="1">
      <c r="A653" s="677"/>
      <c r="B653" s="721"/>
      <c r="C653" s="716"/>
      <c r="D653" s="717"/>
      <c r="E653" s="709"/>
      <c r="F653" s="706"/>
      <c r="G653" s="442" t="s">
        <v>311</v>
      </c>
      <c r="H653" s="438" t="s">
        <v>312</v>
      </c>
      <c r="I653" s="439">
        <v>0.4</v>
      </c>
      <c r="J653" s="439">
        <f>I653*D652</f>
        <v>7.4</v>
      </c>
      <c r="K653" s="439"/>
      <c r="L653" s="371">
        <f>J653*K653</f>
        <v>0</v>
      </c>
    </row>
    <row r="654" spans="1:14" s="397" customFormat="1" ht="15">
      <c r="A654" s="718">
        <v>227</v>
      </c>
      <c r="B654" s="707" t="s">
        <v>236</v>
      </c>
      <c r="C654" s="708" t="s">
        <v>11</v>
      </c>
      <c r="D654" s="720">
        <f>3.8*2</f>
        <v>7.6</v>
      </c>
      <c r="E654" s="709"/>
      <c r="F654" s="709">
        <f>ROUND(E654*D654,2)</f>
        <v>0</v>
      </c>
      <c r="G654" s="391" t="s">
        <v>298</v>
      </c>
      <c r="H654" s="384" t="s">
        <v>13</v>
      </c>
      <c r="I654" s="385">
        <v>0.2</v>
      </c>
      <c r="J654" s="385">
        <f>I654*D654</f>
        <v>1.52</v>
      </c>
      <c r="K654" s="392"/>
      <c r="L654" s="387">
        <f t="shared" ref="L654:L657" si="89">ROUND(K654*J654,2)</f>
        <v>0</v>
      </c>
    </row>
    <row r="655" spans="1:14" s="397" customFormat="1" ht="15">
      <c r="A655" s="719"/>
      <c r="B655" s="707"/>
      <c r="C655" s="708"/>
      <c r="D655" s="720"/>
      <c r="E655" s="709"/>
      <c r="F655" s="709"/>
      <c r="G655" s="391" t="s">
        <v>307</v>
      </c>
      <c r="H655" s="384" t="s">
        <v>11</v>
      </c>
      <c r="I655" s="386">
        <v>1.03</v>
      </c>
      <c r="J655" s="386">
        <f>D654*I655</f>
        <v>7.8279999999999994</v>
      </c>
      <c r="K655" s="375"/>
      <c r="L655" s="387">
        <f t="shared" si="89"/>
        <v>0</v>
      </c>
    </row>
    <row r="656" spans="1:14" s="397" customFormat="1" ht="15">
      <c r="A656" s="719"/>
      <c r="B656" s="707"/>
      <c r="C656" s="708"/>
      <c r="D656" s="720"/>
      <c r="E656" s="709"/>
      <c r="F656" s="709"/>
      <c r="G656" s="391" t="s">
        <v>303</v>
      </c>
      <c r="H656" s="384" t="s">
        <v>15</v>
      </c>
      <c r="I656" s="385">
        <v>6.5</v>
      </c>
      <c r="J656" s="385">
        <f>D654*I656</f>
        <v>49.4</v>
      </c>
      <c r="K656" s="375"/>
      <c r="L656" s="387">
        <f t="shared" si="89"/>
        <v>0</v>
      </c>
    </row>
    <row r="657" spans="1:15" s="397" customFormat="1" ht="15">
      <c r="A657" s="719"/>
      <c r="B657" s="707"/>
      <c r="C657" s="708"/>
      <c r="D657" s="720"/>
      <c r="E657" s="709"/>
      <c r="F657" s="709"/>
      <c r="G657" s="391" t="s">
        <v>302</v>
      </c>
      <c r="H657" s="384" t="s">
        <v>15</v>
      </c>
      <c r="I657" s="386">
        <v>0.45</v>
      </c>
      <c r="J657" s="386">
        <f>D654*I657</f>
        <v>3.42</v>
      </c>
      <c r="K657" s="385"/>
      <c r="L657" s="387">
        <f t="shared" si="89"/>
        <v>0</v>
      </c>
    </row>
    <row r="658" spans="1:15" s="397" customFormat="1" ht="15">
      <c r="A658" s="451"/>
      <c r="B658" s="362" t="s">
        <v>20</v>
      </c>
      <c r="C658" s="401"/>
      <c r="D658" s="430"/>
      <c r="E658" s="422"/>
      <c r="F658" s="422"/>
      <c r="G658" s="391"/>
      <c r="H658" s="384"/>
      <c r="I658" s="386"/>
      <c r="J658" s="386"/>
      <c r="K658" s="385"/>
      <c r="L658" s="387"/>
    </row>
    <row r="659" spans="1:15" ht="15" customHeight="1">
      <c r="A659" s="710">
        <v>228</v>
      </c>
      <c r="B659" s="711" t="s">
        <v>207</v>
      </c>
      <c r="C659" s="712" t="s">
        <v>11</v>
      </c>
      <c r="D659" s="713">
        <f>(5.65+3+2.2+3)*4</f>
        <v>55.400000000000006</v>
      </c>
      <c r="E659" s="713"/>
      <c r="F659" s="714">
        <v>5414.5</v>
      </c>
      <c r="G659" s="378" t="s">
        <v>297</v>
      </c>
      <c r="H659" s="384" t="s">
        <v>11</v>
      </c>
      <c r="I659" s="385">
        <f>1.05*4</f>
        <v>4.2</v>
      </c>
      <c r="J659" s="385">
        <f>D659*I659</f>
        <v>232.68000000000004</v>
      </c>
      <c r="K659" s="386"/>
      <c r="L659" s="387">
        <f t="shared" ref="L659:L684" si="90">ROUND(K659*J659,2)</f>
        <v>0</v>
      </c>
    </row>
    <row r="660" spans="1:15" s="372" customFormat="1" ht="15" customHeight="1">
      <c r="A660" s="710"/>
      <c r="B660" s="711"/>
      <c r="C660" s="712"/>
      <c r="D660" s="713"/>
      <c r="E660" s="713"/>
      <c r="F660" s="714"/>
      <c r="G660" s="378" t="s">
        <v>208</v>
      </c>
      <c r="H660" s="384" t="s">
        <v>37</v>
      </c>
      <c r="I660" s="388">
        <v>2</v>
      </c>
      <c r="J660" s="386">
        <f>I660*D659</f>
        <v>110.80000000000001</v>
      </c>
      <c r="K660" s="375"/>
      <c r="L660" s="387">
        <f t="shared" si="90"/>
        <v>0</v>
      </c>
    </row>
    <row r="661" spans="1:15" s="372" customFormat="1" ht="15" customHeight="1">
      <c r="A661" s="710"/>
      <c r="B661" s="711"/>
      <c r="C661" s="712"/>
      <c r="D661" s="713"/>
      <c r="E661" s="713"/>
      <c r="F661" s="714"/>
      <c r="G661" s="378" t="s">
        <v>209</v>
      </c>
      <c r="H661" s="384" t="s">
        <v>37</v>
      </c>
      <c r="I661" s="385">
        <v>0.8</v>
      </c>
      <c r="J661" s="385">
        <f>I661*D659</f>
        <v>44.320000000000007</v>
      </c>
      <c r="K661" s="375"/>
      <c r="L661" s="387">
        <f t="shared" si="90"/>
        <v>0</v>
      </c>
    </row>
    <row r="662" spans="1:15" s="372" customFormat="1" ht="15" customHeight="1">
      <c r="A662" s="710"/>
      <c r="B662" s="711"/>
      <c r="C662" s="712"/>
      <c r="D662" s="713"/>
      <c r="E662" s="713"/>
      <c r="F662" s="714"/>
      <c r="G662" s="378" t="s">
        <v>305</v>
      </c>
      <c r="H662" s="384" t="s">
        <v>88</v>
      </c>
      <c r="I662" s="388">
        <v>1.32</v>
      </c>
      <c r="J662" s="386">
        <f>D659*I662</f>
        <v>73.128000000000014</v>
      </c>
      <c r="K662" s="375"/>
      <c r="L662" s="387">
        <f t="shared" si="90"/>
        <v>0</v>
      </c>
    </row>
    <row r="663" spans="1:15" s="372" customFormat="1" ht="15" customHeight="1">
      <c r="A663" s="710"/>
      <c r="B663" s="711"/>
      <c r="C663" s="712"/>
      <c r="D663" s="713"/>
      <c r="E663" s="713"/>
      <c r="F663" s="714"/>
      <c r="G663" s="378" t="s">
        <v>210</v>
      </c>
      <c r="H663" s="384" t="s">
        <v>88</v>
      </c>
      <c r="I663" s="385">
        <v>0.2</v>
      </c>
      <c r="J663" s="385">
        <f>D659*I663</f>
        <v>11.080000000000002</v>
      </c>
      <c r="K663" s="375"/>
      <c r="L663" s="387">
        <f t="shared" si="90"/>
        <v>0</v>
      </c>
    </row>
    <row r="664" spans="1:15" s="372" customFormat="1" ht="15" customHeight="1">
      <c r="A664" s="710"/>
      <c r="B664" s="711"/>
      <c r="C664" s="712"/>
      <c r="D664" s="713"/>
      <c r="E664" s="713"/>
      <c r="F664" s="714"/>
      <c r="G664" s="378" t="s">
        <v>211</v>
      </c>
      <c r="H664" s="384" t="s">
        <v>37</v>
      </c>
      <c r="I664" s="388">
        <f>0.85*4</f>
        <v>3.4</v>
      </c>
      <c r="J664" s="386">
        <f>D659*I664</f>
        <v>188.36</v>
      </c>
      <c r="K664" s="375"/>
      <c r="L664" s="387">
        <f t="shared" si="90"/>
        <v>0</v>
      </c>
    </row>
    <row r="665" spans="1:15" s="372" customFormat="1" ht="15" customHeight="1">
      <c r="A665" s="710"/>
      <c r="B665" s="711"/>
      <c r="C665" s="712"/>
      <c r="D665" s="713"/>
      <c r="E665" s="713"/>
      <c r="F665" s="714"/>
      <c r="G665" s="378" t="s">
        <v>301</v>
      </c>
      <c r="H665" s="384" t="s">
        <v>88</v>
      </c>
      <c r="I665" s="385">
        <v>3</v>
      </c>
      <c r="J665" s="385">
        <f>I665*D659</f>
        <v>166.20000000000002</v>
      </c>
      <c r="K665" s="385"/>
      <c r="L665" s="387">
        <f t="shared" si="90"/>
        <v>0</v>
      </c>
    </row>
    <row r="666" spans="1:15" s="372" customFormat="1" ht="15" customHeight="1">
      <c r="A666" s="710"/>
      <c r="B666" s="711"/>
      <c r="C666" s="712"/>
      <c r="D666" s="713"/>
      <c r="E666" s="713"/>
      <c r="F666" s="714"/>
      <c r="G666" s="378" t="s">
        <v>212</v>
      </c>
      <c r="H666" s="384" t="s">
        <v>88</v>
      </c>
      <c r="I666" s="388">
        <f>2.7*4</f>
        <v>10.8</v>
      </c>
      <c r="J666" s="386">
        <f>D659*I666</f>
        <v>598.32000000000005</v>
      </c>
      <c r="K666" s="375"/>
      <c r="L666" s="387">
        <f t="shared" si="90"/>
        <v>0</v>
      </c>
      <c r="O666" s="389"/>
    </row>
    <row r="667" spans="1:15" s="372" customFormat="1" ht="15" customHeight="1">
      <c r="A667" s="710"/>
      <c r="B667" s="711"/>
      <c r="C667" s="712"/>
      <c r="D667" s="713"/>
      <c r="E667" s="713"/>
      <c r="F667" s="714"/>
      <c r="G667" s="378" t="s">
        <v>213</v>
      </c>
      <c r="H667" s="384" t="s">
        <v>88</v>
      </c>
      <c r="I667" s="385">
        <f>1.7*4</f>
        <v>6.8</v>
      </c>
      <c r="J667" s="385">
        <f>I667*D659</f>
        <v>376.72</v>
      </c>
      <c r="K667" s="375"/>
      <c r="L667" s="387">
        <f t="shared" si="90"/>
        <v>0</v>
      </c>
      <c r="M667" s="390"/>
      <c r="N667" s="390"/>
      <c r="O667" s="389"/>
    </row>
    <row r="668" spans="1:15" s="372" customFormat="1" ht="15" customHeight="1">
      <c r="A668" s="710"/>
      <c r="B668" s="711"/>
      <c r="C668" s="712"/>
      <c r="D668" s="713"/>
      <c r="E668" s="713"/>
      <c r="F668" s="714"/>
      <c r="G668" s="378" t="s">
        <v>214</v>
      </c>
      <c r="H668" s="384" t="s">
        <v>15</v>
      </c>
      <c r="I668" s="388">
        <f>0.3*2</f>
        <v>0.6</v>
      </c>
      <c r="J668" s="386">
        <f>D659*I668</f>
        <v>33.24</v>
      </c>
      <c r="K668" s="375"/>
      <c r="L668" s="387">
        <f t="shared" si="90"/>
        <v>0</v>
      </c>
      <c r="M668" s="390"/>
      <c r="N668" s="390"/>
      <c r="O668" s="389"/>
    </row>
    <row r="669" spans="1:15" s="372" customFormat="1" ht="15" customHeight="1">
      <c r="A669" s="710"/>
      <c r="B669" s="711"/>
      <c r="C669" s="712"/>
      <c r="D669" s="713"/>
      <c r="E669" s="713"/>
      <c r="F669" s="714"/>
      <c r="G669" s="378" t="s">
        <v>215</v>
      </c>
      <c r="H669" s="384" t="s">
        <v>37</v>
      </c>
      <c r="I669" s="385">
        <f>1.1*2</f>
        <v>2.2000000000000002</v>
      </c>
      <c r="J669" s="385">
        <f>D659*I669</f>
        <v>121.88000000000002</v>
      </c>
      <c r="K669" s="385"/>
      <c r="L669" s="387">
        <f t="shared" si="90"/>
        <v>0</v>
      </c>
      <c r="M669" s="390"/>
      <c r="N669" s="390"/>
      <c r="O669" s="389"/>
    </row>
    <row r="670" spans="1:15" ht="15" customHeight="1">
      <c r="A670" s="403">
        <v>229</v>
      </c>
      <c r="B670" s="409" t="s">
        <v>232</v>
      </c>
      <c r="C670" s="410" t="s">
        <v>151</v>
      </c>
      <c r="D670" s="406">
        <v>3</v>
      </c>
      <c r="E670" s="406"/>
      <c r="F670" s="406">
        <f>D670*E670</f>
        <v>0</v>
      </c>
      <c r="G670" s="363" t="s">
        <v>300</v>
      </c>
      <c r="H670" s="412" t="s">
        <v>151</v>
      </c>
      <c r="I670" s="366">
        <v>1</v>
      </c>
      <c r="J670" s="395">
        <f>I670*D670</f>
        <v>3</v>
      </c>
      <c r="K670" s="392"/>
      <c r="L670" s="396">
        <f t="shared" si="90"/>
        <v>0</v>
      </c>
      <c r="O670" s="372"/>
    </row>
    <row r="671" spans="1:15" s="372" customFormat="1" ht="15">
      <c r="A671" s="674">
        <v>230</v>
      </c>
      <c r="B671" s="707" t="s">
        <v>259</v>
      </c>
      <c r="C671" s="708" t="s">
        <v>11</v>
      </c>
      <c r="D671" s="709">
        <f>D659*2</f>
        <v>110.80000000000001</v>
      </c>
      <c r="E671" s="709"/>
      <c r="F671" s="706">
        <f>ROUND(D671*E671,2)</f>
        <v>0</v>
      </c>
      <c r="G671" s="399" t="s">
        <v>260</v>
      </c>
      <c r="H671" s="401" t="s">
        <v>15</v>
      </c>
      <c r="I671" s="395">
        <v>3.2</v>
      </c>
      <c r="J671" s="395">
        <f>D671*I671</f>
        <v>354.56000000000006</v>
      </c>
      <c r="K671" s="395"/>
      <c r="L671" s="396">
        <f t="shared" si="90"/>
        <v>0</v>
      </c>
    </row>
    <row r="672" spans="1:15" s="372" customFormat="1" ht="15">
      <c r="A672" s="674"/>
      <c r="B672" s="707"/>
      <c r="C672" s="708"/>
      <c r="D672" s="709"/>
      <c r="E672" s="709"/>
      <c r="F672" s="706"/>
      <c r="G672" s="391" t="s">
        <v>298</v>
      </c>
      <c r="H672" s="401" t="s">
        <v>13</v>
      </c>
      <c r="I672" s="395">
        <v>0.15</v>
      </c>
      <c r="J672" s="395">
        <f>D671*I672</f>
        <v>16.62</v>
      </c>
      <c r="K672" s="392"/>
      <c r="L672" s="396">
        <f t="shared" si="90"/>
        <v>0</v>
      </c>
    </row>
    <row r="673" spans="1:15" s="372" customFormat="1" ht="15" customHeight="1">
      <c r="A673" s="674"/>
      <c r="B673" s="707"/>
      <c r="C673" s="708"/>
      <c r="D673" s="709"/>
      <c r="E673" s="709"/>
      <c r="F673" s="706"/>
      <c r="G673" s="399" t="s">
        <v>223</v>
      </c>
      <c r="H673" s="401" t="s">
        <v>15</v>
      </c>
      <c r="I673" s="395">
        <v>1.8</v>
      </c>
      <c r="J673" s="395">
        <f>D671*I673</f>
        <v>199.44000000000003</v>
      </c>
      <c r="K673" s="395"/>
      <c r="L673" s="396">
        <f t="shared" si="90"/>
        <v>0</v>
      </c>
    </row>
    <row r="674" spans="1:15" s="372" customFormat="1" ht="15" customHeight="1">
      <c r="A674" s="674"/>
      <c r="B674" s="707"/>
      <c r="C674" s="708"/>
      <c r="D674" s="709"/>
      <c r="E674" s="709"/>
      <c r="F674" s="706"/>
      <c r="G674" s="391" t="s">
        <v>298</v>
      </c>
      <c r="H674" s="384" t="s">
        <v>13</v>
      </c>
      <c r="I674" s="449">
        <v>0.15</v>
      </c>
      <c r="J674" s="449">
        <f>I674*D671</f>
        <v>16.62</v>
      </c>
      <c r="K674" s="392"/>
      <c r="L674" s="396">
        <f t="shared" si="90"/>
        <v>0</v>
      </c>
    </row>
    <row r="675" spans="1:15" s="397" customFormat="1" ht="30" customHeight="1">
      <c r="A675" s="702" t="s">
        <v>464</v>
      </c>
      <c r="B675" s="703" t="s">
        <v>288</v>
      </c>
      <c r="C675" s="704" t="s">
        <v>11</v>
      </c>
      <c r="D675" s="705">
        <f>D671</f>
        <v>110.80000000000001</v>
      </c>
      <c r="E675" s="705"/>
      <c r="F675" s="706">
        <f>ROUND(D675*E675,2)</f>
        <v>0</v>
      </c>
      <c r="G675" s="391" t="s">
        <v>298</v>
      </c>
      <c r="H675" s="394" t="s">
        <v>23</v>
      </c>
      <c r="I675" s="552">
        <v>1.2999999999999999E-2</v>
      </c>
      <c r="J675" s="395">
        <f>I675*D675</f>
        <v>1.4404000000000001</v>
      </c>
      <c r="K675" s="392"/>
      <c r="L675" s="396">
        <f t="shared" si="90"/>
        <v>0</v>
      </c>
      <c r="N675" s="398"/>
    </row>
    <row r="676" spans="1:15" s="397" customFormat="1" ht="15">
      <c r="A676" s="702"/>
      <c r="B676" s="703"/>
      <c r="C676" s="704"/>
      <c r="D676" s="705"/>
      <c r="E676" s="705"/>
      <c r="F676" s="706"/>
      <c r="G676" s="391" t="s">
        <v>296</v>
      </c>
      <c r="H676" s="384" t="s">
        <v>15</v>
      </c>
      <c r="I676" s="553">
        <v>3.5000000000000003E-2</v>
      </c>
      <c r="J676" s="400">
        <f>I676*D675</f>
        <v>3.8780000000000006</v>
      </c>
      <c r="K676" s="385"/>
      <c r="L676" s="396">
        <f t="shared" si="90"/>
        <v>0</v>
      </c>
      <c r="N676" s="398"/>
    </row>
    <row r="677" spans="1:15" s="397" customFormat="1" ht="15">
      <c r="A677" s="718">
        <v>232</v>
      </c>
      <c r="B677" s="707" t="s">
        <v>240</v>
      </c>
      <c r="C677" s="708" t="s">
        <v>11</v>
      </c>
      <c r="D677" s="720">
        <f>8.2*2*3</f>
        <v>49.199999999999996</v>
      </c>
      <c r="E677" s="709"/>
      <c r="F677" s="709">
        <f>ROUND(E677*D677,2)</f>
        <v>0</v>
      </c>
      <c r="G677" s="391" t="s">
        <v>298</v>
      </c>
      <c r="H677" s="384" t="s">
        <v>13</v>
      </c>
      <c r="I677" s="385">
        <v>0.2</v>
      </c>
      <c r="J677" s="385">
        <f>I677*D677</f>
        <v>9.84</v>
      </c>
      <c r="K677" s="392"/>
      <c r="L677" s="387">
        <f t="shared" si="90"/>
        <v>0</v>
      </c>
    </row>
    <row r="678" spans="1:15" s="397" customFormat="1" ht="15">
      <c r="A678" s="719"/>
      <c r="B678" s="707"/>
      <c r="C678" s="708"/>
      <c r="D678" s="720"/>
      <c r="E678" s="709"/>
      <c r="F678" s="709"/>
      <c r="G678" s="391" t="s">
        <v>307</v>
      </c>
      <c r="H678" s="384" t="s">
        <v>11</v>
      </c>
      <c r="I678" s="386">
        <v>1.03</v>
      </c>
      <c r="J678" s="386">
        <f>D677*I678</f>
        <v>50.675999999999995</v>
      </c>
      <c r="K678" s="375"/>
      <c r="L678" s="387">
        <f t="shared" si="90"/>
        <v>0</v>
      </c>
    </row>
    <row r="679" spans="1:15" s="397" customFormat="1" ht="15">
      <c r="A679" s="719"/>
      <c r="B679" s="707"/>
      <c r="C679" s="708"/>
      <c r="D679" s="720"/>
      <c r="E679" s="709"/>
      <c r="F679" s="709"/>
      <c r="G679" s="391" t="s">
        <v>303</v>
      </c>
      <c r="H679" s="384" t="s">
        <v>15</v>
      </c>
      <c r="I679" s="385">
        <v>6.5</v>
      </c>
      <c r="J679" s="385">
        <f>D677*I679</f>
        <v>319.79999999999995</v>
      </c>
      <c r="K679" s="375"/>
      <c r="L679" s="387">
        <f t="shared" si="90"/>
        <v>0</v>
      </c>
    </row>
    <row r="680" spans="1:15" s="397" customFormat="1" ht="15">
      <c r="A680" s="719"/>
      <c r="B680" s="707"/>
      <c r="C680" s="708"/>
      <c r="D680" s="720"/>
      <c r="E680" s="709"/>
      <c r="F680" s="709"/>
      <c r="G680" s="391" t="s">
        <v>302</v>
      </c>
      <c r="H680" s="384" t="s">
        <v>15</v>
      </c>
      <c r="I680" s="386">
        <v>0.45</v>
      </c>
      <c r="J680" s="386">
        <f>D677*I680</f>
        <v>22.139999999999997</v>
      </c>
      <c r="K680" s="385"/>
      <c r="L680" s="387">
        <f t="shared" si="90"/>
        <v>0</v>
      </c>
    </row>
    <row r="681" spans="1:15" s="397" customFormat="1" ht="15">
      <c r="A681" s="718">
        <v>233</v>
      </c>
      <c r="B681" s="707" t="s">
        <v>280</v>
      </c>
      <c r="C681" s="708" t="s">
        <v>11</v>
      </c>
      <c r="D681" s="720">
        <f>(1.2*2*3)</f>
        <v>7.1999999999999993</v>
      </c>
      <c r="E681" s="709"/>
      <c r="F681" s="709">
        <f>ROUND(E681*D681,2)</f>
        <v>0</v>
      </c>
      <c r="G681" s="391" t="s">
        <v>298</v>
      </c>
      <c r="H681" s="384" t="s">
        <v>13</v>
      </c>
      <c r="I681" s="385">
        <v>0.2</v>
      </c>
      <c r="J681" s="385">
        <f>I681*D681</f>
        <v>1.44</v>
      </c>
      <c r="K681" s="392"/>
      <c r="L681" s="387">
        <f t="shared" si="90"/>
        <v>0</v>
      </c>
    </row>
    <row r="682" spans="1:15" s="397" customFormat="1" ht="15">
      <c r="A682" s="719"/>
      <c r="B682" s="707"/>
      <c r="C682" s="708"/>
      <c r="D682" s="720"/>
      <c r="E682" s="709"/>
      <c r="F682" s="709"/>
      <c r="G682" s="391" t="s">
        <v>304</v>
      </c>
      <c r="H682" s="384" t="s">
        <v>11</v>
      </c>
      <c r="I682" s="386">
        <v>1.03</v>
      </c>
      <c r="J682" s="386">
        <f>D681*I682</f>
        <v>7.4159999999999995</v>
      </c>
      <c r="K682" s="375"/>
      <c r="L682" s="387">
        <f t="shared" si="90"/>
        <v>0</v>
      </c>
    </row>
    <row r="683" spans="1:15" s="397" customFormat="1" ht="15">
      <c r="A683" s="719"/>
      <c r="B683" s="707"/>
      <c r="C683" s="708"/>
      <c r="D683" s="720"/>
      <c r="E683" s="709"/>
      <c r="F683" s="709"/>
      <c r="G683" s="391" t="s">
        <v>303</v>
      </c>
      <c r="H683" s="384" t="s">
        <v>15</v>
      </c>
      <c r="I683" s="385">
        <v>6.5</v>
      </c>
      <c r="J683" s="385">
        <f>D681*I683</f>
        <v>46.8</v>
      </c>
      <c r="K683" s="375"/>
      <c r="L683" s="387">
        <f t="shared" si="90"/>
        <v>0</v>
      </c>
    </row>
    <row r="684" spans="1:15" s="397" customFormat="1" ht="15">
      <c r="A684" s="719"/>
      <c r="B684" s="707"/>
      <c r="C684" s="708"/>
      <c r="D684" s="720"/>
      <c r="E684" s="709"/>
      <c r="F684" s="709"/>
      <c r="G684" s="391" t="s">
        <v>302</v>
      </c>
      <c r="H684" s="384" t="s">
        <v>15</v>
      </c>
      <c r="I684" s="386">
        <v>0.45</v>
      </c>
      <c r="J684" s="386">
        <f>D681*I684</f>
        <v>3.2399999999999998</v>
      </c>
      <c r="K684" s="385"/>
      <c r="L684" s="387">
        <f t="shared" si="90"/>
        <v>0</v>
      </c>
    </row>
    <row r="685" spans="1:15" s="397" customFormat="1" ht="15">
      <c r="A685" s="418"/>
      <c r="B685" s="362" t="s">
        <v>419</v>
      </c>
      <c r="C685" s="394"/>
      <c r="D685" s="450"/>
      <c r="E685" s="450"/>
      <c r="F685" s="423"/>
      <c r="G685" s="391"/>
      <c r="H685" s="384"/>
      <c r="I685" s="553"/>
      <c r="J685" s="400"/>
      <c r="K685" s="385"/>
      <c r="L685" s="396"/>
      <c r="N685" s="398"/>
    </row>
    <row r="686" spans="1:15" s="397" customFormat="1" ht="30" customHeight="1">
      <c r="A686" s="702" t="s">
        <v>465</v>
      </c>
      <c r="B686" s="703" t="s">
        <v>420</v>
      </c>
      <c r="C686" s="704" t="s">
        <v>11</v>
      </c>
      <c r="D686" s="705">
        <v>435.21</v>
      </c>
      <c r="E686" s="705"/>
      <c r="F686" s="706">
        <f>ROUND(D686*E686,2)</f>
        <v>0</v>
      </c>
      <c r="G686" s="391" t="s">
        <v>298</v>
      </c>
      <c r="H686" s="394" t="s">
        <v>23</v>
      </c>
      <c r="I686" s="552">
        <v>1.2999999999999999E-2</v>
      </c>
      <c r="J686" s="395">
        <f>I686*D686</f>
        <v>5.657729999999999</v>
      </c>
      <c r="K686" s="392"/>
      <c r="L686" s="396">
        <f t="shared" ref="L686:L687" si="91">ROUND(K686*J686,2)</f>
        <v>0</v>
      </c>
      <c r="N686" s="398"/>
    </row>
    <row r="687" spans="1:15" s="397" customFormat="1" ht="15">
      <c r="A687" s="702"/>
      <c r="B687" s="703"/>
      <c r="C687" s="704"/>
      <c r="D687" s="705"/>
      <c r="E687" s="705"/>
      <c r="F687" s="706"/>
      <c r="G687" s="391" t="s">
        <v>296</v>
      </c>
      <c r="H687" s="384" t="s">
        <v>15</v>
      </c>
      <c r="I687" s="553">
        <v>3.5000000000000003E-2</v>
      </c>
      <c r="J687" s="400">
        <f>I687*D686</f>
        <v>15.23235</v>
      </c>
      <c r="K687" s="385"/>
      <c r="L687" s="396">
        <f t="shared" si="91"/>
        <v>0</v>
      </c>
      <c r="N687" s="398"/>
    </row>
    <row r="688" spans="1:15" ht="15" customHeight="1">
      <c r="A688" s="403">
        <v>235</v>
      </c>
      <c r="B688" s="409" t="s">
        <v>227</v>
      </c>
      <c r="C688" s="410" t="s">
        <v>228</v>
      </c>
      <c r="D688" s="411">
        <v>22.68</v>
      </c>
      <c r="E688" s="411"/>
      <c r="F688" s="411">
        <f>D688*E688</f>
        <v>0</v>
      </c>
      <c r="G688" s="362"/>
      <c r="H688" s="412"/>
      <c r="I688" s="407"/>
      <c r="J688" s="407"/>
      <c r="K688" s="413"/>
      <c r="L688" s="408"/>
      <c r="O688" s="372"/>
    </row>
    <row r="689" spans="1:16" s="372" customFormat="1" ht="15" customHeight="1">
      <c r="A689" s="403"/>
      <c r="B689" s="456" t="s">
        <v>380</v>
      </c>
      <c r="C689" s="457"/>
      <c r="D689" s="458"/>
      <c r="E689" s="459"/>
      <c r="F689" s="459"/>
      <c r="G689" s="460"/>
      <c r="H689" s="461"/>
      <c r="I689" s="462"/>
      <c r="J689" s="463"/>
      <c r="K689" s="439"/>
      <c r="L689" s="371"/>
    </row>
    <row r="690" spans="1:16" s="372" customFormat="1" ht="15" customHeight="1">
      <c r="A690" s="403">
        <v>236</v>
      </c>
      <c r="B690" s="456" t="s">
        <v>383</v>
      </c>
      <c r="C690" s="457" t="s">
        <v>384</v>
      </c>
      <c r="D690" s="458">
        <v>220</v>
      </c>
      <c r="E690" s="459"/>
      <c r="F690" s="459">
        <f>D690*E690</f>
        <v>0</v>
      </c>
      <c r="G690" s="460"/>
      <c r="H690" s="461"/>
      <c r="I690" s="462"/>
      <c r="J690" s="463"/>
      <c r="K690" s="439"/>
      <c r="L690" s="371"/>
    </row>
    <row r="691" spans="1:16" s="372" customFormat="1" ht="15" customHeight="1">
      <c r="A691" s="403">
        <v>237</v>
      </c>
      <c r="B691" s="456" t="s">
        <v>381</v>
      </c>
      <c r="C691" s="457" t="s">
        <v>382</v>
      </c>
      <c r="D691" s="458">
        <v>6</v>
      </c>
      <c r="E691" s="459"/>
      <c r="F691" s="459">
        <f>D691*E691</f>
        <v>0</v>
      </c>
      <c r="G691" s="460"/>
      <c r="H691" s="461"/>
      <c r="I691" s="462"/>
      <c r="J691" s="463"/>
      <c r="K691" s="439"/>
      <c r="L691" s="371"/>
    </row>
    <row r="692" spans="1:16" s="372" customFormat="1" ht="15" customHeight="1" thickBot="1">
      <c r="A692" s="464">
        <v>238</v>
      </c>
      <c r="B692" s="465" t="s">
        <v>385</v>
      </c>
      <c r="C692" s="466" t="s">
        <v>386</v>
      </c>
      <c r="D692" s="467">
        <v>15</v>
      </c>
      <c r="E692" s="468"/>
      <c r="F692" s="468">
        <f>D692*E692</f>
        <v>0</v>
      </c>
      <c r="G692" s="469"/>
      <c r="H692" s="470"/>
      <c r="I692" s="471"/>
      <c r="J692" s="472"/>
      <c r="K692" s="473"/>
      <c r="L692" s="474"/>
    </row>
    <row r="693" spans="1:16" s="372" customFormat="1" ht="17.25" customHeight="1" thickBot="1">
      <c r="A693" s="475"/>
      <c r="B693" s="551" t="s">
        <v>313</v>
      </c>
      <c r="C693" s="476"/>
      <c r="D693" s="352"/>
      <c r="E693" s="477"/>
      <c r="F693" s="477"/>
      <c r="G693" s="476"/>
      <c r="H693" s="478"/>
      <c r="I693" s="479"/>
      <c r="J693" s="479"/>
      <c r="K693" s="479"/>
      <c r="L693" s="480"/>
    </row>
    <row r="694" spans="1:16" s="372" customFormat="1" ht="15" customHeight="1">
      <c r="A694" s="354">
        <v>239</v>
      </c>
      <c r="B694" s="481" t="s">
        <v>321</v>
      </c>
      <c r="C694" s="356" t="s">
        <v>40</v>
      </c>
      <c r="D694" s="482">
        <v>600</v>
      </c>
      <c r="E694" s="483"/>
      <c r="F694" s="483">
        <f>D694*E694</f>
        <v>0</v>
      </c>
      <c r="G694" s="356"/>
      <c r="H694" s="484"/>
      <c r="I694" s="485"/>
      <c r="J694" s="485"/>
      <c r="K694" s="485"/>
      <c r="L694" s="486"/>
    </row>
    <row r="695" spans="1:16" s="372" customFormat="1" ht="15" customHeight="1">
      <c r="A695" s="674">
        <v>240</v>
      </c>
      <c r="B695" s="675" t="s">
        <v>219</v>
      </c>
      <c r="C695" s="700" t="s">
        <v>40</v>
      </c>
      <c r="D695" s="701">
        <v>224</v>
      </c>
      <c r="E695" s="701"/>
      <c r="F695" s="701">
        <f>D695*E695</f>
        <v>0</v>
      </c>
      <c r="G695" s="402" t="s">
        <v>308</v>
      </c>
      <c r="H695" s="373" t="s">
        <v>147</v>
      </c>
      <c r="I695" s="374">
        <v>1.1000000000000001</v>
      </c>
      <c r="J695" s="374">
        <f>D695*I695</f>
        <v>246.40000000000003</v>
      </c>
      <c r="K695" s="375"/>
      <c r="L695" s="387">
        <f t="shared" ref="L695:L696" si="92">ROUND(K695*J695,2)</f>
        <v>0</v>
      </c>
      <c r="P695" s="389"/>
    </row>
    <row r="696" spans="1:16" s="372" customFormat="1" ht="15" customHeight="1">
      <c r="A696" s="674"/>
      <c r="B696" s="675"/>
      <c r="C696" s="700"/>
      <c r="D696" s="701"/>
      <c r="E696" s="701"/>
      <c r="F696" s="701"/>
      <c r="G696" s="402" t="s">
        <v>220</v>
      </c>
      <c r="H696" s="373" t="s">
        <v>22</v>
      </c>
      <c r="I696" s="374">
        <v>1.01</v>
      </c>
      <c r="J696" s="374">
        <f>10.93*I696</f>
        <v>11.039299999999999</v>
      </c>
      <c r="K696" s="375"/>
      <c r="L696" s="387">
        <f t="shared" si="92"/>
        <v>0</v>
      </c>
      <c r="P696" s="389"/>
    </row>
    <row r="697" spans="1:16" s="493" customFormat="1" ht="15" customHeight="1">
      <c r="A697" s="689">
        <v>241</v>
      </c>
      <c r="B697" s="697" t="s">
        <v>317</v>
      </c>
      <c r="C697" s="697" t="s">
        <v>40</v>
      </c>
      <c r="D697" s="698">
        <v>150</v>
      </c>
      <c r="E697" s="699"/>
      <c r="F697" s="699">
        <f>E697*D697</f>
        <v>0</v>
      </c>
      <c r="G697" s="487" t="s">
        <v>314</v>
      </c>
      <c r="H697" s="488" t="s">
        <v>315</v>
      </c>
      <c r="I697" s="489">
        <v>6</v>
      </c>
      <c r="J697" s="490">
        <f>I697*D697</f>
        <v>900</v>
      </c>
      <c r="K697" s="491"/>
      <c r="L697" s="492">
        <f t="shared" ref="L697:L702" si="93">J697*K697</f>
        <v>0</v>
      </c>
    </row>
    <row r="698" spans="1:16" s="493" customFormat="1" ht="15" customHeight="1">
      <c r="A698" s="689"/>
      <c r="B698" s="697"/>
      <c r="C698" s="697"/>
      <c r="D698" s="698"/>
      <c r="E698" s="699"/>
      <c r="F698" s="699"/>
      <c r="G698" s="487" t="s">
        <v>316</v>
      </c>
      <c r="H698" s="488" t="s">
        <v>40</v>
      </c>
      <c r="I698" s="494">
        <v>1.1499999999999999</v>
      </c>
      <c r="J698" s="490">
        <f>I698*D697</f>
        <v>172.5</v>
      </c>
      <c r="K698" s="491"/>
      <c r="L698" s="492">
        <f t="shared" si="93"/>
        <v>0</v>
      </c>
    </row>
    <row r="699" spans="1:16" ht="15" customHeight="1">
      <c r="A699" s="689"/>
      <c r="B699" s="697"/>
      <c r="C699" s="697"/>
      <c r="D699" s="698"/>
      <c r="E699" s="699"/>
      <c r="F699" s="699"/>
      <c r="G699" s="487" t="s">
        <v>318</v>
      </c>
      <c r="H699" s="488" t="s">
        <v>315</v>
      </c>
      <c r="I699" s="494">
        <v>0.3</v>
      </c>
      <c r="J699" s="490">
        <f>I699*D697</f>
        <v>45</v>
      </c>
      <c r="K699" s="490"/>
      <c r="L699" s="492">
        <f t="shared" si="93"/>
        <v>0</v>
      </c>
    </row>
    <row r="700" spans="1:16" s="372" customFormat="1" ht="15" customHeight="1">
      <c r="A700" s="689"/>
      <c r="B700" s="697"/>
      <c r="C700" s="697"/>
      <c r="D700" s="698"/>
      <c r="E700" s="699"/>
      <c r="F700" s="699"/>
      <c r="G700" s="487" t="s">
        <v>319</v>
      </c>
      <c r="H700" s="488" t="s">
        <v>315</v>
      </c>
      <c r="I700" s="489">
        <v>2.7</v>
      </c>
      <c r="J700" s="490">
        <f>I700*D697</f>
        <v>405</v>
      </c>
      <c r="K700" s="490"/>
      <c r="L700" s="492">
        <f t="shared" si="93"/>
        <v>0</v>
      </c>
    </row>
    <row r="701" spans="1:16" s="493" customFormat="1" ht="15" customHeight="1">
      <c r="A701" s="689">
        <v>242</v>
      </c>
      <c r="B701" s="691" t="s">
        <v>320</v>
      </c>
      <c r="C701" s="691" t="s">
        <v>40</v>
      </c>
      <c r="D701" s="693">
        <f>1600-D697</f>
        <v>1450</v>
      </c>
      <c r="E701" s="695"/>
      <c r="F701" s="695">
        <f>E701*D701</f>
        <v>0</v>
      </c>
      <c r="G701" s="487" t="s">
        <v>318</v>
      </c>
      <c r="H701" s="488" t="s">
        <v>315</v>
      </c>
      <c r="I701" s="494">
        <v>0.3</v>
      </c>
      <c r="J701" s="490">
        <f>I701*D701</f>
        <v>435</v>
      </c>
      <c r="K701" s="490"/>
      <c r="L701" s="492">
        <f t="shared" si="93"/>
        <v>0</v>
      </c>
    </row>
    <row r="702" spans="1:16" s="372" customFormat="1" ht="31.5" customHeight="1" thickBot="1">
      <c r="A702" s="690"/>
      <c r="B702" s="692"/>
      <c r="C702" s="692"/>
      <c r="D702" s="694"/>
      <c r="E702" s="696"/>
      <c r="F702" s="696"/>
      <c r="G702" s="495" t="s">
        <v>319</v>
      </c>
      <c r="H702" s="496" t="s">
        <v>315</v>
      </c>
      <c r="I702" s="497">
        <v>2.7</v>
      </c>
      <c r="J702" s="498">
        <f>I702*D701</f>
        <v>3915.0000000000005</v>
      </c>
      <c r="K702" s="498"/>
      <c r="L702" s="499">
        <f t="shared" si="93"/>
        <v>0</v>
      </c>
    </row>
    <row r="703" spans="1:16" s="372" customFormat="1" ht="17.25" customHeight="1" thickBot="1">
      <c r="A703" s="475"/>
      <c r="B703" s="551" t="s">
        <v>423</v>
      </c>
      <c r="C703" s="476"/>
      <c r="D703" s="352"/>
      <c r="E703" s="477"/>
      <c r="F703" s="477"/>
      <c r="G703" s="476"/>
      <c r="H703" s="478"/>
      <c r="I703" s="479"/>
      <c r="J703" s="479"/>
      <c r="K703" s="479"/>
      <c r="L703" s="480"/>
    </row>
    <row r="704" spans="1:16" s="505" customFormat="1" ht="25.5" customHeight="1">
      <c r="A704" s="685">
        <v>243</v>
      </c>
      <c r="B704" s="686" t="s">
        <v>390</v>
      </c>
      <c r="C704" s="687" t="s">
        <v>389</v>
      </c>
      <c r="D704" s="688">
        <v>6</v>
      </c>
      <c r="E704" s="688"/>
      <c r="F704" s="688">
        <f>D704*E704</f>
        <v>0</v>
      </c>
      <c r="G704" s="500" t="s">
        <v>398</v>
      </c>
      <c r="H704" s="501" t="s">
        <v>151</v>
      </c>
      <c r="I704" s="502">
        <v>1</v>
      </c>
      <c r="J704" s="503">
        <f>D704</f>
        <v>6</v>
      </c>
      <c r="K704" s="503"/>
      <c r="L704" s="504">
        <f t="shared" ref="L704:L713" si="94">J704*K704</f>
        <v>0</v>
      </c>
    </row>
    <row r="705" spans="1:12" s="372" customFormat="1" ht="30" customHeight="1">
      <c r="A705" s="669"/>
      <c r="B705" s="673"/>
      <c r="C705" s="671"/>
      <c r="D705" s="672"/>
      <c r="E705" s="672"/>
      <c r="F705" s="672"/>
      <c r="G705" s="363" t="s">
        <v>399</v>
      </c>
      <c r="H705" s="506" t="s">
        <v>151</v>
      </c>
      <c r="I705" s="507">
        <v>1</v>
      </c>
      <c r="J705" s="508">
        <f>D704</f>
        <v>6</v>
      </c>
      <c r="K705" s="508"/>
      <c r="L705" s="509">
        <f t="shared" si="94"/>
        <v>0</v>
      </c>
    </row>
    <row r="706" spans="1:12" s="372" customFormat="1" ht="27.75" customHeight="1">
      <c r="A706" s="669"/>
      <c r="B706" s="673"/>
      <c r="C706" s="671"/>
      <c r="D706" s="672"/>
      <c r="E706" s="672"/>
      <c r="F706" s="672"/>
      <c r="G706" s="363" t="s">
        <v>400</v>
      </c>
      <c r="H706" s="506" t="s">
        <v>151</v>
      </c>
      <c r="I706" s="507">
        <v>1</v>
      </c>
      <c r="J706" s="508">
        <f>D704</f>
        <v>6</v>
      </c>
      <c r="K706" s="508"/>
      <c r="L706" s="509">
        <f t="shared" si="94"/>
        <v>0</v>
      </c>
    </row>
    <row r="707" spans="1:12" s="372" customFormat="1" ht="27" customHeight="1">
      <c r="A707" s="677">
        <v>244</v>
      </c>
      <c r="B707" s="684" t="s">
        <v>391</v>
      </c>
      <c r="C707" s="681" t="s">
        <v>265</v>
      </c>
      <c r="D707" s="682">
        <v>6</v>
      </c>
      <c r="E707" s="683"/>
      <c r="F707" s="683">
        <f>D707*E707</f>
        <v>0</v>
      </c>
      <c r="G707" s="363" t="s">
        <v>392</v>
      </c>
      <c r="H707" s="506" t="s">
        <v>151</v>
      </c>
      <c r="I707" s="507">
        <v>1</v>
      </c>
      <c r="J707" s="508">
        <f>D707</f>
        <v>6</v>
      </c>
      <c r="K707" s="508"/>
      <c r="L707" s="509">
        <f t="shared" si="94"/>
        <v>0</v>
      </c>
    </row>
    <row r="708" spans="1:12" s="372" customFormat="1" ht="29.25" customHeight="1">
      <c r="A708" s="677"/>
      <c r="B708" s="684"/>
      <c r="C708" s="681"/>
      <c r="D708" s="682"/>
      <c r="E708" s="683"/>
      <c r="F708" s="683"/>
      <c r="G708" s="510" t="s">
        <v>393</v>
      </c>
      <c r="H708" s="506" t="s">
        <v>151</v>
      </c>
      <c r="I708" s="507">
        <v>1</v>
      </c>
      <c r="J708" s="508">
        <f>D707</f>
        <v>6</v>
      </c>
      <c r="K708" s="508"/>
      <c r="L708" s="509">
        <f t="shared" si="94"/>
        <v>0</v>
      </c>
    </row>
    <row r="709" spans="1:12" s="511" customFormat="1">
      <c r="A709" s="677"/>
      <c r="B709" s="684"/>
      <c r="C709" s="681"/>
      <c r="D709" s="682"/>
      <c r="E709" s="683"/>
      <c r="F709" s="683"/>
      <c r="G709" s="510" t="s">
        <v>394</v>
      </c>
      <c r="H709" s="506" t="s">
        <v>151</v>
      </c>
      <c r="I709" s="507">
        <v>1</v>
      </c>
      <c r="J709" s="508">
        <f>D707</f>
        <v>6</v>
      </c>
      <c r="K709" s="508"/>
      <c r="L709" s="509">
        <f t="shared" si="94"/>
        <v>0</v>
      </c>
    </row>
    <row r="710" spans="1:12" s="511" customFormat="1">
      <c r="A710" s="677"/>
      <c r="B710" s="684"/>
      <c r="C710" s="681"/>
      <c r="D710" s="682"/>
      <c r="E710" s="683"/>
      <c r="F710" s="683"/>
      <c r="G710" s="510" t="s">
        <v>395</v>
      </c>
      <c r="H710" s="506" t="s">
        <v>151</v>
      </c>
      <c r="I710" s="507">
        <v>1</v>
      </c>
      <c r="J710" s="508">
        <f>D707</f>
        <v>6</v>
      </c>
      <c r="K710" s="508"/>
      <c r="L710" s="509">
        <f t="shared" si="94"/>
        <v>0</v>
      </c>
    </row>
    <row r="711" spans="1:12" s="511" customFormat="1">
      <c r="A711" s="677"/>
      <c r="B711" s="684"/>
      <c r="C711" s="681"/>
      <c r="D711" s="682"/>
      <c r="E711" s="683"/>
      <c r="F711" s="683"/>
      <c r="G711" s="510" t="s">
        <v>396</v>
      </c>
      <c r="H711" s="506" t="s">
        <v>151</v>
      </c>
      <c r="I711" s="507">
        <v>1</v>
      </c>
      <c r="J711" s="508">
        <f>D707</f>
        <v>6</v>
      </c>
      <c r="K711" s="508"/>
      <c r="L711" s="509">
        <f t="shared" si="94"/>
        <v>0</v>
      </c>
    </row>
    <row r="712" spans="1:12" s="511" customFormat="1">
      <c r="A712" s="677"/>
      <c r="B712" s="684"/>
      <c r="C712" s="681"/>
      <c r="D712" s="682"/>
      <c r="E712" s="683"/>
      <c r="F712" s="683"/>
      <c r="G712" s="512" t="s">
        <v>397</v>
      </c>
      <c r="H712" s="506" t="s">
        <v>151</v>
      </c>
      <c r="I712" s="507">
        <v>1</v>
      </c>
      <c r="J712" s="508">
        <f>D707</f>
        <v>6</v>
      </c>
      <c r="K712" s="508"/>
      <c r="L712" s="509">
        <f t="shared" si="94"/>
        <v>0</v>
      </c>
    </row>
    <row r="713" spans="1:12" s="511" customFormat="1">
      <c r="A713" s="677"/>
      <c r="B713" s="684"/>
      <c r="C713" s="681"/>
      <c r="D713" s="682"/>
      <c r="E713" s="683"/>
      <c r="F713" s="683"/>
      <c r="G713" s="512" t="s">
        <v>401</v>
      </c>
      <c r="H713" s="506" t="s">
        <v>151</v>
      </c>
      <c r="I713" s="507">
        <v>1</v>
      </c>
      <c r="J713" s="508">
        <f>D707</f>
        <v>6</v>
      </c>
      <c r="K713" s="508"/>
      <c r="L713" s="509">
        <f t="shared" si="94"/>
        <v>0</v>
      </c>
    </row>
    <row r="714" spans="1:12" s="372" customFormat="1" ht="23.25" customHeight="1">
      <c r="A714" s="677">
        <v>245</v>
      </c>
      <c r="B714" s="673" t="s">
        <v>407</v>
      </c>
      <c r="C714" s="671" t="s">
        <v>265</v>
      </c>
      <c r="D714" s="672">
        <v>7</v>
      </c>
      <c r="E714" s="672"/>
      <c r="F714" s="672">
        <f>D714*E714</f>
        <v>0</v>
      </c>
      <c r="G714" s="510" t="s">
        <v>402</v>
      </c>
      <c r="H714" s="506" t="s">
        <v>151</v>
      </c>
      <c r="I714" s="507">
        <v>1</v>
      </c>
      <c r="J714" s="508">
        <f>D714</f>
        <v>7</v>
      </c>
      <c r="K714" s="508"/>
      <c r="L714" s="509">
        <f t="shared" ref="L714:L721" si="95">K714*J714</f>
        <v>0</v>
      </c>
    </row>
    <row r="715" spans="1:12" s="372" customFormat="1" ht="15" customHeight="1">
      <c r="A715" s="677"/>
      <c r="B715" s="673"/>
      <c r="C715" s="671"/>
      <c r="D715" s="672"/>
      <c r="E715" s="672"/>
      <c r="F715" s="672"/>
      <c r="G715" s="510" t="s">
        <v>403</v>
      </c>
      <c r="H715" s="506" t="s">
        <v>151</v>
      </c>
      <c r="I715" s="507">
        <v>1</v>
      </c>
      <c r="J715" s="508">
        <f>D714</f>
        <v>7</v>
      </c>
      <c r="K715" s="508"/>
      <c r="L715" s="509">
        <f t="shared" si="95"/>
        <v>0</v>
      </c>
    </row>
    <row r="716" spans="1:12" s="372" customFormat="1" ht="15" customHeight="1">
      <c r="A716" s="677"/>
      <c r="B716" s="673"/>
      <c r="C716" s="671"/>
      <c r="D716" s="672"/>
      <c r="E716" s="672"/>
      <c r="F716" s="672"/>
      <c r="G716" s="510" t="s">
        <v>404</v>
      </c>
      <c r="H716" s="506" t="s">
        <v>151</v>
      </c>
      <c r="I716" s="507">
        <v>1</v>
      </c>
      <c r="J716" s="508">
        <f>D714</f>
        <v>7</v>
      </c>
      <c r="K716" s="508"/>
      <c r="L716" s="509">
        <f t="shared" si="95"/>
        <v>0</v>
      </c>
    </row>
    <row r="717" spans="1:12" s="372" customFormat="1" ht="15" customHeight="1">
      <c r="A717" s="677"/>
      <c r="B717" s="673"/>
      <c r="C717" s="671"/>
      <c r="D717" s="672"/>
      <c r="E717" s="672"/>
      <c r="F717" s="672"/>
      <c r="G717" s="510" t="s">
        <v>405</v>
      </c>
      <c r="H717" s="506" t="s">
        <v>151</v>
      </c>
      <c r="I717" s="507">
        <v>1</v>
      </c>
      <c r="J717" s="508">
        <f>D714</f>
        <v>7</v>
      </c>
      <c r="K717" s="508"/>
      <c r="L717" s="509">
        <f t="shared" si="95"/>
        <v>0</v>
      </c>
    </row>
    <row r="718" spans="1:12" s="372" customFormat="1" ht="15" customHeight="1">
      <c r="A718" s="677"/>
      <c r="B718" s="673"/>
      <c r="C718" s="671"/>
      <c r="D718" s="672"/>
      <c r="E718" s="672"/>
      <c r="F718" s="672"/>
      <c r="G718" s="510" t="s">
        <v>406</v>
      </c>
      <c r="H718" s="506" t="s">
        <v>151</v>
      </c>
      <c r="I718" s="507">
        <v>1</v>
      </c>
      <c r="J718" s="508">
        <f>D714</f>
        <v>7</v>
      </c>
      <c r="K718" s="508"/>
      <c r="L718" s="509">
        <f t="shared" si="95"/>
        <v>0</v>
      </c>
    </row>
    <row r="719" spans="1:12" s="372" customFormat="1" ht="34.5" customHeight="1">
      <c r="A719" s="677">
        <v>246</v>
      </c>
      <c r="B719" s="673" t="s">
        <v>410</v>
      </c>
      <c r="C719" s="671" t="s">
        <v>265</v>
      </c>
      <c r="D719" s="672">
        <v>6</v>
      </c>
      <c r="E719" s="672"/>
      <c r="F719" s="672">
        <f>D719*E719</f>
        <v>0</v>
      </c>
      <c r="G719" s="510" t="s">
        <v>408</v>
      </c>
      <c r="H719" s="506" t="s">
        <v>151</v>
      </c>
      <c r="I719" s="507">
        <v>1</v>
      </c>
      <c r="J719" s="508">
        <f>D719</f>
        <v>6</v>
      </c>
      <c r="K719" s="508"/>
      <c r="L719" s="509">
        <f t="shared" si="95"/>
        <v>0</v>
      </c>
    </row>
    <row r="720" spans="1:12" s="372" customFormat="1" ht="30" customHeight="1">
      <c r="A720" s="677"/>
      <c r="B720" s="673"/>
      <c r="C720" s="671"/>
      <c r="D720" s="672"/>
      <c r="E720" s="672"/>
      <c r="F720" s="672"/>
      <c r="G720" s="510" t="s">
        <v>409</v>
      </c>
      <c r="H720" s="506" t="s">
        <v>151</v>
      </c>
      <c r="I720" s="507">
        <v>1</v>
      </c>
      <c r="J720" s="508">
        <f>D719</f>
        <v>6</v>
      </c>
      <c r="K720" s="508"/>
      <c r="L720" s="509">
        <f t="shared" si="95"/>
        <v>0</v>
      </c>
    </row>
    <row r="721" spans="1:12" s="372" customFormat="1" ht="35.25" customHeight="1" thickBot="1">
      <c r="A721" s="513">
        <v>247</v>
      </c>
      <c r="B721" s="514" t="s">
        <v>411</v>
      </c>
      <c r="C721" s="514" t="s">
        <v>265</v>
      </c>
      <c r="D721" s="515">
        <v>6</v>
      </c>
      <c r="E721" s="515"/>
      <c r="F721" s="515">
        <f>D721*E721</f>
        <v>0</v>
      </c>
      <c r="G721" s="516" t="s">
        <v>412</v>
      </c>
      <c r="H721" s="517" t="s">
        <v>151</v>
      </c>
      <c r="I721" s="518">
        <v>1</v>
      </c>
      <c r="J721" s="519">
        <f>D721</f>
        <v>6</v>
      </c>
      <c r="K721" s="519"/>
      <c r="L721" s="520">
        <f t="shared" si="95"/>
        <v>0</v>
      </c>
    </row>
    <row r="722" spans="1:12" s="372" customFormat="1" ht="15" customHeight="1" thickBot="1">
      <c r="A722" s="521"/>
      <c r="B722" s="551" t="s">
        <v>424</v>
      </c>
      <c r="C722" s="522"/>
      <c r="D722" s="523"/>
      <c r="E722" s="524"/>
      <c r="F722" s="524"/>
      <c r="G722" s="525"/>
      <c r="H722" s="526"/>
      <c r="I722" s="527"/>
      <c r="J722" s="528"/>
      <c r="K722" s="529"/>
      <c r="L722" s="480"/>
    </row>
    <row r="723" spans="1:12" s="511" customFormat="1" ht="13.5" customHeight="1">
      <c r="A723" s="530">
        <v>248</v>
      </c>
      <c r="B723" s="531" t="s">
        <v>366</v>
      </c>
      <c r="C723" s="501" t="s">
        <v>265</v>
      </c>
      <c r="D723" s="503">
        <v>3</v>
      </c>
      <c r="E723" s="503"/>
      <c r="F723" s="503">
        <f>E723*D723</f>
        <v>0</v>
      </c>
      <c r="G723" s="532" t="s">
        <v>367</v>
      </c>
      <c r="H723" s="501" t="s">
        <v>265</v>
      </c>
      <c r="I723" s="502">
        <v>1</v>
      </c>
      <c r="J723" s="503">
        <f>D723</f>
        <v>3</v>
      </c>
      <c r="K723" s="503"/>
      <c r="L723" s="504">
        <f t="shared" ref="L723:L726" si="96">K723*J723</f>
        <v>0</v>
      </c>
    </row>
    <row r="724" spans="1:12" s="511" customFormat="1">
      <c r="A724" s="669">
        <v>249</v>
      </c>
      <c r="B724" s="673" t="s">
        <v>365</v>
      </c>
      <c r="C724" s="671" t="s">
        <v>265</v>
      </c>
      <c r="D724" s="672">
        <v>20</v>
      </c>
      <c r="E724" s="672"/>
      <c r="F724" s="672">
        <f>E724*D724</f>
        <v>0</v>
      </c>
      <c r="G724" s="510" t="s">
        <v>357</v>
      </c>
      <c r="H724" s="506" t="s">
        <v>265</v>
      </c>
      <c r="I724" s="507">
        <v>1</v>
      </c>
      <c r="J724" s="508">
        <v>12</v>
      </c>
      <c r="K724" s="508"/>
      <c r="L724" s="509">
        <f t="shared" si="96"/>
        <v>0</v>
      </c>
    </row>
    <row r="725" spans="1:12" s="511" customFormat="1">
      <c r="A725" s="669"/>
      <c r="B725" s="673"/>
      <c r="C725" s="671"/>
      <c r="D725" s="672"/>
      <c r="E725" s="672"/>
      <c r="F725" s="672"/>
      <c r="G725" s="510" t="s">
        <v>358</v>
      </c>
      <c r="H725" s="506" t="s">
        <v>265</v>
      </c>
      <c r="I725" s="507">
        <v>1</v>
      </c>
      <c r="J725" s="508">
        <v>8</v>
      </c>
      <c r="K725" s="508"/>
      <c r="L725" s="509">
        <f t="shared" si="96"/>
        <v>0</v>
      </c>
    </row>
    <row r="726" spans="1:12" s="505" customFormat="1" ht="25.5">
      <c r="A726" s="533">
        <v>250</v>
      </c>
      <c r="B726" s="510" t="s">
        <v>369</v>
      </c>
      <c r="C726" s="506" t="s">
        <v>151</v>
      </c>
      <c r="D726" s="508">
        <v>2</v>
      </c>
      <c r="E726" s="508"/>
      <c r="F726" s="508">
        <f>E726*D726</f>
        <v>0</v>
      </c>
      <c r="G726" s="534" t="s">
        <v>370</v>
      </c>
      <c r="H726" s="506" t="s">
        <v>151</v>
      </c>
      <c r="I726" s="507">
        <v>1</v>
      </c>
      <c r="J726" s="508">
        <f>D726</f>
        <v>2</v>
      </c>
      <c r="K726" s="508"/>
      <c r="L726" s="509">
        <f t="shared" si="96"/>
        <v>0</v>
      </c>
    </row>
    <row r="727" spans="1:12" s="372" customFormat="1" ht="15" customHeight="1">
      <c r="A727" s="677">
        <v>251</v>
      </c>
      <c r="B727" s="680" t="s">
        <v>359</v>
      </c>
      <c r="C727" s="681" t="s">
        <v>151</v>
      </c>
      <c r="D727" s="682">
        <f>J727+J728+J729</f>
        <v>76</v>
      </c>
      <c r="E727" s="683"/>
      <c r="F727" s="683">
        <f>D727*E727</f>
        <v>0</v>
      </c>
      <c r="G727" s="363" t="s">
        <v>325</v>
      </c>
      <c r="H727" s="369" t="s">
        <v>151</v>
      </c>
      <c r="I727" s="370">
        <v>1</v>
      </c>
      <c r="J727" s="370">
        <v>30</v>
      </c>
      <c r="K727" s="370"/>
      <c r="L727" s="371">
        <f>J727*K727</f>
        <v>0</v>
      </c>
    </row>
    <row r="728" spans="1:12" s="372" customFormat="1" ht="15" customHeight="1">
      <c r="A728" s="677"/>
      <c r="B728" s="680"/>
      <c r="C728" s="681"/>
      <c r="D728" s="682"/>
      <c r="E728" s="683"/>
      <c r="F728" s="683"/>
      <c r="G728" s="363" t="s">
        <v>360</v>
      </c>
      <c r="H728" s="369" t="s">
        <v>151</v>
      </c>
      <c r="I728" s="370">
        <v>1</v>
      </c>
      <c r="J728" s="370">
        <v>26</v>
      </c>
      <c r="K728" s="370"/>
      <c r="L728" s="371">
        <f>J728*K728</f>
        <v>0</v>
      </c>
    </row>
    <row r="729" spans="1:12" s="372" customFormat="1" ht="15" customHeight="1">
      <c r="A729" s="677"/>
      <c r="B729" s="680"/>
      <c r="C729" s="681"/>
      <c r="D729" s="682"/>
      <c r="E729" s="683"/>
      <c r="F729" s="683"/>
      <c r="G729" s="363" t="s">
        <v>368</v>
      </c>
      <c r="H729" s="369" t="s">
        <v>151</v>
      </c>
      <c r="I729" s="370">
        <v>1</v>
      </c>
      <c r="J729" s="370">
        <v>20</v>
      </c>
      <c r="K729" s="370"/>
      <c r="L729" s="371">
        <f>J729*K729</f>
        <v>0</v>
      </c>
    </row>
    <row r="730" spans="1:12" s="372" customFormat="1" ht="15" customHeight="1">
      <c r="A730" s="361">
        <v>252</v>
      </c>
      <c r="B730" s="535" t="s">
        <v>322</v>
      </c>
      <c r="C730" s="506" t="s">
        <v>323</v>
      </c>
      <c r="D730" s="507">
        <f>D748+D750+100</f>
        <v>2549</v>
      </c>
      <c r="E730" s="508"/>
      <c r="F730" s="508">
        <f>E730*D730</f>
        <v>0</v>
      </c>
      <c r="G730" s="510" t="s">
        <v>324</v>
      </c>
      <c r="H730" s="506" t="s">
        <v>323</v>
      </c>
      <c r="I730" s="507">
        <v>1</v>
      </c>
      <c r="J730" s="508">
        <f>I730*D730</f>
        <v>2549</v>
      </c>
      <c r="K730" s="508"/>
      <c r="L730" s="509">
        <f t="shared" ref="L730" si="97">J730*K730</f>
        <v>0</v>
      </c>
    </row>
    <row r="731" spans="1:12" s="511" customFormat="1">
      <c r="A731" s="669">
        <v>253</v>
      </c>
      <c r="B731" s="673" t="s">
        <v>371</v>
      </c>
      <c r="C731" s="678" t="s">
        <v>323</v>
      </c>
      <c r="D731" s="679">
        <v>120</v>
      </c>
      <c r="E731" s="672"/>
      <c r="F731" s="672">
        <f>E731*D731</f>
        <v>0</v>
      </c>
      <c r="G731" s="510" t="s">
        <v>372</v>
      </c>
      <c r="H731" s="506" t="s">
        <v>323</v>
      </c>
      <c r="I731" s="507">
        <v>1.01</v>
      </c>
      <c r="J731" s="536">
        <v>120</v>
      </c>
      <c r="K731" s="536"/>
      <c r="L731" s="509">
        <f t="shared" ref="L731" si="98">K731*J731</f>
        <v>0</v>
      </c>
    </row>
    <row r="732" spans="1:12" s="511" customFormat="1" ht="25.5">
      <c r="A732" s="669"/>
      <c r="B732" s="673"/>
      <c r="C732" s="678"/>
      <c r="D732" s="679"/>
      <c r="E732" s="672"/>
      <c r="F732" s="672"/>
      <c r="G732" s="510" t="s">
        <v>373</v>
      </c>
      <c r="H732" s="506" t="s">
        <v>151</v>
      </c>
      <c r="I732" s="507">
        <v>1</v>
      </c>
      <c r="J732" s="536">
        <v>6</v>
      </c>
      <c r="K732" s="536"/>
      <c r="L732" s="509">
        <f>K732*J732</f>
        <v>0</v>
      </c>
    </row>
    <row r="733" spans="1:12" s="511" customFormat="1">
      <c r="A733" s="669"/>
      <c r="B733" s="673"/>
      <c r="C733" s="678"/>
      <c r="D733" s="679"/>
      <c r="E733" s="672"/>
      <c r="F733" s="672"/>
      <c r="G733" s="510" t="s">
        <v>374</v>
      </c>
      <c r="H733" s="506" t="s">
        <v>151</v>
      </c>
      <c r="I733" s="507">
        <v>1</v>
      </c>
      <c r="J733" s="508">
        <v>12</v>
      </c>
      <c r="K733" s="508"/>
      <c r="L733" s="509">
        <f>K733*J733</f>
        <v>0</v>
      </c>
    </row>
    <row r="734" spans="1:12" s="511" customFormat="1">
      <c r="A734" s="669"/>
      <c r="B734" s="673"/>
      <c r="C734" s="678"/>
      <c r="D734" s="679"/>
      <c r="E734" s="672"/>
      <c r="F734" s="672"/>
      <c r="G734" s="512" t="s">
        <v>375</v>
      </c>
      <c r="H734" s="506" t="s">
        <v>151</v>
      </c>
      <c r="I734" s="507">
        <v>1</v>
      </c>
      <c r="J734" s="536">
        <v>80</v>
      </c>
      <c r="K734" s="536"/>
      <c r="L734" s="509">
        <f t="shared" ref="L734:L766" si="99">K734*J734</f>
        <v>0</v>
      </c>
    </row>
    <row r="735" spans="1:12" s="511" customFormat="1">
      <c r="A735" s="669"/>
      <c r="B735" s="673"/>
      <c r="C735" s="678"/>
      <c r="D735" s="679"/>
      <c r="E735" s="672"/>
      <c r="F735" s="672"/>
      <c r="G735" s="512" t="s">
        <v>376</v>
      </c>
      <c r="H735" s="506" t="s">
        <v>151</v>
      </c>
      <c r="I735" s="507">
        <v>1</v>
      </c>
      <c r="J735" s="536">
        <v>40</v>
      </c>
      <c r="K735" s="536"/>
      <c r="L735" s="509">
        <f t="shared" si="99"/>
        <v>0</v>
      </c>
    </row>
    <row r="736" spans="1:12" s="511" customFormat="1">
      <c r="A736" s="669"/>
      <c r="B736" s="673"/>
      <c r="C736" s="678"/>
      <c r="D736" s="679"/>
      <c r="E736" s="672"/>
      <c r="F736" s="672"/>
      <c r="G736" s="512" t="s">
        <v>377</v>
      </c>
      <c r="H736" s="506" t="s">
        <v>151</v>
      </c>
      <c r="I736" s="507">
        <v>1</v>
      </c>
      <c r="J736" s="536">
        <v>120</v>
      </c>
      <c r="K736" s="536"/>
      <c r="L736" s="509">
        <f t="shared" si="99"/>
        <v>0</v>
      </c>
    </row>
    <row r="737" spans="1:16" s="372" customFormat="1" ht="15" customHeight="1">
      <c r="A737" s="677">
        <v>254</v>
      </c>
      <c r="B737" s="673" t="s">
        <v>339</v>
      </c>
      <c r="C737" s="671" t="s">
        <v>323</v>
      </c>
      <c r="D737" s="672">
        <v>45</v>
      </c>
      <c r="E737" s="672"/>
      <c r="F737" s="672">
        <f>E737*D737</f>
        <v>0</v>
      </c>
      <c r="G737" s="510" t="s">
        <v>340</v>
      </c>
      <c r="H737" s="506" t="s">
        <v>151</v>
      </c>
      <c r="I737" s="507">
        <v>1</v>
      </c>
      <c r="J737" s="508">
        <v>15</v>
      </c>
      <c r="K737" s="508"/>
      <c r="L737" s="509">
        <f t="shared" si="99"/>
        <v>0</v>
      </c>
    </row>
    <row r="738" spans="1:16" s="372" customFormat="1" ht="15" customHeight="1">
      <c r="A738" s="677"/>
      <c r="B738" s="673"/>
      <c r="C738" s="671"/>
      <c r="D738" s="672"/>
      <c r="E738" s="672"/>
      <c r="F738" s="672"/>
      <c r="G738" s="510" t="s">
        <v>341</v>
      </c>
      <c r="H738" s="506" t="s">
        <v>151</v>
      </c>
      <c r="I738" s="507">
        <v>1</v>
      </c>
      <c r="J738" s="508">
        <v>15</v>
      </c>
      <c r="K738" s="508"/>
      <c r="L738" s="509">
        <f t="shared" si="99"/>
        <v>0</v>
      </c>
    </row>
    <row r="739" spans="1:16" s="372" customFormat="1" ht="15" customHeight="1">
      <c r="A739" s="677"/>
      <c r="B739" s="673"/>
      <c r="C739" s="671"/>
      <c r="D739" s="672"/>
      <c r="E739" s="672"/>
      <c r="F739" s="672"/>
      <c r="G739" s="510" t="s">
        <v>342</v>
      </c>
      <c r="H739" s="506" t="s">
        <v>151</v>
      </c>
      <c r="I739" s="507">
        <v>1</v>
      </c>
      <c r="J739" s="508">
        <v>60</v>
      </c>
      <c r="K739" s="508"/>
      <c r="L739" s="509">
        <f t="shared" si="99"/>
        <v>0</v>
      </c>
    </row>
    <row r="740" spans="1:16" s="372" customFormat="1" ht="15" customHeight="1">
      <c r="A740" s="677"/>
      <c r="B740" s="673"/>
      <c r="C740" s="671"/>
      <c r="D740" s="672"/>
      <c r="E740" s="672"/>
      <c r="F740" s="672"/>
      <c r="G740" s="510" t="s">
        <v>343</v>
      </c>
      <c r="H740" s="506" t="s">
        <v>151</v>
      </c>
      <c r="I740" s="507">
        <v>1</v>
      </c>
      <c r="J740" s="508">
        <v>120</v>
      </c>
      <c r="K740" s="508"/>
      <c r="L740" s="509">
        <f t="shared" si="99"/>
        <v>0</v>
      </c>
    </row>
    <row r="741" spans="1:16" s="372" customFormat="1" ht="15" customHeight="1">
      <c r="A741" s="677"/>
      <c r="B741" s="673"/>
      <c r="C741" s="671"/>
      <c r="D741" s="672"/>
      <c r="E741" s="672"/>
      <c r="F741" s="672"/>
      <c r="G741" s="510" t="s">
        <v>344</v>
      </c>
      <c r="H741" s="506" t="s">
        <v>151</v>
      </c>
      <c r="I741" s="507">
        <v>1</v>
      </c>
      <c r="J741" s="508">
        <v>120</v>
      </c>
      <c r="K741" s="508"/>
      <c r="L741" s="509">
        <f t="shared" si="99"/>
        <v>0</v>
      </c>
    </row>
    <row r="742" spans="1:16" s="372" customFormat="1" ht="15" customHeight="1">
      <c r="A742" s="677"/>
      <c r="B742" s="673"/>
      <c r="C742" s="671"/>
      <c r="D742" s="672"/>
      <c r="E742" s="672"/>
      <c r="F742" s="672"/>
      <c r="G742" s="510" t="s">
        <v>345</v>
      </c>
      <c r="H742" s="506" t="s">
        <v>151</v>
      </c>
      <c r="I742" s="507">
        <v>1</v>
      </c>
      <c r="J742" s="508">
        <v>120</v>
      </c>
      <c r="K742" s="508"/>
      <c r="L742" s="509">
        <f t="shared" si="99"/>
        <v>0</v>
      </c>
    </row>
    <row r="743" spans="1:16" s="372" customFormat="1" ht="15" customHeight="1">
      <c r="A743" s="677"/>
      <c r="B743" s="673"/>
      <c r="C743" s="671"/>
      <c r="D743" s="672"/>
      <c r="E743" s="672"/>
      <c r="F743" s="672"/>
      <c r="G743" s="510" t="s">
        <v>346</v>
      </c>
      <c r="H743" s="506" t="s">
        <v>151</v>
      </c>
      <c r="I743" s="507">
        <v>1</v>
      </c>
      <c r="J743" s="508">
        <v>64</v>
      </c>
      <c r="K743" s="508"/>
      <c r="L743" s="509">
        <f t="shared" si="99"/>
        <v>0</v>
      </c>
    </row>
    <row r="744" spans="1:16" s="372" customFormat="1" ht="15" customHeight="1">
      <c r="A744" s="677"/>
      <c r="B744" s="673"/>
      <c r="C744" s="671"/>
      <c r="D744" s="672"/>
      <c r="E744" s="672"/>
      <c r="F744" s="672"/>
      <c r="G744" s="510" t="s">
        <v>347</v>
      </c>
      <c r="H744" s="506" t="s">
        <v>151</v>
      </c>
      <c r="I744" s="507">
        <v>1</v>
      </c>
      <c r="J744" s="508">
        <v>64</v>
      </c>
      <c r="K744" s="508"/>
      <c r="L744" s="509">
        <f t="shared" si="99"/>
        <v>0</v>
      </c>
    </row>
    <row r="745" spans="1:16" s="372" customFormat="1" ht="15" customHeight="1">
      <c r="A745" s="677"/>
      <c r="B745" s="673"/>
      <c r="C745" s="671"/>
      <c r="D745" s="672"/>
      <c r="E745" s="672"/>
      <c r="F745" s="672"/>
      <c r="G745" s="510" t="s">
        <v>348</v>
      </c>
      <c r="H745" s="506" t="s">
        <v>151</v>
      </c>
      <c r="I745" s="507">
        <v>1</v>
      </c>
      <c r="J745" s="508">
        <v>64</v>
      </c>
      <c r="K745" s="508"/>
      <c r="L745" s="509">
        <f t="shared" si="99"/>
        <v>0</v>
      </c>
    </row>
    <row r="746" spans="1:16" s="372" customFormat="1" ht="15" customHeight="1">
      <c r="A746" s="677"/>
      <c r="B746" s="673"/>
      <c r="C746" s="671"/>
      <c r="D746" s="672"/>
      <c r="E746" s="672"/>
      <c r="F746" s="672"/>
      <c r="G746" s="510" t="s">
        <v>349</v>
      </c>
      <c r="H746" s="506" t="s">
        <v>151</v>
      </c>
      <c r="I746" s="507">
        <v>1</v>
      </c>
      <c r="J746" s="508">
        <v>45</v>
      </c>
      <c r="K746" s="508"/>
      <c r="L746" s="509">
        <f t="shared" si="99"/>
        <v>0</v>
      </c>
    </row>
    <row r="747" spans="1:16" s="372" customFormat="1" ht="15" customHeight="1">
      <c r="A747" s="677"/>
      <c r="B747" s="673"/>
      <c r="C747" s="671"/>
      <c r="D747" s="672"/>
      <c r="E747" s="672"/>
      <c r="F747" s="672"/>
      <c r="G747" s="510" t="s">
        <v>350</v>
      </c>
      <c r="H747" s="506" t="s">
        <v>151</v>
      </c>
      <c r="I747" s="507">
        <v>1</v>
      </c>
      <c r="J747" s="508">
        <v>12</v>
      </c>
      <c r="K747" s="508"/>
      <c r="L747" s="509">
        <f t="shared" si="99"/>
        <v>0</v>
      </c>
    </row>
    <row r="748" spans="1:16" s="372" customFormat="1" ht="25.5" customHeight="1">
      <c r="A748" s="674">
        <v>255</v>
      </c>
      <c r="B748" s="675" t="s">
        <v>326</v>
      </c>
      <c r="C748" s="671" t="s">
        <v>323</v>
      </c>
      <c r="D748" s="676">
        <f>1540+389</f>
        <v>1929</v>
      </c>
      <c r="E748" s="672"/>
      <c r="F748" s="672">
        <f>E748*D748</f>
        <v>0</v>
      </c>
      <c r="G748" s="534" t="s">
        <v>327</v>
      </c>
      <c r="H748" s="506" t="s">
        <v>323</v>
      </c>
      <c r="I748" s="507">
        <v>1.02</v>
      </c>
      <c r="J748" s="508">
        <f>1540*I748</f>
        <v>1570.8</v>
      </c>
      <c r="K748" s="508"/>
      <c r="L748" s="509">
        <f t="shared" si="99"/>
        <v>0</v>
      </c>
      <c r="P748" s="389"/>
    </row>
    <row r="749" spans="1:16" s="372" customFormat="1" ht="25.5" customHeight="1">
      <c r="A749" s="674"/>
      <c r="B749" s="675"/>
      <c r="C749" s="671"/>
      <c r="D749" s="676"/>
      <c r="E749" s="672"/>
      <c r="F749" s="672"/>
      <c r="G749" s="534" t="s">
        <v>327</v>
      </c>
      <c r="H749" s="506" t="s">
        <v>323</v>
      </c>
      <c r="I749" s="507">
        <v>1.02</v>
      </c>
      <c r="J749" s="508">
        <f>389*I749</f>
        <v>396.78000000000003</v>
      </c>
      <c r="K749" s="508"/>
      <c r="L749" s="509">
        <f t="shared" si="99"/>
        <v>0</v>
      </c>
      <c r="P749" s="389"/>
    </row>
    <row r="750" spans="1:16" s="372" customFormat="1" ht="25.5" customHeight="1">
      <c r="A750" s="403">
        <v>256</v>
      </c>
      <c r="B750" s="537" t="s">
        <v>337</v>
      </c>
      <c r="C750" s="506" t="s">
        <v>323</v>
      </c>
      <c r="D750" s="507">
        <v>520</v>
      </c>
      <c r="E750" s="508"/>
      <c r="F750" s="508">
        <f>E750*D750</f>
        <v>0</v>
      </c>
      <c r="G750" s="510" t="s">
        <v>338</v>
      </c>
      <c r="H750" s="506" t="s">
        <v>323</v>
      </c>
      <c r="I750" s="507">
        <v>1.02</v>
      </c>
      <c r="J750" s="508">
        <f>I750*D750</f>
        <v>530.4</v>
      </c>
      <c r="K750" s="508"/>
      <c r="L750" s="509">
        <f t="shared" si="99"/>
        <v>0</v>
      </c>
      <c r="P750" s="389"/>
    </row>
    <row r="751" spans="1:16" s="505" customFormat="1">
      <c r="A751" s="669">
        <v>257</v>
      </c>
      <c r="B751" s="673" t="s">
        <v>328</v>
      </c>
      <c r="C751" s="671" t="s">
        <v>151</v>
      </c>
      <c r="D751" s="672">
        <v>324</v>
      </c>
      <c r="E751" s="672"/>
      <c r="F751" s="672">
        <f>E751*D751</f>
        <v>0</v>
      </c>
      <c r="G751" s="510" t="s">
        <v>329</v>
      </c>
      <c r="H751" s="506" t="s">
        <v>151</v>
      </c>
      <c r="I751" s="507">
        <v>1</v>
      </c>
      <c r="J751" s="508">
        <v>100</v>
      </c>
      <c r="K751" s="508"/>
      <c r="L751" s="509">
        <f t="shared" si="99"/>
        <v>0</v>
      </c>
    </row>
    <row r="752" spans="1:16" s="505" customFormat="1">
      <c r="A752" s="669"/>
      <c r="B752" s="673"/>
      <c r="C752" s="671"/>
      <c r="D752" s="672"/>
      <c r="E752" s="672"/>
      <c r="F752" s="672"/>
      <c r="G752" s="510" t="s">
        <v>330</v>
      </c>
      <c r="H752" s="506" t="s">
        <v>151</v>
      </c>
      <c r="I752" s="507">
        <v>1</v>
      </c>
      <c r="J752" s="508">
        <v>94</v>
      </c>
      <c r="K752" s="508"/>
      <c r="L752" s="509">
        <f t="shared" si="99"/>
        <v>0</v>
      </c>
    </row>
    <row r="753" spans="1:14" s="505" customFormat="1">
      <c r="A753" s="669"/>
      <c r="B753" s="673"/>
      <c r="C753" s="671"/>
      <c r="D753" s="672"/>
      <c r="E753" s="672"/>
      <c r="F753" s="672"/>
      <c r="G753" s="510" t="s">
        <v>331</v>
      </c>
      <c r="H753" s="506" t="s">
        <v>151</v>
      </c>
      <c r="I753" s="507">
        <v>1</v>
      </c>
      <c r="J753" s="508">
        <v>100</v>
      </c>
      <c r="K753" s="508"/>
      <c r="L753" s="509">
        <f t="shared" si="99"/>
        <v>0</v>
      </c>
    </row>
    <row r="754" spans="1:14" s="505" customFormat="1">
      <c r="A754" s="669"/>
      <c r="B754" s="673"/>
      <c r="C754" s="671"/>
      <c r="D754" s="672"/>
      <c r="E754" s="672"/>
      <c r="F754" s="672"/>
      <c r="G754" s="510" t="s">
        <v>466</v>
      </c>
      <c r="H754" s="506" t="s">
        <v>151</v>
      </c>
      <c r="I754" s="507">
        <v>1</v>
      </c>
      <c r="J754" s="508">
        <v>30</v>
      </c>
      <c r="K754" s="508"/>
      <c r="L754" s="509">
        <f t="shared" si="99"/>
        <v>0</v>
      </c>
    </row>
    <row r="755" spans="1:14" s="505" customFormat="1">
      <c r="A755" s="669">
        <v>258</v>
      </c>
      <c r="B755" s="673" t="s">
        <v>332</v>
      </c>
      <c r="C755" s="671" t="s">
        <v>323</v>
      </c>
      <c r="D755" s="672">
        <v>110</v>
      </c>
      <c r="E755" s="672"/>
      <c r="F755" s="672">
        <f>E755*D755</f>
        <v>0</v>
      </c>
      <c r="G755" s="510" t="s">
        <v>333</v>
      </c>
      <c r="H755" s="506" t="s">
        <v>323</v>
      </c>
      <c r="I755" s="507">
        <v>1</v>
      </c>
      <c r="J755" s="508">
        <f>D755*I755</f>
        <v>110</v>
      </c>
      <c r="K755" s="508"/>
      <c r="L755" s="509">
        <f t="shared" si="99"/>
        <v>0</v>
      </c>
    </row>
    <row r="756" spans="1:14" s="505" customFormat="1">
      <c r="A756" s="669"/>
      <c r="B756" s="673"/>
      <c r="C756" s="671"/>
      <c r="D756" s="672"/>
      <c r="E756" s="672"/>
      <c r="F756" s="672"/>
      <c r="G756" s="510" t="s">
        <v>334</v>
      </c>
      <c r="H756" s="506" t="s">
        <v>151</v>
      </c>
      <c r="I756" s="507">
        <v>1</v>
      </c>
      <c r="J756" s="508">
        <v>450</v>
      </c>
      <c r="K756" s="508"/>
      <c r="L756" s="509">
        <f t="shared" si="99"/>
        <v>0</v>
      </c>
    </row>
    <row r="757" spans="1:14" s="505" customFormat="1">
      <c r="A757" s="669"/>
      <c r="B757" s="673"/>
      <c r="C757" s="671"/>
      <c r="D757" s="672"/>
      <c r="E757" s="672"/>
      <c r="F757" s="672"/>
      <c r="G757" s="510" t="s">
        <v>335</v>
      </c>
      <c r="H757" s="506" t="s">
        <v>151</v>
      </c>
      <c r="I757" s="507">
        <v>1</v>
      </c>
      <c r="J757" s="508">
        <v>220</v>
      </c>
      <c r="K757" s="508"/>
      <c r="L757" s="509">
        <f t="shared" si="99"/>
        <v>0</v>
      </c>
    </row>
    <row r="758" spans="1:14" s="505" customFormat="1">
      <c r="A758" s="669"/>
      <c r="B758" s="673"/>
      <c r="C758" s="671"/>
      <c r="D758" s="672"/>
      <c r="E758" s="672"/>
      <c r="F758" s="672"/>
      <c r="G758" s="510" t="s">
        <v>336</v>
      </c>
      <c r="H758" s="506" t="s">
        <v>151</v>
      </c>
      <c r="I758" s="507">
        <v>1</v>
      </c>
      <c r="J758" s="508">
        <v>450</v>
      </c>
      <c r="K758" s="508"/>
      <c r="L758" s="509">
        <f t="shared" si="99"/>
        <v>0</v>
      </c>
    </row>
    <row r="759" spans="1:14" s="505" customFormat="1">
      <c r="A759" s="669">
        <v>259</v>
      </c>
      <c r="B759" s="673" t="s">
        <v>351</v>
      </c>
      <c r="C759" s="671" t="s">
        <v>151</v>
      </c>
      <c r="D759" s="672">
        <v>45</v>
      </c>
      <c r="E759" s="672"/>
      <c r="F759" s="672">
        <f>E759*D759</f>
        <v>0</v>
      </c>
      <c r="G759" s="534" t="s">
        <v>352</v>
      </c>
      <c r="H759" s="506" t="s">
        <v>151</v>
      </c>
      <c r="I759" s="507">
        <v>1</v>
      </c>
      <c r="J759" s="508">
        <v>2</v>
      </c>
      <c r="K759" s="508"/>
      <c r="L759" s="509">
        <f t="shared" si="99"/>
        <v>0</v>
      </c>
    </row>
    <row r="760" spans="1:14" s="505" customFormat="1">
      <c r="A760" s="669"/>
      <c r="B760" s="673"/>
      <c r="C760" s="671"/>
      <c r="D760" s="672"/>
      <c r="E760" s="672"/>
      <c r="F760" s="672"/>
      <c r="G760" s="534" t="s">
        <v>353</v>
      </c>
      <c r="H760" s="506" t="s">
        <v>151</v>
      </c>
      <c r="I760" s="507">
        <v>1</v>
      </c>
      <c r="J760" s="508">
        <v>10</v>
      </c>
      <c r="K760" s="508"/>
      <c r="L760" s="509">
        <f t="shared" si="99"/>
        <v>0</v>
      </c>
    </row>
    <row r="761" spans="1:14" s="505" customFormat="1">
      <c r="A761" s="669"/>
      <c r="B761" s="673"/>
      <c r="C761" s="671"/>
      <c r="D761" s="672"/>
      <c r="E761" s="672"/>
      <c r="F761" s="672"/>
      <c r="G761" s="534" t="s">
        <v>354</v>
      </c>
      <c r="H761" s="506" t="s">
        <v>151</v>
      </c>
      <c r="I761" s="507">
        <v>1</v>
      </c>
      <c r="J761" s="508">
        <v>25</v>
      </c>
      <c r="K761" s="508"/>
      <c r="L761" s="509">
        <f t="shared" si="99"/>
        <v>0</v>
      </c>
    </row>
    <row r="762" spans="1:14" s="505" customFormat="1">
      <c r="A762" s="669"/>
      <c r="B762" s="673"/>
      <c r="C762" s="671"/>
      <c r="D762" s="672"/>
      <c r="E762" s="672"/>
      <c r="F762" s="672"/>
      <c r="G762" s="534" t="s">
        <v>355</v>
      </c>
      <c r="H762" s="506" t="s">
        <v>151</v>
      </c>
      <c r="I762" s="507">
        <v>1</v>
      </c>
      <c r="J762" s="508">
        <v>2</v>
      </c>
      <c r="K762" s="508"/>
      <c r="L762" s="509">
        <f t="shared" si="99"/>
        <v>0</v>
      </c>
    </row>
    <row r="763" spans="1:14" s="505" customFormat="1">
      <c r="A763" s="669"/>
      <c r="B763" s="673"/>
      <c r="C763" s="671"/>
      <c r="D763" s="672"/>
      <c r="E763" s="672"/>
      <c r="F763" s="672"/>
      <c r="G763" s="534" t="s">
        <v>356</v>
      </c>
      <c r="H763" s="506" t="s">
        <v>151</v>
      </c>
      <c r="I763" s="507">
        <v>1</v>
      </c>
      <c r="J763" s="508">
        <v>6</v>
      </c>
      <c r="K763" s="508"/>
      <c r="L763" s="509">
        <f t="shared" si="99"/>
        <v>0</v>
      </c>
    </row>
    <row r="764" spans="1:14" s="505" customFormat="1">
      <c r="A764" s="669">
        <v>260</v>
      </c>
      <c r="B764" s="670" t="s">
        <v>361</v>
      </c>
      <c r="C764" s="671" t="s">
        <v>151</v>
      </c>
      <c r="D764" s="672">
        <v>62</v>
      </c>
      <c r="E764" s="672"/>
      <c r="F764" s="672">
        <f>E764*D764</f>
        <v>0</v>
      </c>
      <c r="G764" s="534" t="s">
        <v>362</v>
      </c>
      <c r="H764" s="506" t="s">
        <v>151</v>
      </c>
      <c r="I764" s="507">
        <v>1</v>
      </c>
      <c r="J764" s="508">
        <v>20</v>
      </c>
      <c r="K764" s="508"/>
      <c r="L764" s="509">
        <f t="shared" si="99"/>
        <v>0</v>
      </c>
    </row>
    <row r="765" spans="1:14" s="505" customFormat="1" ht="25.5">
      <c r="A765" s="669"/>
      <c r="B765" s="670"/>
      <c r="C765" s="671"/>
      <c r="D765" s="672"/>
      <c r="E765" s="672"/>
      <c r="F765" s="672"/>
      <c r="G765" s="534" t="s">
        <v>363</v>
      </c>
      <c r="H765" s="506" t="s">
        <v>151</v>
      </c>
      <c r="I765" s="507">
        <v>1</v>
      </c>
      <c r="J765" s="508">
        <v>18</v>
      </c>
      <c r="K765" s="508"/>
      <c r="L765" s="509">
        <f t="shared" si="99"/>
        <v>0</v>
      </c>
    </row>
    <row r="766" spans="1:14" s="505" customFormat="1" ht="25.5">
      <c r="A766" s="669"/>
      <c r="B766" s="670"/>
      <c r="C766" s="671"/>
      <c r="D766" s="672"/>
      <c r="E766" s="672"/>
      <c r="F766" s="672"/>
      <c r="G766" s="534" t="s">
        <v>364</v>
      </c>
      <c r="H766" s="506" t="s">
        <v>151</v>
      </c>
      <c r="I766" s="507">
        <v>1</v>
      </c>
      <c r="J766" s="508">
        <v>24</v>
      </c>
      <c r="K766" s="508"/>
      <c r="L766" s="509">
        <f t="shared" si="99"/>
        <v>0</v>
      </c>
    </row>
    <row r="767" spans="1:14" s="511" customFormat="1">
      <c r="A767" s="538">
        <v>261</v>
      </c>
      <c r="B767" s="516" t="s">
        <v>378</v>
      </c>
      <c r="C767" s="517" t="s">
        <v>379</v>
      </c>
      <c r="D767" s="518">
        <v>1</v>
      </c>
      <c r="E767" s="519"/>
      <c r="F767" s="519">
        <f>E767*D767</f>
        <v>0</v>
      </c>
      <c r="G767" s="516"/>
      <c r="H767" s="517"/>
      <c r="I767" s="518"/>
      <c r="J767" s="519"/>
      <c r="K767" s="519"/>
      <c r="L767" s="520"/>
    </row>
    <row r="768" spans="1:14" s="547" customFormat="1">
      <c r="A768" s="539"/>
      <c r="B768" s="540"/>
      <c r="C768" s="541"/>
      <c r="D768" s="541"/>
      <c r="E768" s="541"/>
      <c r="F768" s="542"/>
      <c r="G768" s="540"/>
      <c r="H768" s="543"/>
      <c r="I768" s="544"/>
      <c r="J768" s="545"/>
      <c r="K768" s="545"/>
      <c r="L768" s="546"/>
      <c r="M768" s="334"/>
      <c r="N768" s="334"/>
    </row>
  </sheetData>
  <autoFilter ref="A14:L767" xr:uid="{00000000-0009-0000-0000-000001000000}"/>
  <mergeCells count="992">
    <mergeCell ref="A32:A33"/>
    <mergeCell ref="B32:B33"/>
    <mergeCell ref="C32:C33"/>
    <mergeCell ref="D32:D33"/>
    <mergeCell ref="E32:E33"/>
    <mergeCell ref="F32:F33"/>
    <mergeCell ref="A3:B3"/>
    <mergeCell ref="A4:B4"/>
    <mergeCell ref="K2:L2"/>
    <mergeCell ref="A21:A31"/>
    <mergeCell ref="B21:B31"/>
    <mergeCell ref="C21:C31"/>
    <mergeCell ref="D21:D31"/>
    <mergeCell ref="E21:E31"/>
    <mergeCell ref="F21:F31"/>
    <mergeCell ref="A6:K6"/>
    <mergeCell ref="A8:L8"/>
    <mergeCell ref="A9:L9"/>
    <mergeCell ref="A11:I11"/>
    <mergeCell ref="A18:A19"/>
    <mergeCell ref="B18:B19"/>
    <mergeCell ref="C18:C19"/>
    <mergeCell ref="D18:D19"/>
    <mergeCell ref="E18:E19"/>
    <mergeCell ref="F18:F19"/>
    <mergeCell ref="A37:A39"/>
    <mergeCell ref="B37:B39"/>
    <mergeCell ref="C37:C39"/>
    <mergeCell ref="D37:D39"/>
    <mergeCell ref="E37:E39"/>
    <mergeCell ref="F37:F39"/>
    <mergeCell ref="A34:A36"/>
    <mergeCell ref="B34:B36"/>
    <mergeCell ref="C34:C36"/>
    <mergeCell ref="D34:D36"/>
    <mergeCell ref="E34:E36"/>
    <mergeCell ref="F34:F36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9:A51"/>
    <mergeCell ref="B49:B51"/>
    <mergeCell ref="C49:C51"/>
    <mergeCell ref="D49:D51"/>
    <mergeCell ref="E49:E51"/>
    <mergeCell ref="F49:F51"/>
    <mergeCell ref="O46:O47"/>
    <mergeCell ref="B47:B48"/>
    <mergeCell ref="C47:C48"/>
    <mergeCell ref="D47:D48"/>
    <mergeCell ref="E47:E48"/>
    <mergeCell ref="F47:F48"/>
    <mergeCell ref="A55:A56"/>
    <mergeCell ref="B55:B56"/>
    <mergeCell ref="C55:C56"/>
    <mergeCell ref="D55:D56"/>
    <mergeCell ref="E55:E56"/>
    <mergeCell ref="F55:F56"/>
    <mergeCell ref="A52:A54"/>
    <mergeCell ref="B52:B54"/>
    <mergeCell ref="C52:C54"/>
    <mergeCell ref="D52:D54"/>
    <mergeCell ref="E52:E54"/>
    <mergeCell ref="F52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6:A68"/>
    <mergeCell ref="B66:B68"/>
    <mergeCell ref="C66:C68"/>
    <mergeCell ref="D66:D68"/>
    <mergeCell ref="E66:E68"/>
    <mergeCell ref="F66:F68"/>
    <mergeCell ref="O63:O64"/>
    <mergeCell ref="A64:A65"/>
    <mergeCell ref="B64:B65"/>
    <mergeCell ref="C64:C65"/>
    <mergeCell ref="D64:D65"/>
    <mergeCell ref="E64:E65"/>
    <mergeCell ref="F64:F65"/>
    <mergeCell ref="A72:A73"/>
    <mergeCell ref="B72:B73"/>
    <mergeCell ref="C72:C73"/>
    <mergeCell ref="D72:D73"/>
    <mergeCell ref="E72:E73"/>
    <mergeCell ref="F72:F73"/>
    <mergeCell ref="A69:A71"/>
    <mergeCell ref="B69:B71"/>
    <mergeCell ref="C69:C71"/>
    <mergeCell ref="D69:D71"/>
    <mergeCell ref="E69:E71"/>
    <mergeCell ref="F69:F71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90:A93"/>
    <mergeCell ref="B90:B93"/>
    <mergeCell ref="C90:C93"/>
    <mergeCell ref="D90:D93"/>
    <mergeCell ref="E90:E93"/>
    <mergeCell ref="F90:F93"/>
    <mergeCell ref="A85:A88"/>
    <mergeCell ref="B85:B88"/>
    <mergeCell ref="C85:C88"/>
    <mergeCell ref="D85:D88"/>
    <mergeCell ref="E85:E88"/>
    <mergeCell ref="F85:F88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99:F100"/>
    <mergeCell ref="A109:A110"/>
    <mergeCell ref="B109:B110"/>
    <mergeCell ref="C109:C110"/>
    <mergeCell ref="D109:D110"/>
    <mergeCell ref="E109:E110"/>
    <mergeCell ref="F109:F110"/>
    <mergeCell ref="A107:A108"/>
    <mergeCell ref="B107:B108"/>
    <mergeCell ref="C107:C108"/>
    <mergeCell ref="D107:D108"/>
    <mergeCell ref="E107:E108"/>
    <mergeCell ref="F107:F108"/>
    <mergeCell ref="A116:A119"/>
    <mergeCell ref="B116:B119"/>
    <mergeCell ref="C116:C119"/>
    <mergeCell ref="D116:D119"/>
    <mergeCell ref="E116:E119"/>
    <mergeCell ref="F116:F119"/>
    <mergeCell ref="A111:A112"/>
    <mergeCell ref="B111:B112"/>
    <mergeCell ref="C111:C112"/>
    <mergeCell ref="D111:D112"/>
    <mergeCell ref="E111:E112"/>
    <mergeCell ref="F111:F112"/>
    <mergeCell ref="A123:A126"/>
    <mergeCell ref="B123:B126"/>
    <mergeCell ref="C123:C126"/>
    <mergeCell ref="D123:D126"/>
    <mergeCell ref="E123:E126"/>
    <mergeCell ref="F123:F126"/>
    <mergeCell ref="A120:A122"/>
    <mergeCell ref="B120:B122"/>
    <mergeCell ref="C120:C122"/>
    <mergeCell ref="D120:D122"/>
    <mergeCell ref="E120:E122"/>
    <mergeCell ref="F120:F122"/>
    <mergeCell ref="A143:A144"/>
    <mergeCell ref="B143:B144"/>
    <mergeCell ref="C143:C144"/>
    <mergeCell ref="D143:D144"/>
    <mergeCell ref="E143:E144"/>
    <mergeCell ref="F143:F144"/>
    <mergeCell ref="A127:A128"/>
    <mergeCell ref="B127:B128"/>
    <mergeCell ref="C127:C128"/>
    <mergeCell ref="D127:D128"/>
    <mergeCell ref="E127:E128"/>
    <mergeCell ref="F127:F128"/>
    <mergeCell ref="A134:A135"/>
    <mergeCell ref="B134:B135"/>
    <mergeCell ref="C134:C135"/>
    <mergeCell ref="D134:D135"/>
    <mergeCell ref="E134:E135"/>
    <mergeCell ref="F134:F135"/>
    <mergeCell ref="A141:A142"/>
    <mergeCell ref="B141:B142"/>
    <mergeCell ref="C141:C142"/>
    <mergeCell ref="D141:D142"/>
    <mergeCell ref="E141:E142"/>
    <mergeCell ref="F141:F142"/>
    <mergeCell ref="A198:A199"/>
    <mergeCell ref="B198:B199"/>
    <mergeCell ref="C198:C199"/>
    <mergeCell ref="D198:D199"/>
    <mergeCell ref="E198:E199"/>
    <mergeCell ref="F198:F199"/>
    <mergeCell ref="A191:A194"/>
    <mergeCell ref="B191:B194"/>
    <mergeCell ref="C191:C194"/>
    <mergeCell ref="D191:D194"/>
    <mergeCell ref="E191:E194"/>
    <mergeCell ref="F191:F194"/>
    <mergeCell ref="A214:A215"/>
    <mergeCell ref="B214:B215"/>
    <mergeCell ref="C214:C215"/>
    <mergeCell ref="D214:D215"/>
    <mergeCell ref="E214:E215"/>
    <mergeCell ref="F214:F215"/>
    <mergeCell ref="A204:A207"/>
    <mergeCell ref="B204:B207"/>
    <mergeCell ref="C204:C207"/>
    <mergeCell ref="D204:D207"/>
    <mergeCell ref="E204:E207"/>
    <mergeCell ref="F204:F207"/>
    <mergeCell ref="A218:A219"/>
    <mergeCell ref="B218:B219"/>
    <mergeCell ref="C218:C219"/>
    <mergeCell ref="D218:D219"/>
    <mergeCell ref="E218:E219"/>
    <mergeCell ref="F218:F219"/>
    <mergeCell ref="A216:A217"/>
    <mergeCell ref="B216:B217"/>
    <mergeCell ref="C216:C217"/>
    <mergeCell ref="D216:D217"/>
    <mergeCell ref="E216:E217"/>
    <mergeCell ref="F216:F217"/>
    <mergeCell ref="A228:A229"/>
    <mergeCell ref="B228:B229"/>
    <mergeCell ref="C228:C229"/>
    <mergeCell ref="D228:D229"/>
    <mergeCell ref="E228:E229"/>
    <mergeCell ref="F228:F229"/>
    <mergeCell ref="A226:A227"/>
    <mergeCell ref="B226:B227"/>
    <mergeCell ref="C226:C227"/>
    <mergeCell ref="D226:D227"/>
    <mergeCell ref="E226:E227"/>
    <mergeCell ref="F226:F227"/>
    <mergeCell ref="A232:A233"/>
    <mergeCell ref="B232:B233"/>
    <mergeCell ref="C232:C233"/>
    <mergeCell ref="D232:D233"/>
    <mergeCell ref="E232:E233"/>
    <mergeCell ref="F232:F233"/>
    <mergeCell ref="A230:A231"/>
    <mergeCell ref="B230:B231"/>
    <mergeCell ref="C230:C231"/>
    <mergeCell ref="D230:D231"/>
    <mergeCell ref="E230:E231"/>
    <mergeCell ref="F230:F231"/>
    <mergeCell ref="A236:A239"/>
    <mergeCell ref="B236:B239"/>
    <mergeCell ref="C236:C239"/>
    <mergeCell ref="D236:D239"/>
    <mergeCell ref="E236:E239"/>
    <mergeCell ref="F236:F239"/>
    <mergeCell ref="A234:A235"/>
    <mergeCell ref="B234:B235"/>
    <mergeCell ref="C234:C235"/>
    <mergeCell ref="D234:D235"/>
    <mergeCell ref="E234:E235"/>
    <mergeCell ref="F234:F235"/>
    <mergeCell ref="A253:A256"/>
    <mergeCell ref="B253:B256"/>
    <mergeCell ref="C253:C256"/>
    <mergeCell ref="D253:D256"/>
    <mergeCell ref="E253:E256"/>
    <mergeCell ref="F253:F256"/>
    <mergeCell ref="A242:A252"/>
    <mergeCell ref="B242:B252"/>
    <mergeCell ref="C242:C252"/>
    <mergeCell ref="D242:D252"/>
    <mergeCell ref="E242:E252"/>
    <mergeCell ref="F242:F252"/>
    <mergeCell ref="A290:A291"/>
    <mergeCell ref="B290:B291"/>
    <mergeCell ref="C290:C291"/>
    <mergeCell ref="D290:D291"/>
    <mergeCell ref="E290:E291"/>
    <mergeCell ref="F290:F291"/>
    <mergeCell ref="A269:A280"/>
    <mergeCell ref="B269:B280"/>
    <mergeCell ref="C269:C280"/>
    <mergeCell ref="D269:D280"/>
    <mergeCell ref="E269:E280"/>
    <mergeCell ref="F269:F280"/>
    <mergeCell ref="A282:A283"/>
    <mergeCell ref="B282:B283"/>
    <mergeCell ref="C282:C283"/>
    <mergeCell ref="D282:D283"/>
    <mergeCell ref="E282:E283"/>
    <mergeCell ref="F282:F283"/>
    <mergeCell ref="A294:A295"/>
    <mergeCell ref="B294:B295"/>
    <mergeCell ref="C294:C295"/>
    <mergeCell ref="D294:D295"/>
    <mergeCell ref="E294:E295"/>
    <mergeCell ref="F294:F295"/>
    <mergeCell ref="A292:A293"/>
    <mergeCell ref="B292:B293"/>
    <mergeCell ref="C292:C293"/>
    <mergeCell ref="D292:D293"/>
    <mergeCell ref="E292:E293"/>
    <mergeCell ref="F292:F293"/>
    <mergeCell ref="A298:A299"/>
    <mergeCell ref="B298:B299"/>
    <mergeCell ref="C298:C299"/>
    <mergeCell ref="D298:D299"/>
    <mergeCell ref="E298:E299"/>
    <mergeCell ref="F298:F299"/>
    <mergeCell ref="A296:A297"/>
    <mergeCell ref="B296:B297"/>
    <mergeCell ref="C296:C297"/>
    <mergeCell ref="D296:D297"/>
    <mergeCell ref="E296:E297"/>
    <mergeCell ref="F296:F297"/>
    <mergeCell ref="A306:A316"/>
    <mergeCell ref="B306:B316"/>
    <mergeCell ref="C306:C316"/>
    <mergeCell ref="D306:D316"/>
    <mergeCell ref="E306:E316"/>
    <mergeCell ref="F306:F316"/>
    <mergeCell ref="A300:A303"/>
    <mergeCell ref="B300:B303"/>
    <mergeCell ref="C300:C303"/>
    <mergeCell ref="D300:D303"/>
    <mergeCell ref="E300:E303"/>
    <mergeCell ref="F300:F303"/>
    <mergeCell ref="A321:A322"/>
    <mergeCell ref="B321:B322"/>
    <mergeCell ref="C321:C322"/>
    <mergeCell ref="D321:D322"/>
    <mergeCell ref="E321:E322"/>
    <mergeCell ref="F321:F322"/>
    <mergeCell ref="A317:A320"/>
    <mergeCell ref="B317:B320"/>
    <mergeCell ref="C317:C320"/>
    <mergeCell ref="D317:D320"/>
    <mergeCell ref="E317:E320"/>
    <mergeCell ref="F317:F320"/>
    <mergeCell ref="A327:A330"/>
    <mergeCell ref="B327:B330"/>
    <mergeCell ref="C327:C330"/>
    <mergeCell ref="D327:D330"/>
    <mergeCell ref="E327:E330"/>
    <mergeCell ref="F327:F330"/>
    <mergeCell ref="A323:A326"/>
    <mergeCell ref="B323:B326"/>
    <mergeCell ref="C323:C326"/>
    <mergeCell ref="D323:D326"/>
    <mergeCell ref="E323:E326"/>
    <mergeCell ref="F323:F326"/>
    <mergeCell ref="A349:A350"/>
    <mergeCell ref="B349:B350"/>
    <mergeCell ref="C349:C350"/>
    <mergeCell ref="D349:D350"/>
    <mergeCell ref="E349:E350"/>
    <mergeCell ref="F349:F350"/>
    <mergeCell ref="A331:A342"/>
    <mergeCell ref="B331:B342"/>
    <mergeCell ref="C331:C342"/>
    <mergeCell ref="D331:D342"/>
    <mergeCell ref="E331:E342"/>
    <mergeCell ref="F331:F342"/>
    <mergeCell ref="A353:A354"/>
    <mergeCell ref="B353:B354"/>
    <mergeCell ref="C353:C354"/>
    <mergeCell ref="D353:D354"/>
    <mergeCell ref="E353:E354"/>
    <mergeCell ref="F353:F354"/>
    <mergeCell ref="A351:A352"/>
    <mergeCell ref="B351:B352"/>
    <mergeCell ref="C351:C352"/>
    <mergeCell ref="D351:D352"/>
    <mergeCell ref="E351:E352"/>
    <mergeCell ref="F351:F352"/>
    <mergeCell ref="A357:A358"/>
    <mergeCell ref="B357:B358"/>
    <mergeCell ref="C357:C358"/>
    <mergeCell ref="D357:D358"/>
    <mergeCell ref="E357:E358"/>
    <mergeCell ref="F357:F358"/>
    <mergeCell ref="A355:A356"/>
    <mergeCell ref="B355:B356"/>
    <mergeCell ref="C355:C356"/>
    <mergeCell ref="D355:D356"/>
    <mergeCell ref="E355:E356"/>
    <mergeCell ref="F355:F356"/>
    <mergeCell ref="A365:A375"/>
    <mergeCell ref="B365:B375"/>
    <mergeCell ref="C365:C375"/>
    <mergeCell ref="D365:D375"/>
    <mergeCell ref="E365:E375"/>
    <mergeCell ref="F365:F375"/>
    <mergeCell ref="A359:A362"/>
    <mergeCell ref="B359:B362"/>
    <mergeCell ref="C359:C362"/>
    <mergeCell ref="D359:D362"/>
    <mergeCell ref="E359:E362"/>
    <mergeCell ref="F359:F362"/>
    <mergeCell ref="A380:A381"/>
    <mergeCell ref="B380:B381"/>
    <mergeCell ref="C380:C381"/>
    <mergeCell ref="D380:D381"/>
    <mergeCell ref="E380:E381"/>
    <mergeCell ref="F380:F381"/>
    <mergeCell ref="A376:A379"/>
    <mergeCell ref="B376:B379"/>
    <mergeCell ref="C376:C379"/>
    <mergeCell ref="D376:D379"/>
    <mergeCell ref="E376:E379"/>
    <mergeCell ref="F376:F379"/>
    <mergeCell ref="A386:A389"/>
    <mergeCell ref="B386:B389"/>
    <mergeCell ref="C386:C389"/>
    <mergeCell ref="D386:D389"/>
    <mergeCell ref="E386:E389"/>
    <mergeCell ref="F386:F389"/>
    <mergeCell ref="A382:A385"/>
    <mergeCell ref="B382:B385"/>
    <mergeCell ref="C382:C385"/>
    <mergeCell ref="D382:D385"/>
    <mergeCell ref="E382:E385"/>
    <mergeCell ref="F382:F385"/>
    <mergeCell ref="A408:A409"/>
    <mergeCell ref="B408:B409"/>
    <mergeCell ref="C408:C409"/>
    <mergeCell ref="D408:D409"/>
    <mergeCell ref="E408:E409"/>
    <mergeCell ref="F408:F409"/>
    <mergeCell ref="A390:A401"/>
    <mergeCell ref="B390:B401"/>
    <mergeCell ref="C390:C401"/>
    <mergeCell ref="D390:D401"/>
    <mergeCell ref="E390:E401"/>
    <mergeCell ref="F390:F401"/>
    <mergeCell ref="A412:A413"/>
    <mergeCell ref="B412:B413"/>
    <mergeCell ref="C412:C413"/>
    <mergeCell ref="D412:D413"/>
    <mergeCell ref="E412:E413"/>
    <mergeCell ref="F412:F413"/>
    <mergeCell ref="A410:A411"/>
    <mergeCell ref="B410:B411"/>
    <mergeCell ref="C410:C411"/>
    <mergeCell ref="D410:D411"/>
    <mergeCell ref="E410:E411"/>
    <mergeCell ref="F410:F411"/>
    <mergeCell ref="A416:A417"/>
    <mergeCell ref="B416:B417"/>
    <mergeCell ref="C416:C417"/>
    <mergeCell ref="D416:D417"/>
    <mergeCell ref="E416:E417"/>
    <mergeCell ref="F416:F417"/>
    <mergeCell ref="A414:A415"/>
    <mergeCell ref="B414:B415"/>
    <mergeCell ref="C414:C415"/>
    <mergeCell ref="D414:D415"/>
    <mergeCell ref="E414:E415"/>
    <mergeCell ref="F414:F415"/>
    <mergeCell ref="A424:A434"/>
    <mergeCell ref="B424:B434"/>
    <mergeCell ref="C424:C434"/>
    <mergeCell ref="D424:D434"/>
    <mergeCell ref="E424:E434"/>
    <mergeCell ref="F424:F434"/>
    <mergeCell ref="A418:A421"/>
    <mergeCell ref="B418:B421"/>
    <mergeCell ref="C418:C421"/>
    <mergeCell ref="D418:D421"/>
    <mergeCell ref="E418:E421"/>
    <mergeCell ref="F418:F421"/>
    <mergeCell ref="A439:A440"/>
    <mergeCell ref="B439:B440"/>
    <mergeCell ref="C439:C440"/>
    <mergeCell ref="D439:D440"/>
    <mergeCell ref="E439:E440"/>
    <mergeCell ref="F439:F440"/>
    <mergeCell ref="A435:A438"/>
    <mergeCell ref="B435:B438"/>
    <mergeCell ref="C435:C438"/>
    <mergeCell ref="D435:D438"/>
    <mergeCell ref="E435:E438"/>
    <mergeCell ref="F435:F438"/>
    <mergeCell ref="A445:A448"/>
    <mergeCell ref="B445:B448"/>
    <mergeCell ref="C445:C448"/>
    <mergeCell ref="D445:D448"/>
    <mergeCell ref="E445:E448"/>
    <mergeCell ref="F445:F448"/>
    <mergeCell ref="A441:A444"/>
    <mergeCell ref="B441:B444"/>
    <mergeCell ref="C441:C444"/>
    <mergeCell ref="D441:D444"/>
    <mergeCell ref="E441:E444"/>
    <mergeCell ref="F441:F444"/>
    <mergeCell ref="A467:A468"/>
    <mergeCell ref="B467:B468"/>
    <mergeCell ref="C467:C468"/>
    <mergeCell ref="D467:D468"/>
    <mergeCell ref="E467:E468"/>
    <mergeCell ref="F467:F468"/>
    <mergeCell ref="A449:A460"/>
    <mergeCell ref="B449:B460"/>
    <mergeCell ref="C449:C460"/>
    <mergeCell ref="D449:D460"/>
    <mergeCell ref="E449:E460"/>
    <mergeCell ref="F449:F460"/>
    <mergeCell ref="A471:A472"/>
    <mergeCell ref="B471:B472"/>
    <mergeCell ref="C471:C472"/>
    <mergeCell ref="D471:D472"/>
    <mergeCell ref="E471:E472"/>
    <mergeCell ref="F471:F472"/>
    <mergeCell ref="A469:A470"/>
    <mergeCell ref="B469:B470"/>
    <mergeCell ref="C469:C470"/>
    <mergeCell ref="D469:D470"/>
    <mergeCell ref="E469:E470"/>
    <mergeCell ref="F469:F470"/>
    <mergeCell ref="A475:A476"/>
    <mergeCell ref="B475:B476"/>
    <mergeCell ref="C475:C476"/>
    <mergeCell ref="D475:D476"/>
    <mergeCell ref="E475:E476"/>
    <mergeCell ref="F475:F476"/>
    <mergeCell ref="A473:A474"/>
    <mergeCell ref="B473:B474"/>
    <mergeCell ref="C473:C474"/>
    <mergeCell ref="D473:D474"/>
    <mergeCell ref="E473:E474"/>
    <mergeCell ref="F473:F474"/>
    <mergeCell ref="A483:A493"/>
    <mergeCell ref="B483:B493"/>
    <mergeCell ref="C483:C493"/>
    <mergeCell ref="D483:D493"/>
    <mergeCell ref="E483:E493"/>
    <mergeCell ref="F483:F493"/>
    <mergeCell ref="A477:A480"/>
    <mergeCell ref="B477:B480"/>
    <mergeCell ref="C477:C480"/>
    <mergeCell ref="D477:D480"/>
    <mergeCell ref="E477:E480"/>
    <mergeCell ref="F477:F480"/>
    <mergeCell ref="A498:A499"/>
    <mergeCell ref="B498:B499"/>
    <mergeCell ref="C498:C499"/>
    <mergeCell ref="D498:D499"/>
    <mergeCell ref="E498:E499"/>
    <mergeCell ref="F498:F499"/>
    <mergeCell ref="A494:A497"/>
    <mergeCell ref="B494:B497"/>
    <mergeCell ref="C494:C497"/>
    <mergeCell ref="D494:D497"/>
    <mergeCell ref="E494:E497"/>
    <mergeCell ref="F494:F497"/>
    <mergeCell ref="A504:A507"/>
    <mergeCell ref="B504:B507"/>
    <mergeCell ref="C504:C507"/>
    <mergeCell ref="D504:D507"/>
    <mergeCell ref="E504:E507"/>
    <mergeCell ref="F504:F507"/>
    <mergeCell ref="A500:A503"/>
    <mergeCell ref="B500:B503"/>
    <mergeCell ref="C500:C503"/>
    <mergeCell ref="D500:D503"/>
    <mergeCell ref="E500:E503"/>
    <mergeCell ref="F500:F503"/>
    <mergeCell ref="A526:A527"/>
    <mergeCell ref="B526:B527"/>
    <mergeCell ref="C526:C527"/>
    <mergeCell ref="D526:D527"/>
    <mergeCell ref="E526:E527"/>
    <mergeCell ref="F526:F527"/>
    <mergeCell ref="A508:A519"/>
    <mergeCell ref="B508:B519"/>
    <mergeCell ref="C508:C519"/>
    <mergeCell ref="D508:D519"/>
    <mergeCell ref="E508:E519"/>
    <mergeCell ref="F508:F519"/>
    <mergeCell ref="A530:A531"/>
    <mergeCell ref="B530:B531"/>
    <mergeCell ref="C530:C531"/>
    <mergeCell ref="D530:D531"/>
    <mergeCell ref="E530:E531"/>
    <mergeCell ref="F530:F531"/>
    <mergeCell ref="A528:A529"/>
    <mergeCell ref="B528:B529"/>
    <mergeCell ref="C528:C529"/>
    <mergeCell ref="D528:D529"/>
    <mergeCell ref="E528:E529"/>
    <mergeCell ref="F528:F529"/>
    <mergeCell ref="A534:A535"/>
    <mergeCell ref="B534:B535"/>
    <mergeCell ref="C534:C535"/>
    <mergeCell ref="D534:D535"/>
    <mergeCell ref="E534:E535"/>
    <mergeCell ref="F534:F535"/>
    <mergeCell ref="A532:A533"/>
    <mergeCell ref="B532:B533"/>
    <mergeCell ref="C532:C533"/>
    <mergeCell ref="D532:D533"/>
    <mergeCell ref="E532:E533"/>
    <mergeCell ref="F532:F533"/>
    <mergeCell ref="A542:A552"/>
    <mergeCell ref="B542:B552"/>
    <mergeCell ref="C542:C552"/>
    <mergeCell ref="D542:D552"/>
    <mergeCell ref="E542:E552"/>
    <mergeCell ref="F542:F552"/>
    <mergeCell ref="A536:A539"/>
    <mergeCell ref="B536:B539"/>
    <mergeCell ref="C536:C539"/>
    <mergeCell ref="D536:D539"/>
    <mergeCell ref="E536:E539"/>
    <mergeCell ref="F536:F539"/>
    <mergeCell ref="A557:A558"/>
    <mergeCell ref="B557:B558"/>
    <mergeCell ref="C557:C558"/>
    <mergeCell ref="D557:D558"/>
    <mergeCell ref="E557:E558"/>
    <mergeCell ref="F557:F558"/>
    <mergeCell ref="A553:A556"/>
    <mergeCell ref="B553:B556"/>
    <mergeCell ref="C553:C556"/>
    <mergeCell ref="D553:D556"/>
    <mergeCell ref="E553:E556"/>
    <mergeCell ref="F553:F556"/>
    <mergeCell ref="A563:A566"/>
    <mergeCell ref="B563:B566"/>
    <mergeCell ref="C563:C566"/>
    <mergeCell ref="D563:D566"/>
    <mergeCell ref="E563:E566"/>
    <mergeCell ref="F563:F566"/>
    <mergeCell ref="A559:A562"/>
    <mergeCell ref="B559:B562"/>
    <mergeCell ref="C559:C562"/>
    <mergeCell ref="D559:D562"/>
    <mergeCell ref="E559:E562"/>
    <mergeCell ref="F559:F562"/>
    <mergeCell ref="A581:A582"/>
    <mergeCell ref="B581:B582"/>
    <mergeCell ref="C581:C582"/>
    <mergeCell ref="D581:D582"/>
    <mergeCell ref="E581:E582"/>
    <mergeCell ref="F581:F582"/>
    <mergeCell ref="A567:A578"/>
    <mergeCell ref="B567:B578"/>
    <mergeCell ref="C567:C578"/>
    <mergeCell ref="D567:D578"/>
    <mergeCell ref="E567:E578"/>
    <mergeCell ref="F567:F578"/>
    <mergeCell ref="A590:A592"/>
    <mergeCell ref="B590:B592"/>
    <mergeCell ref="C590:C592"/>
    <mergeCell ref="D590:D592"/>
    <mergeCell ref="E590:E592"/>
    <mergeCell ref="F590:F592"/>
    <mergeCell ref="A587:A589"/>
    <mergeCell ref="B587:B589"/>
    <mergeCell ref="C587:C589"/>
    <mergeCell ref="D587:D589"/>
    <mergeCell ref="E587:E589"/>
    <mergeCell ref="F587:F589"/>
    <mergeCell ref="A595:A596"/>
    <mergeCell ref="B595:B596"/>
    <mergeCell ref="C595:C596"/>
    <mergeCell ref="D595:D596"/>
    <mergeCell ref="E595:E596"/>
    <mergeCell ref="F595:F596"/>
    <mergeCell ref="A593:A594"/>
    <mergeCell ref="B593:B594"/>
    <mergeCell ref="C593:C594"/>
    <mergeCell ref="D593:D594"/>
    <mergeCell ref="E593:E594"/>
    <mergeCell ref="F593:F594"/>
    <mergeCell ref="A609:A612"/>
    <mergeCell ref="B609:B612"/>
    <mergeCell ref="C609:C612"/>
    <mergeCell ref="D609:D612"/>
    <mergeCell ref="E609:E612"/>
    <mergeCell ref="F609:F612"/>
    <mergeCell ref="A598:A608"/>
    <mergeCell ref="B598:B608"/>
    <mergeCell ref="C598:C608"/>
    <mergeCell ref="D598:D608"/>
    <mergeCell ref="E598:E608"/>
    <mergeCell ref="F598:F608"/>
    <mergeCell ref="A633:A634"/>
    <mergeCell ref="B633:B634"/>
    <mergeCell ref="C633:C634"/>
    <mergeCell ref="D633:D634"/>
    <mergeCell ref="E633:E634"/>
    <mergeCell ref="F633:F634"/>
    <mergeCell ref="A613:A614"/>
    <mergeCell ref="B613:B614"/>
    <mergeCell ref="C613:C614"/>
    <mergeCell ref="D613:D614"/>
    <mergeCell ref="E613:E614"/>
    <mergeCell ref="F613:F614"/>
    <mergeCell ref="A624:A625"/>
    <mergeCell ref="B624:B625"/>
    <mergeCell ref="C624:C625"/>
    <mergeCell ref="D624:D625"/>
    <mergeCell ref="E624:E625"/>
    <mergeCell ref="F624:F625"/>
    <mergeCell ref="A617:A618"/>
    <mergeCell ref="B617:B618"/>
    <mergeCell ref="C617:C618"/>
    <mergeCell ref="D617:D618"/>
    <mergeCell ref="E617:E618"/>
    <mergeCell ref="F617:F618"/>
    <mergeCell ref="A654:A657"/>
    <mergeCell ref="B654:B657"/>
    <mergeCell ref="C654:C657"/>
    <mergeCell ref="D654:D657"/>
    <mergeCell ref="E654:E657"/>
    <mergeCell ref="F654:F657"/>
    <mergeCell ref="A652:A653"/>
    <mergeCell ref="B652:B653"/>
    <mergeCell ref="C652:C653"/>
    <mergeCell ref="D652:D653"/>
    <mergeCell ref="E652:E653"/>
    <mergeCell ref="F652:F653"/>
    <mergeCell ref="A681:A684"/>
    <mergeCell ref="B681:B684"/>
    <mergeCell ref="C681:C684"/>
    <mergeCell ref="D681:D684"/>
    <mergeCell ref="E681:E684"/>
    <mergeCell ref="F681:F684"/>
    <mergeCell ref="A677:A680"/>
    <mergeCell ref="B677:B680"/>
    <mergeCell ref="C677:C680"/>
    <mergeCell ref="D677:D680"/>
    <mergeCell ref="E677:E680"/>
    <mergeCell ref="F677:F680"/>
    <mergeCell ref="A675:A676"/>
    <mergeCell ref="B675:B676"/>
    <mergeCell ref="C675:C676"/>
    <mergeCell ref="D675:D676"/>
    <mergeCell ref="E675:E676"/>
    <mergeCell ref="F675:F676"/>
    <mergeCell ref="A146:A147"/>
    <mergeCell ref="B146:B147"/>
    <mergeCell ref="C146:C147"/>
    <mergeCell ref="D146:D147"/>
    <mergeCell ref="E146:E147"/>
    <mergeCell ref="F146:F147"/>
    <mergeCell ref="A155:A156"/>
    <mergeCell ref="B155:B156"/>
    <mergeCell ref="C155:C156"/>
    <mergeCell ref="D155:D156"/>
    <mergeCell ref="E155:E156"/>
    <mergeCell ref="F155:F156"/>
    <mergeCell ref="A153:A154"/>
    <mergeCell ref="B153:B154"/>
    <mergeCell ref="C153:C154"/>
    <mergeCell ref="D153:D154"/>
    <mergeCell ref="E153:E154"/>
    <mergeCell ref="F153:F154"/>
    <mergeCell ref="A168:A169"/>
    <mergeCell ref="B168:B169"/>
    <mergeCell ref="C168:C169"/>
    <mergeCell ref="D168:D169"/>
    <mergeCell ref="E168:E169"/>
    <mergeCell ref="F168:F169"/>
    <mergeCell ref="A166:A167"/>
    <mergeCell ref="B166:B167"/>
    <mergeCell ref="C166:C167"/>
    <mergeCell ref="D166:D167"/>
    <mergeCell ref="E166:E167"/>
    <mergeCell ref="F166:F167"/>
    <mergeCell ref="A183:A184"/>
    <mergeCell ref="B183:B184"/>
    <mergeCell ref="C183:C184"/>
    <mergeCell ref="D183:D184"/>
    <mergeCell ref="E183:E184"/>
    <mergeCell ref="F183:F184"/>
    <mergeCell ref="A171:A172"/>
    <mergeCell ref="B171:B172"/>
    <mergeCell ref="C171:C172"/>
    <mergeCell ref="D171:D172"/>
    <mergeCell ref="E171:E172"/>
    <mergeCell ref="F171:F172"/>
    <mergeCell ref="A180:A181"/>
    <mergeCell ref="B180:B181"/>
    <mergeCell ref="C180:C181"/>
    <mergeCell ref="D180:D181"/>
    <mergeCell ref="E180:E181"/>
    <mergeCell ref="F180:F181"/>
    <mergeCell ref="A178:A179"/>
    <mergeCell ref="B178:B179"/>
    <mergeCell ref="C178:C179"/>
    <mergeCell ref="D178:D179"/>
    <mergeCell ref="E178:E179"/>
    <mergeCell ref="F178:F179"/>
    <mergeCell ref="A130:A131"/>
    <mergeCell ref="B130:B131"/>
    <mergeCell ref="C130:C131"/>
    <mergeCell ref="D130:D131"/>
    <mergeCell ref="E130:E131"/>
    <mergeCell ref="F130:F131"/>
    <mergeCell ref="A642:A643"/>
    <mergeCell ref="B642:B643"/>
    <mergeCell ref="C642:C643"/>
    <mergeCell ref="D642:D643"/>
    <mergeCell ref="E642:E643"/>
    <mergeCell ref="F642:F643"/>
    <mergeCell ref="A640:A641"/>
    <mergeCell ref="B640:B641"/>
    <mergeCell ref="C640:C641"/>
    <mergeCell ref="D640:D641"/>
    <mergeCell ref="E640:E641"/>
    <mergeCell ref="F640:F641"/>
    <mergeCell ref="A158:A159"/>
    <mergeCell ref="B158:B159"/>
    <mergeCell ref="C158:C159"/>
    <mergeCell ref="D158:D159"/>
    <mergeCell ref="E158:E159"/>
    <mergeCell ref="F158:F159"/>
    <mergeCell ref="A186:A187"/>
    <mergeCell ref="B186:B187"/>
    <mergeCell ref="C186:C187"/>
    <mergeCell ref="D186:D187"/>
    <mergeCell ref="E186:E187"/>
    <mergeCell ref="F186:F187"/>
    <mergeCell ref="A263:A266"/>
    <mergeCell ref="B263:B266"/>
    <mergeCell ref="C263:C266"/>
    <mergeCell ref="D263:D266"/>
    <mergeCell ref="E263:E266"/>
    <mergeCell ref="F263:F266"/>
    <mergeCell ref="A259:A262"/>
    <mergeCell ref="B259:B262"/>
    <mergeCell ref="C259:C262"/>
    <mergeCell ref="D259:D262"/>
    <mergeCell ref="E259:E262"/>
    <mergeCell ref="F259:F262"/>
    <mergeCell ref="A257:A258"/>
    <mergeCell ref="B257:B258"/>
    <mergeCell ref="C257:C258"/>
    <mergeCell ref="D257:D258"/>
    <mergeCell ref="E257:E258"/>
    <mergeCell ref="F257:F258"/>
    <mergeCell ref="A629:A630"/>
    <mergeCell ref="B629:B630"/>
    <mergeCell ref="C629:C630"/>
    <mergeCell ref="D629:D630"/>
    <mergeCell ref="E629:E630"/>
    <mergeCell ref="F629:F630"/>
    <mergeCell ref="A626:A627"/>
    <mergeCell ref="B626:B627"/>
    <mergeCell ref="C626:C627"/>
    <mergeCell ref="D626:D627"/>
    <mergeCell ref="E626:E627"/>
    <mergeCell ref="F626:F627"/>
    <mergeCell ref="A686:A687"/>
    <mergeCell ref="B686:B687"/>
    <mergeCell ref="C686:C687"/>
    <mergeCell ref="D686:D687"/>
    <mergeCell ref="E686:E687"/>
    <mergeCell ref="F686:F687"/>
    <mergeCell ref="A645:A646"/>
    <mergeCell ref="B645:B646"/>
    <mergeCell ref="C645:C646"/>
    <mergeCell ref="D645:D646"/>
    <mergeCell ref="E645:E646"/>
    <mergeCell ref="F645:F646"/>
    <mergeCell ref="A671:A674"/>
    <mergeCell ref="B671:B674"/>
    <mergeCell ref="C671:C674"/>
    <mergeCell ref="D671:D674"/>
    <mergeCell ref="E671:E674"/>
    <mergeCell ref="F671:F674"/>
    <mergeCell ref="A659:A669"/>
    <mergeCell ref="B659:B669"/>
    <mergeCell ref="C659:C669"/>
    <mergeCell ref="D659:D669"/>
    <mergeCell ref="E659:E669"/>
    <mergeCell ref="F659:F669"/>
    <mergeCell ref="A697:A700"/>
    <mergeCell ref="B697:B700"/>
    <mergeCell ref="C697:C700"/>
    <mergeCell ref="D697:D700"/>
    <mergeCell ref="E697:E700"/>
    <mergeCell ref="F697:F700"/>
    <mergeCell ref="A695:A696"/>
    <mergeCell ref="B695:B696"/>
    <mergeCell ref="C695:C696"/>
    <mergeCell ref="D695:D696"/>
    <mergeCell ref="E695:E696"/>
    <mergeCell ref="F695:F696"/>
    <mergeCell ref="A704:A706"/>
    <mergeCell ref="B704:B706"/>
    <mergeCell ref="C704:C706"/>
    <mergeCell ref="D704:D706"/>
    <mergeCell ref="E704:E706"/>
    <mergeCell ref="F704:F706"/>
    <mergeCell ref="A701:A702"/>
    <mergeCell ref="B701:B702"/>
    <mergeCell ref="C701:C702"/>
    <mergeCell ref="D701:D702"/>
    <mergeCell ref="E701:E702"/>
    <mergeCell ref="F701:F702"/>
    <mergeCell ref="A714:A718"/>
    <mergeCell ref="B714:B718"/>
    <mergeCell ref="C714:C718"/>
    <mergeCell ref="D714:D718"/>
    <mergeCell ref="E714:E718"/>
    <mergeCell ref="F714:F718"/>
    <mergeCell ref="A707:A713"/>
    <mergeCell ref="B707:B713"/>
    <mergeCell ref="C707:C713"/>
    <mergeCell ref="D707:D713"/>
    <mergeCell ref="E707:E713"/>
    <mergeCell ref="F707:F713"/>
    <mergeCell ref="A724:A725"/>
    <mergeCell ref="B724:B725"/>
    <mergeCell ref="C724:C725"/>
    <mergeCell ref="D724:D725"/>
    <mergeCell ref="E724:E725"/>
    <mergeCell ref="F724:F725"/>
    <mergeCell ref="A719:A720"/>
    <mergeCell ref="B719:B720"/>
    <mergeCell ref="C719:C720"/>
    <mergeCell ref="D719:D720"/>
    <mergeCell ref="E719:E720"/>
    <mergeCell ref="F719:F720"/>
    <mergeCell ref="A731:A736"/>
    <mergeCell ref="B731:B736"/>
    <mergeCell ref="C731:C736"/>
    <mergeCell ref="D731:D736"/>
    <mergeCell ref="E731:E736"/>
    <mergeCell ref="F731:F736"/>
    <mergeCell ref="A727:A729"/>
    <mergeCell ref="B727:B729"/>
    <mergeCell ref="C727:C729"/>
    <mergeCell ref="D727:D729"/>
    <mergeCell ref="E727:E729"/>
    <mergeCell ref="F727:F729"/>
    <mergeCell ref="A748:A749"/>
    <mergeCell ref="B748:B749"/>
    <mergeCell ref="C748:C749"/>
    <mergeCell ref="D748:D749"/>
    <mergeCell ref="E748:E749"/>
    <mergeCell ref="F748:F749"/>
    <mergeCell ref="A737:A747"/>
    <mergeCell ref="B737:B747"/>
    <mergeCell ref="C737:C747"/>
    <mergeCell ref="D737:D747"/>
    <mergeCell ref="E737:E747"/>
    <mergeCell ref="F737:F747"/>
    <mergeCell ref="A755:A758"/>
    <mergeCell ref="B755:B758"/>
    <mergeCell ref="C755:C758"/>
    <mergeCell ref="D755:D758"/>
    <mergeCell ref="E755:E758"/>
    <mergeCell ref="F755:F758"/>
    <mergeCell ref="A751:A754"/>
    <mergeCell ref="B751:B754"/>
    <mergeCell ref="C751:C754"/>
    <mergeCell ref="D751:D754"/>
    <mergeCell ref="E751:E754"/>
    <mergeCell ref="F751:F754"/>
    <mergeCell ref="A764:A766"/>
    <mergeCell ref="B764:B766"/>
    <mergeCell ref="C764:C766"/>
    <mergeCell ref="D764:D766"/>
    <mergeCell ref="E764:E766"/>
    <mergeCell ref="F764:F766"/>
    <mergeCell ref="A759:A763"/>
    <mergeCell ref="B759:B763"/>
    <mergeCell ref="C759:C763"/>
    <mergeCell ref="D759:D763"/>
    <mergeCell ref="E759:E763"/>
    <mergeCell ref="F759:F763"/>
  </mergeCells>
  <pageMargins left="0.78740157480314965" right="0.59055118110236227" top="0.59055118110236227" bottom="0.59055118110236227" header="0" footer="0"/>
  <pageSetup paperSize="9" scale="62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ДЦ</vt:lpstr>
      <vt:lpstr>кошторис</vt:lpstr>
      <vt:lpstr>ДЦ!Область_печати</vt:lpstr>
      <vt:lpstr>кошторис!Область_печати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2022-06-03T14:47:42Z</dcterms:modified>
</cp:coreProperties>
</file>