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УД ОЛІМП\ТЕНДЕР\Тендер Обвязувальна балка\Обвязочна балка(розсилка)\"/>
    </mc:Choice>
  </mc:AlternateContent>
  <xr:revisionPtr revIDLastSave="0" documentId="13_ncr:1_{DB8DF0A1-FE45-4E05-B58C-E5484455CC3D}" xr6:coauthVersionLast="37" xr6:coauthVersionMax="37" xr10:uidLastSave="{00000000-0000-0000-0000-000000000000}"/>
  <bookViews>
    <workbookView xWindow="0" yWindow="0" windowWidth="25200" windowHeight="11175" tabRatio="904" activeTab="3" xr2:uid="{00000000-000D-0000-FFFF-FFFF00000000}"/>
  </bookViews>
  <sheets>
    <sheet name="Гідроизоляція" sheetId="17" r:id="rId1"/>
    <sheet name="ростверк" sheetId="9" r:id="rId2"/>
    <sheet name="підготовка" sheetId="11" r:id="rId3"/>
    <sheet name="зведена" sheetId="12" r:id="rId4"/>
    <sheet name="объемы" sheetId="16" r:id="rId5"/>
  </sheets>
  <definedNames>
    <definedName name="_xlnm.Print_Area" localSheetId="0">Гідроизоляція!$A$1:$H$19</definedName>
    <definedName name="_xlnm.Print_Area" localSheetId="3">зведена!$A$1:$K$26</definedName>
    <definedName name="_xlnm.Print_Area" localSheetId="2">підготовка!$A$1:$H$18</definedName>
    <definedName name="_xlnm.Print_Area" localSheetId="1">ростверк!$A$1:$H$45</definedName>
  </definedNames>
  <calcPr calcId="179021" refMode="R1C1"/>
</workbook>
</file>

<file path=xl/calcChain.xml><?xml version="1.0" encoding="utf-8"?>
<calcChain xmlns="http://schemas.openxmlformats.org/spreadsheetml/2006/main">
  <c r="D11" i="9" l="1"/>
  <c r="D12" i="17"/>
  <c r="D11" i="17"/>
  <c r="D27" i="9"/>
  <c r="D28" i="9"/>
  <c r="D47" i="16" l="1"/>
  <c r="D45" i="16"/>
  <c r="D58" i="16"/>
  <c r="G23" i="16"/>
  <c r="F24" i="16"/>
  <c r="D12" i="11" l="1"/>
  <c r="F27" i="9"/>
  <c r="D19" i="9" l="1"/>
  <c r="E12" i="12"/>
  <c r="I71" i="16"/>
  <c r="J71" i="16"/>
  <c r="H71" i="16"/>
  <c r="G71" i="16"/>
  <c r="F71" i="16"/>
  <c r="C67" i="16"/>
  <c r="E67" i="16" s="1"/>
  <c r="C66" i="16"/>
  <c r="C65" i="16"/>
  <c r="E65" i="16" s="1"/>
  <c r="C63" i="16"/>
  <c r="E63" i="16" s="1"/>
  <c r="C64" i="16"/>
  <c r="E64" i="16" s="1"/>
  <c r="C62" i="16"/>
  <c r="E62" i="16" s="1"/>
  <c r="C61" i="16"/>
  <c r="E61" i="16" s="1"/>
  <c r="E69" i="16"/>
  <c r="E68" i="16"/>
  <c r="E66" i="16"/>
  <c r="C60" i="16"/>
  <c r="J67" i="16"/>
  <c r="J70" i="16" s="1"/>
  <c r="I63" i="16"/>
  <c r="I70" i="16" s="1"/>
  <c r="H63" i="16"/>
  <c r="H70" i="16"/>
  <c r="G63" i="16"/>
  <c r="G70" i="16" s="1"/>
  <c r="F62" i="16"/>
  <c r="F61" i="16"/>
  <c r="F60" i="16"/>
  <c r="F69" i="16"/>
  <c r="C8" i="16"/>
  <c r="D8" i="16"/>
  <c r="E39" i="16" s="1"/>
  <c r="L8" i="16"/>
  <c r="K8" i="16"/>
  <c r="J8" i="16"/>
  <c r="I8" i="16"/>
  <c r="H8" i="16"/>
  <c r="G8" i="16"/>
  <c r="F8" i="16"/>
  <c r="E8" i="16"/>
  <c r="M8" i="16"/>
  <c r="N7" i="16"/>
  <c r="E60" i="16" l="1"/>
  <c r="C70" i="16"/>
  <c r="K71" i="16"/>
  <c r="E70" i="16"/>
  <c r="F70" i="16"/>
  <c r="C30" i="16" l="1"/>
  <c r="K70" i="16"/>
  <c r="E30" i="16" l="1"/>
  <c r="F12" i="17"/>
  <c r="F11" i="17"/>
  <c r="H10" i="17"/>
  <c r="H13" i="17" s="1"/>
  <c r="G15" i="12" s="1"/>
  <c r="F57" i="16"/>
  <c r="F56" i="16"/>
  <c r="F55" i="16"/>
  <c r="F54" i="16"/>
  <c r="C57" i="16"/>
  <c r="G57" i="16" s="1"/>
  <c r="C56" i="16"/>
  <c r="G56" i="16" s="1"/>
  <c r="C55" i="16"/>
  <c r="G55" i="16" s="1"/>
  <c r="C54" i="16"/>
  <c r="G54" i="16" s="1"/>
  <c r="G58" i="16" l="1"/>
  <c r="F58" i="16"/>
  <c r="F13" i="17"/>
  <c r="D34" i="16"/>
  <c r="F14" i="17" l="1"/>
  <c r="F15" i="17" s="1"/>
  <c r="F16" i="17" s="1"/>
  <c r="F15" i="12"/>
  <c r="H15" i="12" s="1"/>
  <c r="I15" i="12" l="1"/>
  <c r="G30" i="16"/>
  <c r="J15" i="12"/>
  <c r="K15" i="12" l="1"/>
  <c r="I30" i="16"/>
  <c r="K30" i="16" s="1"/>
  <c r="D46" i="16"/>
  <c r="E46" i="16" s="1"/>
  <c r="D20" i="9" s="1"/>
  <c r="D43" i="16"/>
  <c r="L30" i="16" l="1"/>
  <c r="M30" i="16"/>
  <c r="C34" i="16"/>
  <c r="G34" i="16" s="1"/>
  <c r="H34" i="16" s="1"/>
  <c r="D26" i="9" s="1"/>
  <c r="J29" i="16"/>
  <c r="C29" i="16"/>
  <c r="E16" i="16"/>
  <c r="E15" i="16"/>
  <c r="D14" i="16"/>
  <c r="D17" i="16" s="1"/>
  <c r="C17" i="16"/>
  <c r="E29" i="16" l="1"/>
  <c r="G29" i="16" s="1"/>
  <c r="I29" i="16" s="1"/>
  <c r="K29" i="16" s="1"/>
  <c r="E17" i="16"/>
  <c r="D18" i="16" s="1"/>
  <c r="E10" i="12" s="1"/>
  <c r="N6" i="16"/>
  <c r="N5" i="16"/>
  <c r="N8" i="16" l="1"/>
  <c r="L29" i="16"/>
  <c r="M29" i="16"/>
  <c r="K31" i="16"/>
  <c r="F19" i="9"/>
  <c r="D42" i="16"/>
  <c r="E42" i="16" s="1"/>
  <c r="D15" i="9" s="1"/>
  <c r="G24" i="16"/>
  <c r="D41" i="16"/>
  <c r="E41" i="16" s="1"/>
  <c r="D14" i="9" s="1"/>
  <c r="D12" i="9"/>
  <c r="E40" i="16"/>
  <c r="D13" i="9" s="1"/>
  <c r="E43" i="16"/>
  <c r="D16" i="9" s="1"/>
  <c r="E48" i="16"/>
  <c r="D22" i="9" s="1"/>
  <c r="E45" i="16"/>
  <c r="D18" i="9" s="1"/>
  <c r="E47" i="16"/>
  <c r="D21" i="9" s="1"/>
  <c r="N9" i="16" l="1"/>
  <c r="N10" i="16" s="1"/>
  <c r="D44" i="16"/>
  <c r="E44" i="16" s="1"/>
  <c r="D17" i="9" s="1"/>
  <c r="F17" i="9" s="1"/>
  <c r="L31" i="16"/>
  <c r="M31" i="16"/>
  <c r="D23" i="9" s="1"/>
  <c r="F22" i="9"/>
  <c r="H11" i="12" l="1"/>
  <c r="H12" i="12"/>
  <c r="H10" i="12"/>
  <c r="F20" i="9"/>
  <c r="F26" i="9"/>
  <c r="I11" i="12"/>
  <c r="J11" i="12"/>
  <c r="I12" i="12"/>
  <c r="J12" i="12"/>
  <c r="J10" i="12"/>
  <c r="I10" i="12"/>
  <c r="K10" i="12" l="1"/>
  <c r="K12" i="12"/>
  <c r="K11" i="12"/>
  <c r="F12" i="11" l="1"/>
  <c r="D11" i="11" l="1"/>
  <c r="H10" i="11"/>
  <c r="H13" i="11" s="1"/>
  <c r="G13" i="12" s="1"/>
  <c r="J13" i="12" s="1"/>
  <c r="F11" i="11" l="1"/>
  <c r="F13" i="11" s="1"/>
  <c r="F13" i="12" s="1"/>
  <c r="I13" i="12" l="1"/>
  <c r="H13" i="12"/>
  <c r="F14" i="11"/>
  <c r="K13" i="12" l="1"/>
  <c r="F15" i="11"/>
  <c r="F16" i="11" s="1"/>
  <c r="F15" i="9" l="1"/>
  <c r="F13" i="9"/>
  <c r="F14" i="9"/>
  <c r="F16" i="9"/>
  <c r="F18" i="9"/>
  <c r="F28" i="9"/>
  <c r="F29" i="9" s="1"/>
  <c r="D10" i="9"/>
  <c r="F10" i="9" s="1"/>
  <c r="H9" i="9"/>
  <c r="H24" i="9" s="1"/>
  <c r="G14" i="12" s="1"/>
  <c r="J14" i="12" s="1"/>
  <c r="J16" i="12" s="1"/>
  <c r="F39" i="9" l="1"/>
  <c r="F21" i="9"/>
  <c r="F23" i="9"/>
  <c r="F37" i="9" s="1"/>
  <c r="F11" i="9"/>
  <c r="F38" i="9" s="1"/>
  <c r="F12" i="9"/>
  <c r="F24" i="9" l="1"/>
  <c r="F30" i="9" s="1"/>
  <c r="F40" i="9"/>
  <c r="F31" i="9" l="1"/>
  <c r="F41" i="9"/>
  <c r="F42" i="9" s="1"/>
  <c r="F32" i="9" l="1"/>
  <c r="F33" i="9" s="1"/>
  <c r="F34" i="9" s="1"/>
  <c r="F14" i="12"/>
  <c r="I14" i="12" l="1"/>
  <c r="I16" i="12" s="1"/>
  <c r="H14" i="12"/>
  <c r="K14" i="12" l="1"/>
  <c r="K16" i="12" s="1"/>
  <c r="K18" i="12" l="1"/>
  <c r="K19" i="12" l="1"/>
  <c r="K20" i="12" s="1"/>
  <c r="K22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30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расчет для пенибар
</t>
        </r>
      </text>
    </comment>
  </commentList>
</comments>
</file>

<file path=xl/sharedStrings.xml><?xml version="1.0" encoding="utf-8"?>
<sst xmlns="http://schemas.openxmlformats.org/spreadsheetml/2006/main" count="292" uniqueCount="180">
  <si>
    <t>м3</t>
  </si>
  <si>
    <t>№ п/п</t>
  </si>
  <si>
    <t xml:space="preserve">  - арматура   А500С</t>
  </si>
  <si>
    <t>тн</t>
  </si>
  <si>
    <t>шт</t>
  </si>
  <si>
    <t>л</t>
  </si>
  <si>
    <t>кг</t>
  </si>
  <si>
    <t>м/ч</t>
  </si>
  <si>
    <t>бетон</t>
  </si>
  <si>
    <t>арматура</t>
  </si>
  <si>
    <t>м²</t>
  </si>
  <si>
    <t>м2</t>
  </si>
  <si>
    <t>од.</t>
  </si>
  <si>
    <t>всього</t>
  </si>
  <si>
    <t>Кількість</t>
  </si>
  <si>
    <t>Од.виміру</t>
  </si>
  <si>
    <t>Найменування робіт</t>
  </si>
  <si>
    <t>мастило для опалубки</t>
  </si>
  <si>
    <t xml:space="preserve"> - в'язальний дріт</t>
  </si>
  <si>
    <t xml:space="preserve"> - фіксатори</t>
  </si>
  <si>
    <t>електроди</t>
  </si>
  <si>
    <t>сітка ткана</t>
  </si>
  <si>
    <t xml:space="preserve"> - КамАЗ — полуприцеп ( маніпулятор)</t>
  </si>
  <si>
    <t>Разом :</t>
  </si>
  <si>
    <t>Разом:</t>
  </si>
  <si>
    <t>ПДВ 20%</t>
  </si>
  <si>
    <t>Вартість 1 м3</t>
  </si>
  <si>
    <t>механізми</t>
  </si>
  <si>
    <t>робота</t>
  </si>
  <si>
    <t>різне</t>
  </si>
  <si>
    <t>Разом: матеріал + робота + механізмы</t>
  </si>
  <si>
    <t xml:space="preserve"> - брус, дошка обрізна</t>
  </si>
  <si>
    <t>Вартість матеріалів без ПДВ</t>
  </si>
  <si>
    <t xml:space="preserve"> Вартість робіт без ПДВ</t>
  </si>
  <si>
    <t>Вартість механізмів :</t>
  </si>
  <si>
    <t>Вирівнювання випусків паль</t>
  </si>
  <si>
    <t>Доробка грунта вручну</t>
  </si>
  <si>
    <t>бетон В7,5 (100 мм)</t>
  </si>
  <si>
    <t>ПДВ  20%</t>
  </si>
  <si>
    <t>Разом: матеріал + робота + механізми</t>
  </si>
  <si>
    <t>Улаштування бетонної підготовки (100 мм)</t>
  </si>
  <si>
    <t>Варість всього, без ПДВ</t>
  </si>
  <si>
    <t>Всього, грн без ПДВ</t>
  </si>
  <si>
    <t>ПДВ</t>
  </si>
  <si>
    <t>Всього, грн з ПДВ</t>
  </si>
  <si>
    <t>ЗАГАЛОМ, грн з ПДВ</t>
  </si>
  <si>
    <t>Очищення оголовків паль від забруднення та пилу</t>
  </si>
  <si>
    <t>Улаштування  обвязочної балки</t>
  </si>
  <si>
    <t>Вартість матеріалів на одиницю, грн без ПДВ</t>
  </si>
  <si>
    <t>Вартість робіт на одиницю, грн без ПДВ</t>
  </si>
  <si>
    <t>Вартість матеріалів всього, грн. без ПДВ</t>
  </si>
  <si>
    <t>Вартість робіт всього, грн. без ПДВ</t>
  </si>
  <si>
    <t>дошка обрізна</t>
  </si>
  <si>
    <t xml:space="preserve">ВСЬОГО:  </t>
  </si>
  <si>
    <t xml:space="preserve"> -  оренда  опалубки   </t>
  </si>
  <si>
    <t>м/год</t>
  </si>
  <si>
    <t xml:space="preserve"> - саморізи</t>
  </si>
  <si>
    <t>В тому числі:</t>
  </si>
  <si>
    <t>автокран г/п 25тн</t>
  </si>
  <si>
    <t>Улаштування  монолітних з/б ростверків  з бетону В25П4 W6</t>
  </si>
  <si>
    <t xml:space="preserve"> - бетон В25 П4 W6 F150  ( з доставкою )</t>
  </si>
  <si>
    <t>клей Ferroseal</t>
  </si>
  <si>
    <t>труба ПВХ 160 мм</t>
  </si>
  <si>
    <t>м.п.</t>
  </si>
  <si>
    <t>Улаштування  обвязочної балки: одинична розцінка</t>
  </si>
  <si>
    <t xml:space="preserve">  Улаштування бетонної підготовки: одинична розцінка</t>
  </si>
  <si>
    <t>Одиниці вимір.</t>
  </si>
  <si>
    <t>Kiev Ukraine</t>
  </si>
  <si>
    <t>Улаштування обвязочної балки по палях шпунтового огорождення</t>
  </si>
  <si>
    <t>Вартість за одиницю всього, грн без ПДВ</t>
  </si>
  <si>
    <t>гідроізоляційний шнур "Пенебар"</t>
  </si>
  <si>
    <t>Код ДКПП</t>
  </si>
  <si>
    <t>43.99</t>
  </si>
  <si>
    <t>43.12</t>
  </si>
  <si>
    <t>в тому числі по кодам ДКПП:</t>
  </si>
  <si>
    <t>Роботи будівельні спеціалізовані, інші, н. в. і. у.</t>
  </si>
  <si>
    <t>Ростверк шпунтового огородження</t>
  </si>
  <si>
    <t>Бетон В10</t>
  </si>
  <si>
    <t>Бетон В25 F150/ W6</t>
  </si>
  <si>
    <t>Ø28</t>
  </si>
  <si>
    <t>Ø8</t>
  </si>
  <si>
    <t>Ø10</t>
  </si>
  <si>
    <t>Ø12</t>
  </si>
  <si>
    <t>Ø16</t>
  </si>
  <si>
    <t>Ø20</t>
  </si>
  <si>
    <t>Ø22</t>
  </si>
  <si>
    <t>Ø25</t>
  </si>
  <si>
    <t>Ø32</t>
  </si>
  <si>
    <t>А240C</t>
  </si>
  <si>
    <t>А500С</t>
  </si>
  <si>
    <t>ВСЕГО</t>
  </si>
  <si>
    <t>АРМАТУРА ростверк шпунтового огородження</t>
  </si>
  <si>
    <t>Випуски для стін по ростверку шпунтового огородження</t>
  </si>
  <si>
    <t>кг на 1м3</t>
  </si>
  <si>
    <t>№</t>
  </si>
  <si>
    <t>Наименования</t>
  </si>
  <si>
    <t>Свая Ø620мм.</t>
  </si>
  <si>
    <t>Свая Ø820мм.</t>
  </si>
  <si>
    <t>Свая Ø1020мм.</t>
  </si>
  <si>
    <t>кол-во</t>
  </si>
  <si>
    <t>шт.</t>
  </si>
  <si>
    <t>выпусков</t>
  </si>
  <si>
    <t>горизонт</t>
  </si>
  <si>
    <t>вертикал</t>
  </si>
  <si>
    <t>Очистка свай от грунта и пыли</t>
  </si>
  <si>
    <t>Основные объемы по шпунтовой балке</t>
  </si>
  <si>
    <t>Ростверк шириной 920мм.</t>
  </si>
  <si>
    <t>Ростверк шириной 1020мм.</t>
  </si>
  <si>
    <t>Ростверк шириной 1320мм.</t>
  </si>
  <si>
    <t>Ростверк шириной 1610мм.</t>
  </si>
  <si>
    <t>ширина</t>
  </si>
  <si>
    <t>длина</t>
  </si>
  <si>
    <t>Доработка грунта</t>
  </si>
  <si>
    <t>глубина</t>
  </si>
  <si>
    <t>Доработка грунта в ручную</t>
  </si>
  <si>
    <t>ВСЕГО с сваями</t>
  </si>
  <si>
    <t>ВСЕГО за вычетом свай</t>
  </si>
  <si>
    <t>высота</t>
  </si>
  <si>
    <t>площадь</t>
  </si>
  <si>
    <t>сума гр.</t>
  </si>
  <si>
    <t>цена гр.</t>
  </si>
  <si>
    <t>месяц.</t>
  </si>
  <si>
    <t>транспорт</t>
  </si>
  <si>
    <t>всего гр.</t>
  </si>
  <si>
    <t>итого</t>
  </si>
  <si>
    <t>гр. На 1м3</t>
  </si>
  <si>
    <t>м2. На 1м3</t>
  </si>
  <si>
    <t>Расчет опалубки</t>
  </si>
  <si>
    <t>Автокран 25тн.</t>
  </si>
  <si>
    <t>смена  маш.час.</t>
  </si>
  <si>
    <t>смен на выгрузку (арм.+опал)</t>
  </si>
  <si>
    <t>Всего  маш.час.</t>
  </si>
  <si>
    <t>Всего  маш.час. На 1м3</t>
  </si>
  <si>
    <t>Расчет автокрана</t>
  </si>
  <si>
    <t>Расходники</t>
  </si>
  <si>
    <t>ед.изм.</t>
  </si>
  <si>
    <t>на весь обїем</t>
  </si>
  <si>
    <t>на ед.</t>
  </si>
  <si>
    <t xml:space="preserve">цена гр. </t>
  </si>
  <si>
    <t>К=1.02</t>
  </si>
  <si>
    <t>Закладні деталі ЗД1</t>
  </si>
  <si>
    <t>Разрез 4-4</t>
  </si>
  <si>
    <t>Разрез 5-5;6-6;10-10</t>
  </si>
  <si>
    <t>Разрез 11-11</t>
  </si>
  <si>
    <t>Разрез 12-12</t>
  </si>
  <si>
    <t>Разрез 19-19</t>
  </si>
  <si>
    <t>Разрез 20-20</t>
  </si>
  <si>
    <t>Всего по стенам на 2захв.</t>
  </si>
  <si>
    <t>Опалубка объязочной балки (max.Захватка 19м.+1м.)</t>
  </si>
  <si>
    <t>Итого опалубка</t>
  </si>
  <si>
    <t>смен на балке</t>
  </si>
  <si>
    <t>смен на стенах</t>
  </si>
  <si>
    <t>Стіни</t>
  </si>
  <si>
    <t>Гідроізоляція (2шари МБКХ по 2м шарам грунтівки)</t>
  </si>
  <si>
    <t>висота</t>
  </si>
  <si>
    <t>довжина</t>
  </si>
  <si>
    <t>S=верт.</t>
  </si>
  <si>
    <t>S=гор.</t>
  </si>
  <si>
    <t>Всього</t>
  </si>
  <si>
    <t xml:space="preserve">  Улаштування обмазувальної гідроізоляції: одинична розцінка</t>
  </si>
  <si>
    <t>Улаштування обмазувальної гідроізоляції:               (2 шари МБКХ по 2м шарам грунтівки)</t>
  </si>
  <si>
    <t>Мастика МБКХ</t>
  </si>
  <si>
    <t>Праймер бітумний</t>
  </si>
  <si>
    <t xml:space="preserve">Улаштування обмазувальної гідроізоляції: </t>
  </si>
  <si>
    <t>Деталі 1…5</t>
  </si>
  <si>
    <t>Разрез 1-1</t>
  </si>
  <si>
    <t>Разрез 2-2</t>
  </si>
  <si>
    <t>Разрез 13-13;14-14;15-15.</t>
  </si>
  <si>
    <t>площа</t>
  </si>
  <si>
    <t>Ростверк</t>
  </si>
  <si>
    <t>Деталь 1</t>
  </si>
  <si>
    <t>Деталь 2</t>
  </si>
  <si>
    <t>Деталь 3</t>
  </si>
  <si>
    <t>Деталь 4</t>
  </si>
  <si>
    <t>Деталь 5</t>
  </si>
  <si>
    <t>Разрез 7-7;8-8;22-22;8-8;9-9.</t>
  </si>
  <si>
    <t>0,2….1</t>
  </si>
  <si>
    <t>Объем</t>
  </si>
  <si>
    <t>автомобіль в/п 10 т</t>
  </si>
  <si>
    <t>очистка свай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</si>
</sst>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₴_-;\-* #,##0.00\ _₴_-;_-* &quot;-&quot;??\ _₴_-;_-@_-"/>
    <numFmt numFmtId="164" formatCode="_(* #,##0.00_);_(* \(#,##0.00\);_(* \-??_);_(@_)"/>
    <numFmt numFmtId="165" formatCode="_(* #,##0.00_);_(* \(#,##0.00\);_(* &quot;-&quot;??_);_(@_)"/>
    <numFmt numFmtId="166" formatCode="_-* #,##0.00_р_._-;\-* #,##0.00_р_._-;_-* &quot;-&quot;??_р_._-;_-@_-"/>
  </numFmts>
  <fonts count="39" x14ac:knownFonts="1">
    <font>
      <sz val="10"/>
      <name val="Arial"/>
    </font>
    <font>
      <sz val="10"/>
      <name val="Arial"/>
      <family val="2"/>
      <charset val="204"/>
    </font>
    <font>
      <sz val="10"/>
      <name val="Mang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Tahoma"/>
      <family val="2"/>
      <charset val="204"/>
    </font>
    <font>
      <sz val="11"/>
      <name val="Tahoma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b/>
      <sz val="14"/>
      <name val="Calibri"/>
      <family val="2"/>
      <charset val="204"/>
    </font>
    <font>
      <b/>
      <i/>
      <sz val="12"/>
      <color indexed="12"/>
      <name val="Arial"/>
      <family val="2"/>
      <charset val="204"/>
    </font>
    <font>
      <sz val="10"/>
      <name val="Arial Cyr"/>
      <charset val="204"/>
    </font>
    <font>
      <b/>
      <sz val="9"/>
      <color indexed="12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b/>
      <sz val="11"/>
      <name val="Arial Cyr"/>
      <charset val="204"/>
    </font>
    <font>
      <b/>
      <sz val="10"/>
      <color indexed="12"/>
      <name val="Arial Cyr"/>
      <charset val="204"/>
    </font>
    <font>
      <b/>
      <sz val="11"/>
      <color indexed="12"/>
      <name val="Arial Cyr"/>
      <charset val="204"/>
    </font>
    <font>
      <sz val="11"/>
      <name val="Arial Cyr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60"/>
      <name val="Arial Cyr"/>
      <charset val="204"/>
    </font>
    <font>
      <b/>
      <sz val="10"/>
      <color indexed="60"/>
      <name val="Arial"/>
      <family val="2"/>
      <charset val="204"/>
    </font>
    <font>
      <b/>
      <sz val="10"/>
      <color indexed="17"/>
      <name val="Arial"/>
      <family val="2"/>
      <charset val="204"/>
    </font>
    <font>
      <b/>
      <sz val="10"/>
      <color indexed="60"/>
      <name val="Tahoma"/>
      <family val="2"/>
      <charset val="204"/>
    </font>
    <font>
      <b/>
      <sz val="14"/>
      <name val="Arial"/>
      <family val="2"/>
      <charset val="204"/>
    </font>
    <font>
      <u/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>
      <alignment vertical="top"/>
    </xf>
    <xf numFmtId="164" fontId="2" fillId="0" borderId="0" applyFill="0" applyBorder="0" applyAlignment="0" applyProtection="0"/>
    <xf numFmtId="43" fontId="10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" fillId="0" borderId="0"/>
    <xf numFmtId="0" fontId="37" fillId="0" borderId="0"/>
    <xf numFmtId="0" fontId="38" fillId="0" borderId="0"/>
    <xf numFmtId="165" fontId="1" fillId="0" borderId="0" applyFont="0" applyFill="0" applyBorder="0" applyAlignment="0" applyProtection="0"/>
    <xf numFmtId="166" fontId="37" fillId="0" borderId="0" applyFont="0" applyFill="0" applyBorder="0" applyAlignment="0" applyProtection="0"/>
  </cellStyleXfs>
  <cellXfs count="25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Border="1"/>
    <xf numFmtId="0" fontId="1" fillId="0" borderId="1" xfId="0" applyFont="1" applyFill="1" applyBorder="1" applyAlignment="1">
      <alignment horizontal="right"/>
    </xf>
    <xf numFmtId="43" fontId="13" fillId="0" borderId="1" xfId="4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2" fontId="1" fillId="0" borderId="4" xfId="0" applyNumberFormat="1" applyFont="1" applyBorder="1"/>
    <xf numFmtId="0" fontId="1" fillId="0" borderId="0" xfId="0" applyFont="1" applyAlignment="1">
      <alignment horizontal="center"/>
    </xf>
    <xf numFmtId="0" fontId="9" fillId="0" borderId="0" xfId="2" applyFont="1" applyFill="1" applyAlignment="1">
      <alignment vertical="top"/>
    </xf>
    <xf numFmtId="0" fontId="16" fillId="0" borderId="0" xfId="5" applyFont="1" applyAlignment="1">
      <alignment vertical="center" wrapText="1"/>
    </xf>
    <xf numFmtId="0" fontId="6" fillId="0" borderId="0" xfId="5" applyFont="1" applyAlignment="1">
      <alignment vertical="top" wrapText="1"/>
    </xf>
    <xf numFmtId="0" fontId="20" fillId="0" borderId="4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2" fontId="22" fillId="0" borderId="3" xfId="0" applyNumberFormat="1" applyFont="1" applyFill="1" applyBorder="1" applyAlignment="1">
      <alignment horizontal="right" vertical="center" wrapText="1"/>
    </xf>
    <xf numFmtId="4" fontId="22" fillId="0" borderId="3" xfId="0" applyNumberFormat="1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right" vertical="center" wrapText="1"/>
    </xf>
    <xf numFmtId="4" fontId="18" fillId="0" borderId="3" xfId="0" applyNumberFormat="1" applyFont="1" applyFill="1" applyBorder="1" applyAlignment="1">
      <alignment horizontal="right" vertical="center" wrapText="1"/>
    </xf>
    <xf numFmtId="2" fontId="21" fillId="0" borderId="3" xfId="0" applyNumberFormat="1" applyFont="1" applyFill="1" applyBorder="1" applyAlignment="1">
      <alignment horizontal="right" vertical="center" wrapText="1"/>
    </xf>
    <xf numFmtId="4" fontId="21" fillId="0" borderId="3" xfId="0" applyNumberFormat="1" applyFont="1" applyFill="1" applyBorder="1" applyAlignment="1">
      <alignment horizontal="right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2" fontId="21" fillId="3" borderId="3" xfId="0" applyNumberFormat="1" applyFont="1" applyFill="1" applyBorder="1" applyAlignment="1">
      <alignment horizontal="right" vertical="center" wrapText="1"/>
    </xf>
    <xf numFmtId="4" fontId="21" fillId="3" borderId="3" xfId="0" applyNumberFormat="1" applyFont="1" applyFill="1" applyBorder="1" applyAlignment="1">
      <alignment horizontal="right" vertical="center" wrapText="1"/>
    </xf>
    <xf numFmtId="4" fontId="18" fillId="3" borderId="3" xfId="0" applyNumberFormat="1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/>
    </xf>
    <xf numFmtId="2" fontId="23" fillId="0" borderId="3" xfId="0" applyNumberFormat="1" applyFont="1" applyFill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2" fontId="18" fillId="0" borderId="3" xfId="0" applyNumberFormat="1" applyFont="1" applyFill="1" applyBorder="1" applyAlignment="1">
      <alignment horizontal="right" vertical="center"/>
    </xf>
    <xf numFmtId="4" fontId="24" fillId="0" borderId="3" xfId="0" applyNumberFormat="1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1" fillId="0" borderId="3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6" fillId="0" borderId="0" xfId="5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/>
    </xf>
    <xf numFmtId="43" fontId="0" fillId="0" borderId="3" xfId="4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/>
    </xf>
    <xf numFmtId="4" fontId="25" fillId="0" borderId="1" xfId="1" applyNumberFormat="1" applyFont="1" applyFill="1" applyBorder="1" applyAlignment="1">
      <alignment horizontal="right" vertical="center" wrapText="1"/>
    </xf>
    <xf numFmtId="4" fontId="13" fillId="0" borderId="1" xfId="1" applyNumberFormat="1" applyFont="1" applyFill="1" applyBorder="1" applyAlignment="1">
      <alignment horizontal="right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3" fontId="14" fillId="0" borderId="1" xfId="4" applyFont="1" applyFill="1" applyBorder="1" applyAlignment="1">
      <alignment horizontal="right" vertical="center" wrapText="1"/>
    </xf>
    <xf numFmtId="2" fontId="3" fillId="0" borderId="0" xfId="0" applyNumberFormat="1" applyFont="1" applyBorder="1"/>
    <xf numFmtId="0" fontId="3" fillId="0" borderId="0" xfId="0" applyFont="1"/>
    <xf numFmtId="0" fontId="26" fillId="0" borderId="1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4" fontId="13" fillId="0" borderId="2" xfId="0" applyNumberFormat="1" applyFont="1" applyFill="1" applyBorder="1" applyAlignment="1">
      <alignment horizontal="righ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wrapText="1"/>
    </xf>
    <xf numFmtId="4" fontId="14" fillId="6" borderId="1" xfId="0" applyNumberFormat="1" applyFont="1" applyFill="1" applyBorder="1" applyAlignment="1">
      <alignment horizontal="right" vertical="center" wrapText="1"/>
    </xf>
    <xf numFmtId="0" fontId="23" fillId="6" borderId="3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left" vertical="center" wrapText="1"/>
    </xf>
    <xf numFmtId="0" fontId="27" fillId="0" borderId="0" xfId="0" applyFont="1"/>
    <xf numFmtId="0" fontId="28" fillId="0" borderId="0" xfId="1" applyFont="1" applyAlignme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43" fontId="0" fillId="5" borderId="3" xfId="4" applyFont="1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3" fillId="5" borderId="3" xfId="0" applyFont="1" applyFill="1" applyBorder="1" applyAlignment="1">
      <alignment horizontal="right" vertical="center"/>
    </xf>
    <xf numFmtId="43" fontId="3" fillId="5" borderId="3" xfId="4" applyFont="1" applyFill="1" applyBorder="1" applyAlignment="1">
      <alignment vertical="center"/>
    </xf>
    <xf numFmtId="0" fontId="29" fillId="0" borderId="7" xfId="1" applyFont="1" applyBorder="1" applyAlignment="1">
      <alignment vertical="center" wrapText="1"/>
    </xf>
    <xf numFmtId="0" fontId="19" fillId="4" borderId="3" xfId="6" applyFont="1" applyFill="1" applyBorder="1" applyAlignment="1">
      <alignment horizontal="center" vertical="center" wrapText="1"/>
    </xf>
    <xf numFmtId="1" fontId="19" fillId="4" borderId="3" xfId="6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 wrapText="1"/>
    </xf>
    <xf numFmtId="4" fontId="0" fillId="4" borderId="3" xfId="0" applyNumberFormat="1" applyFill="1" applyBorder="1" applyAlignment="1">
      <alignment vertical="center" wrapText="1"/>
    </xf>
    <xf numFmtId="2" fontId="19" fillId="4" borderId="3" xfId="6" applyNumberFormat="1" applyFont="1" applyFill="1" applyBorder="1" applyAlignment="1">
      <alignment horizontal="center" vertical="center" wrapText="1"/>
    </xf>
    <xf numFmtId="4" fontId="0" fillId="4" borderId="3" xfId="0" applyNumberForma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43" fontId="1" fillId="0" borderId="1" xfId="4" applyFont="1" applyFill="1" applyBorder="1" applyAlignment="1">
      <alignment horizontal="right" vertical="center" wrapText="1"/>
    </xf>
    <xf numFmtId="2" fontId="19" fillId="7" borderId="3" xfId="6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0" fillId="8" borderId="0" xfId="8" applyFont="1" applyFill="1" applyAlignment="1">
      <alignment vertical="center"/>
    </xf>
    <xf numFmtId="0" fontId="1" fillId="0" borderId="0" xfId="7" applyFont="1" applyAlignment="1">
      <alignment horizontal="left" vertical="center" wrapText="1"/>
    </xf>
    <xf numFmtId="0" fontId="1" fillId="0" borderId="0" xfId="7" applyFont="1" applyAlignment="1">
      <alignment horizontal="right" vertical="center" wrapText="1"/>
    </xf>
    <xf numFmtId="2" fontId="0" fillId="0" borderId="0" xfId="0" applyNumberForma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1" fillId="0" borderId="3" xfId="0" applyNumberFormat="1" applyFont="1" applyBorder="1"/>
    <xf numFmtId="4" fontId="1" fillId="9" borderId="3" xfId="0" applyNumberFormat="1" applyFont="1" applyFill="1" applyBorder="1" applyAlignment="1">
      <alignment vertical="center"/>
    </xf>
    <xf numFmtId="4" fontId="1" fillId="10" borderId="3" xfId="0" applyNumberFormat="1" applyFont="1" applyFill="1" applyBorder="1" applyAlignment="1">
      <alignment vertical="center"/>
    </xf>
    <xf numFmtId="4" fontId="1" fillId="10" borderId="3" xfId="0" applyNumberFormat="1" applyFont="1" applyFill="1" applyBorder="1"/>
    <xf numFmtId="4" fontId="3" fillId="10" borderId="3" xfId="0" applyNumberFormat="1" applyFont="1" applyFill="1" applyBorder="1" applyAlignment="1">
      <alignment vertical="center"/>
    </xf>
    <xf numFmtId="4" fontId="1" fillId="11" borderId="3" xfId="0" applyNumberFormat="1" applyFont="1" applyFill="1" applyBorder="1" applyAlignment="1">
      <alignment vertical="center"/>
    </xf>
    <xf numFmtId="4" fontId="3" fillId="11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4" fontId="3" fillId="0" borderId="3" xfId="0" applyNumberFormat="1" applyFont="1" applyBorder="1"/>
    <xf numFmtId="2" fontId="1" fillId="0" borderId="0" xfId="0" applyNumberFormat="1" applyFont="1" applyAlignment="1">
      <alignment horizontal="right" vertical="center"/>
    </xf>
    <xf numFmtId="2" fontId="1" fillId="0" borderId="3" xfId="0" applyNumberFormat="1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/>
    </xf>
    <xf numFmtId="2" fontId="1" fillId="0" borderId="0" xfId="0" applyNumberFormat="1" applyFont="1" applyAlignment="1">
      <alignment horizontal="right" vertical="center" wrapText="1"/>
    </xf>
    <xf numFmtId="2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2" fontId="1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/>
    </xf>
    <xf numFmtId="4" fontId="1" fillId="9" borderId="3" xfId="0" applyNumberFormat="1" applyFont="1" applyFill="1" applyBorder="1" applyAlignment="1">
      <alignment horizontal="right" vertical="center"/>
    </xf>
    <xf numFmtId="2" fontId="1" fillId="9" borderId="3" xfId="0" applyNumberFormat="1" applyFont="1" applyFill="1" applyBorder="1" applyAlignment="1">
      <alignment horizontal="center" vertical="center"/>
    </xf>
    <xf numFmtId="4" fontId="1" fillId="9" borderId="3" xfId="0" applyNumberFormat="1" applyFont="1" applyFill="1" applyBorder="1" applyAlignment="1">
      <alignment horizontal="right" vertical="center" wrapText="1"/>
    </xf>
    <xf numFmtId="0" fontId="1" fillId="9" borderId="3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9" borderId="3" xfId="0" applyNumberFormat="1" applyFont="1" applyFill="1" applyBorder="1" applyAlignment="1">
      <alignment horizontal="center" vertical="center" wrapText="1"/>
    </xf>
    <xf numFmtId="2" fontId="1" fillId="9" borderId="3" xfId="0" applyNumberFormat="1" applyFont="1" applyFill="1" applyBorder="1" applyAlignment="1">
      <alignment horizontal="right" vertical="center" wrapText="1"/>
    </xf>
    <xf numFmtId="49" fontId="1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 wrapText="1"/>
    </xf>
    <xf numFmtId="43" fontId="1" fillId="9" borderId="1" xfId="4" applyFont="1" applyFill="1" applyBorder="1" applyAlignment="1">
      <alignment horizontal="right" vertical="center" wrapText="1"/>
    </xf>
    <xf numFmtId="4" fontId="13" fillId="9" borderId="1" xfId="1" applyNumberFormat="1" applyFont="1" applyFill="1" applyBorder="1" applyAlignment="1">
      <alignment horizontal="right" vertical="center" wrapText="1"/>
    </xf>
    <xf numFmtId="4" fontId="13" fillId="9" borderId="1" xfId="0" applyNumberFormat="1" applyFont="1" applyFill="1" applyBorder="1" applyAlignment="1">
      <alignment horizontal="right" vertical="center" wrapText="1"/>
    </xf>
    <xf numFmtId="49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 wrapText="1"/>
    </xf>
    <xf numFmtId="4" fontId="1" fillId="9" borderId="0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3" fontId="0" fillId="0" borderId="0" xfId="0" applyNumberFormat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center" vertical="center"/>
    </xf>
    <xf numFmtId="4" fontId="1" fillId="11" borderId="3" xfId="0" applyNumberFormat="1" applyFont="1" applyFill="1" applyBorder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/>
    <xf numFmtId="4" fontId="3" fillId="9" borderId="3" xfId="0" applyNumberFormat="1" applyFont="1" applyFill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wrapText="1"/>
    </xf>
    <xf numFmtId="2" fontId="3" fillId="0" borderId="3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4" fontId="3" fillId="0" borderId="10" xfId="0" applyNumberFormat="1" applyFont="1" applyBorder="1"/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12" borderId="3" xfId="0" applyNumberFormat="1" applyFont="1" applyFill="1" applyBorder="1" applyAlignment="1">
      <alignment horizontal="right" vertical="center" wrapText="1"/>
    </xf>
    <xf numFmtId="2" fontId="1" fillId="4" borderId="1" xfId="1" applyNumberFormat="1" applyFill="1" applyBorder="1" applyAlignment="1">
      <alignment horizontal="right" vertical="center" wrapText="1"/>
    </xf>
    <xf numFmtId="2" fontId="36" fillId="4" borderId="3" xfId="1" applyNumberFormat="1" applyFont="1" applyFill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31" fillId="0" borderId="0" xfId="8" applyFont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2" fontId="1" fillId="11" borderId="3" xfId="0" applyNumberFormat="1" applyFont="1" applyFill="1" applyBorder="1" applyAlignment="1">
      <alignment horizontal="center" vertical="center" wrapText="1"/>
    </xf>
    <xf numFmtId="2" fontId="1" fillId="1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</cellXfs>
  <cellStyles count="13">
    <cellStyle name="Excel Built-in Normal 2" xfId="10" xr:uid="{00000000-0005-0000-0000-000000000000}"/>
    <cellStyle name="Обычный" xfId="0" builtinId="0"/>
    <cellStyle name="Обычный 2" xfId="1" xr:uid="{00000000-0005-0000-0000-000002000000}"/>
    <cellStyle name="Обычный 2 2" xfId="8" xr:uid="{00000000-0005-0000-0000-000003000000}"/>
    <cellStyle name="Обычный 3" xfId="9" xr:uid="{00000000-0005-0000-0000-000004000000}"/>
    <cellStyle name="Обычный_2010.07_23_Арт_Строй" xfId="2" xr:uid="{00000000-0005-0000-0000-000005000000}"/>
    <cellStyle name="Обычный_Акт №9ОТДЕЛКА ПОТОЛКА БАЛКОНА пр10-06И" xfId="7" xr:uid="{00000000-0005-0000-0000-000006000000}"/>
    <cellStyle name="Обычный_Акт №9ОТДЕЛКА ПОТОЛКА БАЛКОНА пр10-06И_ДЦ_12.2017_МОНОЛИТ_ДОМ5_VIP-2_ВЫШЕ _+11.05(FINAL)" xfId="5" xr:uid="{00000000-0005-0000-0000-000007000000}"/>
    <cellStyle name="Обычный_АКТ№7Утепление фасада (11-06У)" xfId="6" xr:uid="{00000000-0005-0000-0000-000008000000}"/>
    <cellStyle name="Финансовый" xfId="4" builtinId="3"/>
    <cellStyle name="Финансовый 2" xfId="3" xr:uid="{00000000-0005-0000-0000-00000A000000}"/>
    <cellStyle name="Финансовый 3" xfId="11" xr:uid="{00000000-0005-0000-0000-00000B000000}"/>
    <cellStyle name="Финансовый 4" xfId="12" xr:uid="{00000000-0005-0000-0000-00000C000000}"/>
  </cellStyles>
  <dxfs count="0"/>
  <tableStyles count="0" defaultTableStyle="TableStyleMedium2" defaultPivotStyle="PivotStyleLight16"/>
  <colors>
    <mruColors>
      <color rgb="FF99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38100</xdr:rowOff>
    </xdr:from>
    <xdr:to>
      <xdr:col>8</xdr:col>
      <xdr:colOff>556260</xdr:colOff>
      <xdr:row>5</xdr:row>
      <xdr:rowOff>137160</xdr:rowOff>
    </xdr:to>
    <xdr:sp macro="" textlink="">
      <xdr:nvSpPr>
        <xdr:cNvPr id="2" name="Стрелка: влево 1">
          <a:extLst>
            <a:ext uri="{FF2B5EF4-FFF2-40B4-BE49-F238E27FC236}">
              <a16:creationId xmlns:a16="http://schemas.microsoft.com/office/drawing/2014/main" id="{8A823127-8F0F-4D81-A9CC-F9B04976BF59}"/>
            </a:ext>
          </a:extLst>
        </xdr:cNvPr>
        <xdr:cNvSpPr/>
      </xdr:nvSpPr>
      <xdr:spPr>
        <a:xfrm>
          <a:off x="7787640" y="1036320"/>
          <a:ext cx="518160" cy="990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ID4096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167640</xdr:colOff>
      <xdr:row>5</xdr:row>
      <xdr:rowOff>129540</xdr:rowOff>
    </xdr:from>
    <xdr:to>
      <xdr:col>8</xdr:col>
      <xdr:colOff>685800</xdr:colOff>
      <xdr:row>5</xdr:row>
      <xdr:rowOff>228600</xdr:rowOff>
    </xdr:to>
    <xdr:sp macro="" textlink="">
      <xdr:nvSpPr>
        <xdr:cNvPr id="2" name="Стрелка: влево 1">
          <a:extLst>
            <a:ext uri="{FF2B5EF4-FFF2-40B4-BE49-F238E27FC236}">
              <a16:creationId xmlns:a16="http://schemas.microsoft.com/office/drawing/2014/main" id="{B5F19BDB-6D93-4854-8202-3EA760549B34}"/>
            </a:ext>
          </a:extLst>
        </xdr:cNvPr>
        <xdr:cNvSpPr/>
      </xdr:nvSpPr>
      <xdr:spPr>
        <a:xfrm>
          <a:off x="8244840" y="1272540"/>
          <a:ext cx="518160" cy="990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ID4096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76200</xdr:rowOff>
    </xdr:from>
    <xdr:to>
      <xdr:col>8</xdr:col>
      <xdr:colOff>556260</xdr:colOff>
      <xdr:row>5</xdr:row>
      <xdr:rowOff>175260</xdr:rowOff>
    </xdr:to>
    <xdr:sp macro="" textlink="">
      <xdr:nvSpPr>
        <xdr:cNvPr id="2" name="Стрелка: влево 1">
          <a:extLst>
            <a:ext uri="{FF2B5EF4-FFF2-40B4-BE49-F238E27FC236}">
              <a16:creationId xmlns:a16="http://schemas.microsoft.com/office/drawing/2014/main" id="{B4D4C94B-6315-4FF6-969A-1D277B614299}"/>
            </a:ext>
          </a:extLst>
        </xdr:cNvPr>
        <xdr:cNvSpPr/>
      </xdr:nvSpPr>
      <xdr:spPr>
        <a:xfrm>
          <a:off x="7787640" y="1074420"/>
          <a:ext cx="518160" cy="990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ID4096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  <pageSetUpPr fitToPage="1"/>
  </sheetPr>
  <dimension ref="A1:J16"/>
  <sheetViews>
    <sheetView zoomScaleNormal="100" zoomScaleSheetLayoutView="100" workbookViewId="0">
      <selection activeCell="J6" sqref="J6"/>
    </sheetView>
  </sheetViews>
  <sheetFormatPr defaultColWidth="8.85546875" defaultRowHeight="12.75" x14ac:dyDescent="0.2"/>
  <cols>
    <col min="1" max="1" width="5.28515625" customWidth="1"/>
    <col min="2" max="2" width="45.42578125" customWidth="1"/>
    <col min="6" max="6" width="11.42578125" customWidth="1"/>
    <col min="7" max="7" width="12.42578125" customWidth="1"/>
    <col min="8" max="8" width="11.7109375" customWidth="1"/>
  </cols>
  <sheetData>
    <row r="1" spans="1:10" ht="18.75" x14ac:dyDescent="0.2">
      <c r="A1" s="97" t="s">
        <v>67</v>
      </c>
      <c r="B1" s="34"/>
      <c r="C1" s="34"/>
      <c r="D1" s="34"/>
      <c r="E1" s="34"/>
      <c r="F1" s="34"/>
      <c r="G1" s="34"/>
      <c r="H1" s="34"/>
    </row>
    <row r="2" spans="1:10" ht="15.75" x14ac:dyDescent="0.2">
      <c r="A2" s="98"/>
      <c r="B2" s="65"/>
      <c r="C2" s="65"/>
      <c r="D2" s="65"/>
      <c r="E2" s="65"/>
      <c r="F2" s="65"/>
      <c r="G2" s="65"/>
      <c r="H2" s="65"/>
    </row>
    <row r="3" spans="1:10" ht="15.75" x14ac:dyDescent="0.2">
      <c r="A3" s="98" t="s">
        <v>68</v>
      </c>
      <c r="B3" s="35"/>
      <c r="C3" s="35"/>
      <c r="D3" s="35"/>
      <c r="E3" s="35"/>
      <c r="F3" s="35"/>
      <c r="G3" s="35"/>
      <c r="H3" s="35"/>
    </row>
    <row r="5" spans="1:10" ht="15.75" thickBot="1" x14ac:dyDescent="0.25">
      <c r="A5" s="210" t="s">
        <v>159</v>
      </c>
      <c r="B5" s="210"/>
      <c r="C5" s="210"/>
      <c r="D5" s="210"/>
      <c r="E5" s="210"/>
      <c r="F5" s="210"/>
      <c r="G5" s="211"/>
      <c r="H5" s="211"/>
    </row>
    <row r="6" spans="1:10" ht="15.75" thickBot="1" x14ac:dyDescent="0.25">
      <c r="A6" s="177"/>
      <c r="B6" s="177"/>
      <c r="C6" s="177"/>
      <c r="D6" s="177"/>
      <c r="E6" s="177"/>
      <c r="F6" s="177"/>
      <c r="G6" s="218"/>
      <c r="H6" s="219"/>
      <c r="J6" s="85"/>
    </row>
    <row r="7" spans="1:10" s="4" customFormat="1" ht="21.75" customHeight="1" x14ac:dyDescent="0.2">
      <c r="A7" s="212" t="s">
        <v>1</v>
      </c>
      <c r="B7" s="213" t="s">
        <v>16</v>
      </c>
      <c r="C7" s="212" t="s">
        <v>15</v>
      </c>
      <c r="D7" s="215" t="s">
        <v>14</v>
      </c>
      <c r="E7" s="216" t="s">
        <v>32</v>
      </c>
      <c r="F7" s="216"/>
      <c r="G7" s="217" t="s">
        <v>33</v>
      </c>
      <c r="H7" s="217"/>
    </row>
    <row r="8" spans="1:10" s="4" customFormat="1" ht="21.75" customHeight="1" x14ac:dyDescent="0.2">
      <c r="A8" s="212"/>
      <c r="B8" s="214"/>
      <c r="C8" s="212"/>
      <c r="D8" s="215"/>
      <c r="E8" s="178" t="s">
        <v>12</v>
      </c>
      <c r="F8" s="178" t="s">
        <v>13</v>
      </c>
      <c r="G8" s="178" t="s">
        <v>12</v>
      </c>
      <c r="H8" s="178" t="s">
        <v>13</v>
      </c>
    </row>
    <row r="9" spans="1:10" s="6" customFormat="1" x14ac:dyDescent="0.2">
      <c r="A9" s="40"/>
      <c r="B9" s="51"/>
      <c r="C9" s="40"/>
      <c r="D9" s="41"/>
      <c r="E9" s="41"/>
      <c r="F9" s="42"/>
      <c r="G9" s="42"/>
      <c r="H9" s="42"/>
    </row>
    <row r="10" spans="1:10" s="6" customFormat="1" ht="26.25" customHeight="1" x14ac:dyDescent="0.2">
      <c r="A10" s="95">
        <v>1</v>
      </c>
      <c r="B10" s="96" t="s">
        <v>160</v>
      </c>
      <c r="C10" s="52" t="s">
        <v>11</v>
      </c>
      <c r="D10" s="38">
        <v>1</v>
      </c>
      <c r="E10" s="53"/>
      <c r="F10" s="39"/>
      <c r="G10" s="39"/>
      <c r="H10" s="39">
        <f>D10*G10</f>
        <v>0</v>
      </c>
    </row>
    <row r="11" spans="1:10" s="6" customFormat="1" ht="24" customHeight="1" x14ac:dyDescent="0.2">
      <c r="A11" s="54"/>
      <c r="B11" s="55" t="s">
        <v>161</v>
      </c>
      <c r="C11" s="56" t="s">
        <v>6</v>
      </c>
      <c r="D11" s="57">
        <f>D10*3</f>
        <v>3</v>
      </c>
      <c r="E11" s="203"/>
      <c r="F11" s="42">
        <f>D11*E11</f>
        <v>0</v>
      </c>
      <c r="G11" s="58"/>
      <c r="H11" s="42"/>
    </row>
    <row r="12" spans="1:10" s="6" customFormat="1" ht="24" customHeight="1" x14ac:dyDescent="0.2">
      <c r="A12" s="54"/>
      <c r="B12" s="74" t="s">
        <v>162</v>
      </c>
      <c r="C12" s="56" t="s">
        <v>5</v>
      </c>
      <c r="D12" s="57">
        <f>D10*0.7</f>
        <v>0.7</v>
      </c>
      <c r="E12" s="204"/>
      <c r="F12" s="42">
        <f>D12*E12</f>
        <v>0</v>
      </c>
      <c r="G12" s="58"/>
      <c r="H12" s="42"/>
    </row>
    <row r="13" spans="1:10" s="6" customFormat="1" ht="25.35" customHeight="1" x14ac:dyDescent="0.2">
      <c r="A13" s="59"/>
      <c r="B13" s="60" t="s">
        <v>24</v>
      </c>
      <c r="C13" s="37"/>
      <c r="D13" s="43"/>
      <c r="E13" s="43"/>
      <c r="F13" s="44">
        <f>SUM(F11:F12)</f>
        <v>0</v>
      </c>
      <c r="G13" s="44"/>
      <c r="H13" s="44">
        <f>SUM(H10:H12)</f>
        <v>0</v>
      </c>
    </row>
    <row r="14" spans="1:10" s="6" customFormat="1" ht="21.75" customHeight="1" x14ac:dyDescent="0.2">
      <c r="A14" s="45"/>
      <c r="B14" s="61" t="s">
        <v>39</v>
      </c>
      <c r="C14" s="40"/>
      <c r="D14" s="41"/>
      <c r="E14" s="41"/>
      <c r="F14" s="42">
        <f>F13+H13</f>
        <v>0</v>
      </c>
      <c r="G14" s="42"/>
      <c r="H14" s="42"/>
    </row>
    <row r="15" spans="1:10" s="6" customFormat="1" ht="14.25" x14ac:dyDescent="0.2">
      <c r="A15" s="45"/>
      <c r="B15" s="62" t="s">
        <v>38</v>
      </c>
      <c r="C15" s="63"/>
      <c r="D15" s="41"/>
      <c r="E15" s="41"/>
      <c r="F15" s="42">
        <f>0.2*F14</f>
        <v>0</v>
      </c>
      <c r="G15" s="42"/>
      <c r="H15" s="42"/>
    </row>
    <row r="16" spans="1:10" s="6" customFormat="1" ht="24" customHeight="1" x14ac:dyDescent="0.2">
      <c r="A16" s="46"/>
      <c r="B16" s="64" t="s">
        <v>53</v>
      </c>
      <c r="C16" s="47" t="s">
        <v>11</v>
      </c>
      <c r="D16" s="48">
        <v>1</v>
      </c>
      <c r="E16" s="48"/>
      <c r="F16" s="49">
        <f>SUM(F14:F15)*D16</f>
        <v>0</v>
      </c>
      <c r="G16" s="50"/>
      <c r="H16" s="50"/>
    </row>
  </sheetData>
  <mergeCells count="8">
    <mergeCell ref="A5:H5"/>
    <mergeCell ref="A7:A8"/>
    <mergeCell ref="B7:B8"/>
    <mergeCell ref="C7:C8"/>
    <mergeCell ref="D7:D8"/>
    <mergeCell ref="E7:F7"/>
    <mergeCell ref="G7:H7"/>
    <mergeCell ref="G6:H6"/>
  </mergeCells>
  <pageMargins left="0.25" right="0.25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FF66"/>
    <pageSetUpPr fitToPage="1"/>
  </sheetPr>
  <dimension ref="A1:J42"/>
  <sheetViews>
    <sheetView zoomScaleNormal="100" zoomScaleSheetLayoutView="100" workbookViewId="0">
      <selection activeCell="J6" sqref="J6"/>
    </sheetView>
  </sheetViews>
  <sheetFormatPr defaultColWidth="9.140625" defaultRowHeight="12.75" x14ac:dyDescent="0.2"/>
  <cols>
    <col min="1" max="1" width="7.42578125" style="1" customWidth="1"/>
    <col min="2" max="2" width="39.42578125" style="25" customWidth="1"/>
    <col min="3" max="3" width="9.140625" style="1"/>
    <col min="4" max="4" width="11.140625" style="1" bestFit="1" customWidth="1"/>
    <col min="5" max="5" width="12.7109375" style="1" customWidth="1"/>
    <col min="6" max="6" width="14.42578125" style="1" customWidth="1"/>
    <col min="7" max="8" width="11.7109375" style="1" customWidth="1"/>
    <col min="9" max="9" width="11.85546875" style="1" customWidth="1"/>
    <col min="10" max="16384" width="9.140625" style="1"/>
  </cols>
  <sheetData>
    <row r="1" spans="1:10" ht="14.25" x14ac:dyDescent="0.2">
      <c r="A1" s="97" t="s">
        <v>67</v>
      </c>
      <c r="B1" s="33"/>
      <c r="C1" s="33"/>
      <c r="D1"/>
      <c r="E1"/>
      <c r="F1"/>
      <c r="G1"/>
      <c r="H1"/>
    </row>
    <row r="2" spans="1:10" ht="21" customHeight="1" x14ac:dyDescent="0.2">
      <c r="A2" s="98"/>
      <c r="B2" s="34"/>
      <c r="C2" s="34"/>
      <c r="D2" s="34"/>
      <c r="E2" s="34"/>
      <c r="F2" s="34"/>
      <c r="G2" s="34"/>
      <c r="H2" s="34"/>
    </row>
    <row r="3" spans="1:10" ht="15.75" x14ac:dyDescent="0.2">
      <c r="A3" s="98" t="s">
        <v>68</v>
      </c>
      <c r="B3" s="65"/>
      <c r="C3" s="65"/>
      <c r="D3" s="65"/>
      <c r="E3" s="65"/>
      <c r="F3" s="65"/>
      <c r="G3" s="65"/>
      <c r="H3" s="65"/>
    </row>
    <row r="4" spans="1:10" ht="17.25" customHeight="1" x14ac:dyDescent="0.2">
      <c r="A4" s="35"/>
      <c r="B4" s="35"/>
      <c r="C4" s="35"/>
      <c r="D4" s="35"/>
      <c r="E4" s="35"/>
      <c r="F4" s="35"/>
      <c r="G4" s="35"/>
      <c r="H4" s="35"/>
    </row>
    <row r="5" spans="1:10" ht="23.25" customHeight="1" thickBot="1" x14ac:dyDescent="0.25">
      <c r="A5" s="220" t="s">
        <v>64</v>
      </c>
      <c r="B5" s="220"/>
      <c r="C5" s="220"/>
      <c r="D5" s="220"/>
      <c r="E5" s="220"/>
      <c r="F5" s="220"/>
      <c r="G5" s="221"/>
      <c r="H5" s="221"/>
    </row>
    <row r="6" spans="1:10" ht="23.25" customHeight="1" thickBot="1" x14ac:dyDescent="0.25">
      <c r="A6" s="205"/>
      <c r="B6" s="206"/>
      <c r="C6" s="205"/>
      <c r="D6" s="205"/>
      <c r="E6" s="205"/>
      <c r="F6" s="205"/>
      <c r="G6" s="229"/>
      <c r="H6" s="230"/>
      <c r="J6" s="85"/>
    </row>
    <row r="7" spans="1:10" ht="26.25" customHeight="1" x14ac:dyDescent="0.2">
      <c r="A7" s="224" t="s">
        <v>1</v>
      </c>
      <c r="B7" s="225" t="s">
        <v>16</v>
      </c>
      <c r="C7" s="224" t="s">
        <v>15</v>
      </c>
      <c r="D7" s="227" t="s">
        <v>14</v>
      </c>
      <c r="E7" s="228" t="s">
        <v>32</v>
      </c>
      <c r="F7" s="228"/>
      <c r="G7" s="222" t="s">
        <v>33</v>
      </c>
      <c r="H7" s="223"/>
      <c r="I7" s="2"/>
    </row>
    <row r="8" spans="1:10" ht="21" customHeight="1" x14ac:dyDescent="0.2">
      <c r="A8" s="224"/>
      <c r="B8" s="226"/>
      <c r="C8" s="224"/>
      <c r="D8" s="227"/>
      <c r="E8" s="7" t="s">
        <v>12</v>
      </c>
      <c r="F8" s="7" t="s">
        <v>13</v>
      </c>
      <c r="G8" s="7" t="s">
        <v>12</v>
      </c>
      <c r="H8" s="7" t="s">
        <v>13</v>
      </c>
      <c r="I8" s="3"/>
    </row>
    <row r="9" spans="1:10" ht="25.5" x14ac:dyDescent="0.2">
      <c r="A9" s="91">
        <v>1</v>
      </c>
      <c r="B9" s="92" t="s">
        <v>59</v>
      </c>
      <c r="C9" s="8" t="s">
        <v>0</v>
      </c>
      <c r="D9" s="90">
        <v>1</v>
      </c>
      <c r="E9" s="9"/>
      <c r="F9" s="9"/>
      <c r="G9" s="168"/>
      <c r="H9" s="9">
        <f>D9*G9</f>
        <v>0</v>
      </c>
      <c r="I9" s="2"/>
    </row>
    <row r="10" spans="1:10" x14ac:dyDescent="0.2">
      <c r="A10" s="8"/>
      <c r="B10" s="10" t="s">
        <v>60</v>
      </c>
      <c r="C10" s="11" t="s">
        <v>0</v>
      </c>
      <c r="D10" s="12">
        <f>D9*1.02</f>
        <v>1.02</v>
      </c>
      <c r="E10" s="115"/>
      <c r="F10" s="12">
        <f t="shared" ref="F10:F22" si="0">D10*E10</f>
        <v>0</v>
      </c>
      <c r="G10" s="9"/>
      <c r="H10" s="9"/>
      <c r="I10" s="13"/>
    </row>
    <row r="11" spans="1:10" x14ac:dyDescent="0.2">
      <c r="A11" s="8"/>
      <c r="B11" s="79" t="s">
        <v>2</v>
      </c>
      <c r="C11" s="11" t="s">
        <v>3</v>
      </c>
      <c r="D11" s="165">
        <f>26.34413*1.02/134.3</f>
        <v>0.20008199999999998</v>
      </c>
      <c r="E11" s="12"/>
      <c r="F11" s="12">
        <f t="shared" si="0"/>
        <v>0</v>
      </c>
      <c r="G11" s="9"/>
      <c r="H11" s="9"/>
      <c r="I11" s="13"/>
    </row>
    <row r="12" spans="1:10" x14ac:dyDescent="0.2">
      <c r="A12" s="8"/>
      <c r="B12" s="79" t="s">
        <v>31</v>
      </c>
      <c r="C12" s="11" t="s">
        <v>0</v>
      </c>
      <c r="D12" s="165">
        <f>объемы!E39</f>
        <v>7.3281547706287552E-3</v>
      </c>
      <c r="E12" s="115"/>
      <c r="F12" s="12">
        <f t="shared" si="0"/>
        <v>0</v>
      </c>
      <c r="G12" s="9"/>
      <c r="H12" s="9"/>
      <c r="I12" s="13"/>
    </row>
    <row r="13" spans="1:10" x14ac:dyDescent="0.2">
      <c r="A13" s="8"/>
      <c r="B13" s="79" t="s">
        <v>56</v>
      </c>
      <c r="C13" s="11" t="s">
        <v>4</v>
      </c>
      <c r="D13" s="165">
        <f>объемы!E40</f>
        <v>7.3281547706287551</v>
      </c>
      <c r="E13" s="115"/>
      <c r="F13" s="12">
        <f t="shared" si="0"/>
        <v>0</v>
      </c>
      <c r="G13" s="9"/>
      <c r="H13" s="9"/>
      <c r="I13" s="13"/>
    </row>
    <row r="14" spans="1:10" x14ac:dyDescent="0.2">
      <c r="A14" s="8"/>
      <c r="B14" s="79" t="s">
        <v>17</v>
      </c>
      <c r="C14" s="11" t="s">
        <v>5</v>
      </c>
      <c r="D14" s="165">
        <f>объемы!E41</f>
        <v>0.22942986955884506</v>
      </c>
      <c r="E14" s="115"/>
      <c r="F14" s="12">
        <f t="shared" si="0"/>
        <v>0</v>
      </c>
      <c r="G14" s="9"/>
      <c r="H14" s="9"/>
      <c r="I14" s="13"/>
    </row>
    <row r="15" spans="1:10" x14ac:dyDescent="0.2">
      <c r="A15" s="8"/>
      <c r="B15" s="79" t="s">
        <v>18</v>
      </c>
      <c r="C15" s="11" t="s">
        <v>6</v>
      </c>
      <c r="D15" s="165">
        <f>объемы!E42</f>
        <v>0.70663168694122835</v>
      </c>
      <c r="E15" s="115"/>
      <c r="F15" s="12">
        <f t="shared" si="0"/>
        <v>0</v>
      </c>
      <c r="G15" s="9"/>
      <c r="H15" s="9"/>
      <c r="I15" s="13"/>
    </row>
    <row r="16" spans="1:10" x14ac:dyDescent="0.2">
      <c r="A16" s="8"/>
      <c r="B16" s="79" t="s">
        <v>19</v>
      </c>
      <c r="C16" s="11" t="s">
        <v>4</v>
      </c>
      <c r="D16" s="165">
        <f>объемы!E43</f>
        <v>0</v>
      </c>
      <c r="E16" s="115"/>
      <c r="F16" s="12">
        <f t="shared" si="0"/>
        <v>0</v>
      </c>
      <c r="G16" s="9"/>
      <c r="H16" s="9"/>
      <c r="I16" s="13"/>
    </row>
    <row r="17" spans="1:9" x14ac:dyDescent="0.2">
      <c r="A17" s="8"/>
      <c r="B17" s="79" t="s">
        <v>20</v>
      </c>
      <c r="C17" s="11" t="s">
        <v>6</v>
      </c>
      <c r="D17" s="165">
        <f>объемы!E44</f>
        <v>0.26498688260296066</v>
      </c>
      <c r="E17" s="115"/>
      <c r="F17" s="12">
        <f>D17*E17</f>
        <v>0</v>
      </c>
      <c r="G17" s="9"/>
      <c r="H17" s="9"/>
      <c r="I17" s="2"/>
    </row>
    <row r="18" spans="1:9" x14ac:dyDescent="0.2">
      <c r="A18" s="8"/>
      <c r="B18" s="79" t="s">
        <v>21</v>
      </c>
      <c r="C18" s="11" t="s">
        <v>10</v>
      </c>
      <c r="D18" s="165">
        <f>объемы!E45</f>
        <v>0.23596658361424594</v>
      </c>
      <c r="E18" s="115"/>
      <c r="F18" s="12">
        <f t="shared" si="0"/>
        <v>0</v>
      </c>
      <c r="G18" s="9"/>
      <c r="H18" s="9"/>
      <c r="I18" s="2"/>
    </row>
    <row r="19" spans="1:9" x14ac:dyDescent="0.2">
      <c r="A19" s="8"/>
      <c r="B19" s="79" t="s">
        <v>140</v>
      </c>
      <c r="C19" s="11" t="s">
        <v>6</v>
      </c>
      <c r="D19" s="165">
        <f>105.3/136.46</f>
        <v>0.77165469734720793</v>
      </c>
      <c r="E19" s="115"/>
      <c r="F19" s="12">
        <f t="shared" si="0"/>
        <v>0</v>
      </c>
      <c r="G19" s="9"/>
      <c r="H19" s="9"/>
      <c r="I19" s="2"/>
    </row>
    <row r="20" spans="1:9" x14ac:dyDescent="0.2">
      <c r="A20" s="8"/>
      <c r="B20" s="79" t="s">
        <v>62</v>
      </c>
      <c r="C20" s="11" t="s">
        <v>63</v>
      </c>
      <c r="D20" s="165">
        <f>объемы!E46</f>
        <v>0.92334750109922314</v>
      </c>
      <c r="E20" s="115"/>
      <c r="F20" s="12">
        <f t="shared" ref="F20" si="1">D20*E20</f>
        <v>0</v>
      </c>
      <c r="G20" s="9"/>
      <c r="H20" s="9"/>
      <c r="I20" s="2"/>
    </row>
    <row r="21" spans="1:9" x14ac:dyDescent="0.2">
      <c r="A21" s="8"/>
      <c r="B21" s="79" t="s">
        <v>61</v>
      </c>
      <c r="C21" s="11" t="s">
        <v>6</v>
      </c>
      <c r="D21" s="165">
        <f>объемы!E47</f>
        <v>0</v>
      </c>
      <c r="E21" s="115"/>
      <c r="F21" s="12">
        <f t="shared" si="0"/>
        <v>0</v>
      </c>
      <c r="G21" s="9"/>
      <c r="H21" s="9"/>
      <c r="I21" s="2"/>
    </row>
    <row r="22" spans="1:9" x14ac:dyDescent="0.2">
      <c r="A22" s="8"/>
      <c r="B22" s="79" t="s">
        <v>70</v>
      </c>
      <c r="C22" s="11" t="s">
        <v>63</v>
      </c>
      <c r="D22" s="165">
        <f>объемы!E48</f>
        <v>1.116224534662172</v>
      </c>
      <c r="E22" s="115"/>
      <c r="F22" s="12">
        <f t="shared" si="0"/>
        <v>0</v>
      </c>
      <c r="G22" s="9"/>
      <c r="H22" s="9"/>
      <c r="I22" s="2"/>
    </row>
    <row r="23" spans="1:9" x14ac:dyDescent="0.2">
      <c r="A23" s="8"/>
      <c r="B23" s="163" t="s">
        <v>54</v>
      </c>
      <c r="C23" s="164" t="s">
        <v>11</v>
      </c>
      <c r="D23" s="165">
        <f>объемы!M31</f>
        <v>1.2885821486149787</v>
      </c>
      <c r="E23" s="166"/>
      <c r="F23" s="165">
        <f>D23*E23</f>
        <v>0</v>
      </c>
      <c r="G23" s="9"/>
      <c r="H23" s="9"/>
      <c r="I23" s="2"/>
    </row>
    <row r="24" spans="1:9" s="85" customFormat="1" x14ac:dyDescent="0.2">
      <c r="A24" s="80"/>
      <c r="B24" s="81" t="s">
        <v>23</v>
      </c>
      <c r="C24" s="82"/>
      <c r="D24" s="16"/>
      <c r="E24" s="83"/>
      <c r="F24" s="16">
        <f>SUM(F10:F23)</f>
        <v>0</v>
      </c>
      <c r="G24" s="16"/>
      <c r="H24" s="16">
        <f>SUM(H9:H23)</f>
        <v>0</v>
      </c>
      <c r="I24" s="84"/>
    </row>
    <row r="25" spans="1:9" x14ac:dyDescent="0.2">
      <c r="A25" s="91">
        <v>2</v>
      </c>
      <c r="B25" s="93" t="s">
        <v>34</v>
      </c>
      <c r="C25" s="11"/>
      <c r="D25" s="9"/>
      <c r="E25" s="15"/>
      <c r="F25" s="9"/>
      <c r="G25" s="9"/>
      <c r="H25" s="9"/>
      <c r="I25" s="13"/>
    </row>
    <row r="26" spans="1:9" x14ac:dyDescent="0.2">
      <c r="A26" s="8"/>
      <c r="B26" s="78" t="s">
        <v>58</v>
      </c>
      <c r="C26" s="77" t="s">
        <v>55</v>
      </c>
      <c r="D26" s="167">
        <f>объемы!H34</f>
        <v>2.1251648834823391</v>
      </c>
      <c r="E26" s="75"/>
      <c r="F26" s="76">
        <f>D26*E26</f>
        <v>0</v>
      </c>
      <c r="G26" s="9"/>
      <c r="H26" s="9"/>
      <c r="I26" s="2"/>
    </row>
    <row r="27" spans="1:9" x14ac:dyDescent="0.2">
      <c r="A27" s="8"/>
      <c r="B27" s="14" t="s">
        <v>178</v>
      </c>
      <c r="C27" s="11" t="s">
        <v>7</v>
      </c>
      <c r="D27" s="9">
        <f>4*8/136.46*D9</f>
        <v>0.23450095266012017</v>
      </c>
      <c r="E27" s="115"/>
      <c r="F27" s="9">
        <f>D27*E27</f>
        <v>0</v>
      </c>
      <c r="G27" s="9"/>
      <c r="H27" s="9"/>
      <c r="I27" s="2"/>
    </row>
    <row r="28" spans="1:9" x14ac:dyDescent="0.2">
      <c r="A28" s="8"/>
      <c r="B28" s="14" t="s">
        <v>22</v>
      </c>
      <c r="C28" s="11" t="s">
        <v>7</v>
      </c>
      <c r="D28" s="9">
        <f>8*2/136.46*D9</f>
        <v>0.11725047633006008</v>
      </c>
      <c r="E28" s="115"/>
      <c r="F28" s="9">
        <f>D28*E28</f>
        <v>0</v>
      </c>
      <c r="G28" s="9"/>
      <c r="H28" s="9"/>
    </row>
    <row r="29" spans="1:9" x14ac:dyDescent="0.2">
      <c r="A29" s="8"/>
      <c r="B29" s="81" t="s">
        <v>23</v>
      </c>
      <c r="C29" s="11"/>
      <c r="D29" s="9"/>
      <c r="E29" s="9"/>
      <c r="F29" s="16">
        <f>SUM(F26:F28)</f>
        <v>0</v>
      </c>
      <c r="G29" s="9"/>
      <c r="H29" s="9"/>
    </row>
    <row r="30" spans="1:9" x14ac:dyDescent="0.2">
      <c r="A30" s="8"/>
      <c r="B30" s="17" t="s">
        <v>30</v>
      </c>
      <c r="C30" s="11"/>
      <c r="D30" s="9"/>
      <c r="E30" s="9"/>
      <c r="F30" s="9">
        <f>F24+H24+F29</f>
        <v>0</v>
      </c>
      <c r="G30" s="9"/>
      <c r="H30" s="9"/>
    </row>
    <row r="31" spans="1:9" x14ac:dyDescent="0.2">
      <c r="A31" s="8"/>
      <c r="B31" s="18" t="s">
        <v>24</v>
      </c>
      <c r="C31" s="7"/>
      <c r="D31" s="19"/>
      <c r="E31" s="19"/>
      <c r="F31" s="9">
        <f>F30</f>
        <v>0</v>
      </c>
      <c r="G31" s="9"/>
      <c r="H31" s="9"/>
    </row>
    <row r="32" spans="1:9" x14ac:dyDescent="0.2">
      <c r="A32" s="8"/>
      <c r="B32" s="18" t="s">
        <v>25</v>
      </c>
      <c r="C32" s="7"/>
      <c r="D32" s="19"/>
      <c r="E32" s="19"/>
      <c r="F32" s="9">
        <f>F31*0.2</f>
        <v>0</v>
      </c>
      <c r="G32" s="9"/>
      <c r="H32" s="9"/>
    </row>
    <row r="33" spans="1:8" ht="16.350000000000001" customHeight="1" x14ac:dyDescent="0.2">
      <c r="A33" s="20"/>
      <c r="B33" s="21" t="s">
        <v>24</v>
      </c>
      <c r="C33" s="22"/>
      <c r="D33" s="23"/>
      <c r="E33" s="23"/>
      <c r="F33" s="24">
        <f>F31+F32</f>
        <v>0</v>
      </c>
      <c r="G33" s="23"/>
      <c r="H33" s="23"/>
    </row>
    <row r="34" spans="1:8" s="89" customFormat="1" ht="24" customHeight="1" x14ac:dyDescent="0.2">
      <c r="A34" s="80"/>
      <c r="B34" s="86" t="s">
        <v>26</v>
      </c>
      <c r="C34" s="87"/>
      <c r="D34" s="88"/>
      <c r="E34" s="88"/>
      <c r="F34" s="94">
        <f>ROUND(F33/D9,2)</f>
        <v>0</v>
      </c>
      <c r="G34" s="16"/>
      <c r="H34" s="16"/>
    </row>
    <row r="36" spans="1:8" hidden="1" x14ac:dyDescent="0.2">
      <c r="B36" s="26" t="s">
        <v>57</v>
      </c>
    </row>
    <row r="37" spans="1:8" hidden="1" x14ac:dyDescent="0.2">
      <c r="B37" s="27" t="s">
        <v>8</v>
      </c>
      <c r="F37" s="28">
        <f>1.2*(F10+F23)</f>
        <v>0</v>
      </c>
      <c r="H37" s="28"/>
    </row>
    <row r="38" spans="1:8" hidden="1" x14ac:dyDescent="0.2">
      <c r="B38" s="27" t="s">
        <v>9</v>
      </c>
      <c r="F38" s="28">
        <f>1.2*F11</f>
        <v>0</v>
      </c>
    </row>
    <row r="39" spans="1:8" hidden="1" x14ac:dyDescent="0.2">
      <c r="B39" s="27" t="s">
        <v>27</v>
      </c>
      <c r="F39" s="28">
        <f>1.2*F29</f>
        <v>0</v>
      </c>
    </row>
    <row r="40" spans="1:8" hidden="1" x14ac:dyDescent="0.2">
      <c r="B40" s="27" t="s">
        <v>28</v>
      </c>
      <c r="F40" s="28">
        <f>1.2*H24</f>
        <v>0</v>
      </c>
    </row>
    <row r="41" spans="1:8" hidden="1" x14ac:dyDescent="0.2">
      <c r="B41" s="29" t="s">
        <v>29</v>
      </c>
      <c r="C41" s="30"/>
      <c r="D41" s="30"/>
      <c r="E41" s="30"/>
      <c r="F41" s="31">
        <f>(F24-F10-F11-F23)*1.2</f>
        <v>0</v>
      </c>
      <c r="G41" s="30"/>
    </row>
    <row r="42" spans="1:8" hidden="1" x14ac:dyDescent="0.2">
      <c r="B42" s="32" t="s">
        <v>23</v>
      </c>
      <c r="F42" s="28">
        <f>SUM(F37:F41)</f>
        <v>0</v>
      </c>
    </row>
  </sheetData>
  <mergeCells count="8">
    <mergeCell ref="A5:H5"/>
    <mergeCell ref="G7:H7"/>
    <mergeCell ref="A7:A8"/>
    <mergeCell ref="B7:B8"/>
    <mergeCell ref="C7:C8"/>
    <mergeCell ref="D7:D8"/>
    <mergeCell ref="E7:F7"/>
    <mergeCell ref="G6:H6"/>
  </mergeCells>
  <phoneticPr fontId="4" type="noConversion"/>
  <pageMargins left="0.25" right="0.25" top="0.75" bottom="0.75" header="0.3" footer="0.3"/>
  <pageSetup paperSize="9" scale="88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66"/>
    <pageSetUpPr fitToPage="1"/>
  </sheetPr>
  <dimension ref="A1:J16"/>
  <sheetViews>
    <sheetView zoomScaleNormal="100" zoomScaleSheetLayoutView="100" workbookViewId="0">
      <selection activeCell="J6" sqref="J6"/>
    </sheetView>
  </sheetViews>
  <sheetFormatPr defaultColWidth="8.85546875" defaultRowHeight="12.75" x14ac:dyDescent="0.2"/>
  <cols>
    <col min="1" max="1" width="5.28515625" customWidth="1"/>
    <col min="2" max="2" width="45.42578125" customWidth="1"/>
    <col min="6" max="6" width="11.42578125" customWidth="1"/>
    <col min="7" max="7" width="12.42578125" customWidth="1"/>
    <col min="8" max="8" width="11.7109375" customWidth="1"/>
  </cols>
  <sheetData>
    <row r="1" spans="1:10" ht="18.75" x14ac:dyDescent="0.2">
      <c r="A1" s="97" t="s">
        <v>67</v>
      </c>
      <c r="B1" s="34"/>
      <c r="C1" s="34"/>
      <c r="D1" s="34"/>
      <c r="E1" s="34"/>
      <c r="F1" s="34"/>
      <c r="G1" s="34"/>
      <c r="H1" s="34"/>
    </row>
    <row r="2" spans="1:10" ht="15.75" x14ac:dyDescent="0.2">
      <c r="A2" s="98"/>
      <c r="B2" s="65"/>
      <c r="C2" s="65"/>
      <c r="D2" s="65"/>
      <c r="E2" s="65"/>
      <c r="F2" s="65"/>
      <c r="G2" s="65"/>
      <c r="H2" s="65"/>
    </row>
    <row r="3" spans="1:10" ht="15.75" x14ac:dyDescent="0.2">
      <c r="A3" s="98" t="s">
        <v>68</v>
      </c>
      <c r="B3" s="35"/>
      <c r="C3" s="35"/>
      <c r="D3" s="35"/>
      <c r="E3" s="35"/>
      <c r="F3" s="35"/>
      <c r="G3" s="35"/>
      <c r="H3" s="35"/>
    </row>
    <row r="5" spans="1:10" ht="15.75" thickBot="1" x14ac:dyDescent="0.25">
      <c r="A5" s="210" t="s">
        <v>65</v>
      </c>
      <c r="B5" s="210"/>
      <c r="C5" s="210"/>
      <c r="D5" s="210"/>
      <c r="E5" s="210"/>
      <c r="F5" s="210"/>
      <c r="G5" s="211"/>
      <c r="H5" s="211"/>
    </row>
    <row r="6" spans="1:10" ht="15.75" thickBot="1" x14ac:dyDescent="0.25">
      <c r="A6" s="36"/>
      <c r="B6" s="36"/>
      <c r="C6" s="36"/>
      <c r="D6" s="36"/>
      <c r="E6" s="36"/>
      <c r="F6" s="36"/>
      <c r="G6" s="218"/>
      <c r="H6" s="219"/>
      <c r="J6" s="85"/>
    </row>
    <row r="7" spans="1:10" s="4" customFormat="1" ht="21.75" customHeight="1" x14ac:dyDescent="0.2">
      <c r="A7" s="212" t="s">
        <v>1</v>
      </c>
      <c r="B7" s="213" t="s">
        <v>16</v>
      </c>
      <c r="C7" s="212" t="s">
        <v>15</v>
      </c>
      <c r="D7" s="215" t="s">
        <v>14</v>
      </c>
      <c r="E7" s="216" t="s">
        <v>32</v>
      </c>
      <c r="F7" s="216"/>
      <c r="G7" s="217" t="s">
        <v>33</v>
      </c>
      <c r="H7" s="217"/>
    </row>
    <row r="8" spans="1:10" s="4" customFormat="1" ht="21.75" customHeight="1" x14ac:dyDescent="0.2">
      <c r="A8" s="212"/>
      <c r="B8" s="214"/>
      <c r="C8" s="212"/>
      <c r="D8" s="215"/>
      <c r="E8" s="5" t="s">
        <v>12</v>
      </c>
      <c r="F8" s="5" t="s">
        <v>13</v>
      </c>
      <c r="G8" s="5" t="s">
        <v>12</v>
      </c>
      <c r="H8" s="5" t="s">
        <v>13</v>
      </c>
    </row>
    <row r="9" spans="1:10" s="6" customFormat="1" x14ac:dyDescent="0.2">
      <c r="A9" s="40"/>
      <c r="B9" s="51"/>
      <c r="C9" s="40"/>
      <c r="D9" s="41"/>
      <c r="E9" s="41"/>
      <c r="F9" s="42"/>
      <c r="G9" s="42"/>
      <c r="H9" s="42"/>
    </row>
    <row r="10" spans="1:10" s="6" customFormat="1" ht="26.25" customHeight="1" x14ac:dyDescent="0.2">
      <c r="A10" s="95">
        <v>1</v>
      </c>
      <c r="B10" s="96" t="s">
        <v>40</v>
      </c>
      <c r="C10" s="52" t="s">
        <v>0</v>
      </c>
      <c r="D10" s="38">
        <v>1</v>
      </c>
      <c r="E10" s="53"/>
      <c r="F10" s="39"/>
      <c r="G10" s="39"/>
      <c r="H10" s="39">
        <f>D10*G10</f>
        <v>0</v>
      </c>
    </row>
    <row r="11" spans="1:10" s="6" customFormat="1" ht="24" customHeight="1" x14ac:dyDescent="0.2">
      <c r="A11" s="54"/>
      <c r="B11" s="55" t="s">
        <v>37</v>
      </c>
      <c r="C11" s="56" t="s">
        <v>0</v>
      </c>
      <c r="D11" s="57">
        <f>D10*1.02</f>
        <v>1.02</v>
      </c>
      <c r="E11" s="57"/>
      <c r="F11" s="42">
        <f>D11*E11</f>
        <v>0</v>
      </c>
      <c r="G11" s="58"/>
      <c r="H11" s="42"/>
    </row>
    <row r="12" spans="1:10" s="6" customFormat="1" ht="24" customHeight="1" x14ac:dyDescent="0.2">
      <c r="A12" s="54"/>
      <c r="B12" s="74" t="s">
        <v>52</v>
      </c>
      <c r="C12" s="56" t="s">
        <v>0</v>
      </c>
      <c r="D12" s="57">
        <f>(238.65+1.2*8)*0.15*0.025/9.59/7</f>
        <v>1.3867682109340087E-2</v>
      </c>
      <c r="E12" s="57"/>
      <c r="F12" s="42">
        <f>D12*E12</f>
        <v>0</v>
      </c>
      <c r="G12" s="58"/>
      <c r="H12" s="42"/>
    </row>
    <row r="13" spans="1:10" s="6" customFormat="1" ht="25.35" customHeight="1" x14ac:dyDescent="0.2">
      <c r="A13" s="59"/>
      <c r="B13" s="60" t="s">
        <v>24</v>
      </c>
      <c r="C13" s="37"/>
      <c r="D13" s="43"/>
      <c r="E13" s="43"/>
      <c r="F13" s="44">
        <f>SUM(F11:F12)</f>
        <v>0</v>
      </c>
      <c r="G13" s="44"/>
      <c r="H13" s="44">
        <f>SUM(H10:H12)</f>
        <v>0</v>
      </c>
    </row>
    <row r="14" spans="1:10" s="6" customFormat="1" ht="21.75" customHeight="1" x14ac:dyDescent="0.2">
      <c r="A14" s="45"/>
      <c r="B14" s="61" t="s">
        <v>39</v>
      </c>
      <c r="C14" s="40"/>
      <c r="D14" s="41"/>
      <c r="E14" s="41"/>
      <c r="F14" s="42">
        <f>F13+H13</f>
        <v>0</v>
      </c>
      <c r="G14" s="42"/>
      <c r="H14" s="42"/>
    </row>
    <row r="15" spans="1:10" s="6" customFormat="1" ht="14.25" x14ac:dyDescent="0.2">
      <c r="A15" s="45"/>
      <c r="B15" s="62" t="s">
        <v>38</v>
      </c>
      <c r="C15" s="63"/>
      <c r="D15" s="41"/>
      <c r="E15" s="41"/>
      <c r="F15" s="42">
        <f>0.2*F14</f>
        <v>0</v>
      </c>
      <c r="G15" s="42"/>
      <c r="H15" s="42"/>
    </row>
    <row r="16" spans="1:10" s="6" customFormat="1" ht="24" customHeight="1" x14ac:dyDescent="0.2">
      <c r="A16" s="46"/>
      <c r="B16" s="64" t="s">
        <v>53</v>
      </c>
      <c r="C16" s="47" t="s">
        <v>0</v>
      </c>
      <c r="D16" s="48">
        <v>1</v>
      </c>
      <c r="E16" s="48"/>
      <c r="F16" s="49">
        <f>SUM(F14:F15)*D16</f>
        <v>0</v>
      </c>
      <c r="G16" s="50"/>
      <c r="H16" s="50"/>
    </row>
  </sheetData>
  <mergeCells count="8">
    <mergeCell ref="A5:H5"/>
    <mergeCell ref="G7:H7"/>
    <mergeCell ref="A7:A8"/>
    <mergeCell ref="B7:B8"/>
    <mergeCell ref="C7:C8"/>
    <mergeCell ref="D7:D8"/>
    <mergeCell ref="E7:F7"/>
    <mergeCell ref="G6:H6"/>
  </mergeCells>
  <pageMargins left="0.25" right="0.25" top="0.75" bottom="0.75" header="0.3" footer="0.3"/>
  <pageSetup paperSize="9" scale="8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K26"/>
  <sheetViews>
    <sheetView tabSelected="1" view="pageBreakPreview" zoomScaleNormal="100" zoomScaleSheetLayoutView="100" workbookViewId="0">
      <selection activeCell="B6" sqref="B6"/>
    </sheetView>
  </sheetViews>
  <sheetFormatPr defaultColWidth="8.85546875" defaultRowHeight="12.75" x14ac:dyDescent="0.2"/>
  <cols>
    <col min="2" max="2" width="47.7109375" customWidth="1"/>
    <col min="3" max="3" width="14.42578125" customWidth="1"/>
    <col min="4" max="4" width="9.28515625" customWidth="1"/>
    <col min="5" max="5" width="19.42578125" customWidth="1"/>
    <col min="6" max="6" width="18.42578125" customWidth="1"/>
    <col min="7" max="7" width="18.140625" customWidth="1"/>
    <col min="8" max="8" width="17.7109375" customWidth="1"/>
    <col min="9" max="9" width="17.85546875" customWidth="1"/>
    <col min="10" max="11" width="16.7109375" customWidth="1"/>
  </cols>
  <sheetData>
    <row r="1" spans="1:11" s="1" customFormat="1" ht="14.25" x14ac:dyDescent="0.2">
      <c r="A1" s="97" t="s">
        <v>67</v>
      </c>
      <c r="B1" s="33"/>
      <c r="C1" s="33"/>
      <c r="D1"/>
      <c r="E1"/>
      <c r="F1"/>
      <c r="G1"/>
      <c r="H1"/>
    </row>
    <row r="2" spans="1:11" s="1" customFormat="1" ht="21" customHeight="1" x14ac:dyDescent="0.2">
      <c r="A2" s="98"/>
      <c r="B2" s="34"/>
      <c r="C2" s="34"/>
      <c r="D2" s="34"/>
      <c r="E2" s="34"/>
      <c r="F2" s="34"/>
      <c r="G2" s="34"/>
      <c r="H2" s="34"/>
    </row>
    <row r="3" spans="1:11" s="1" customFormat="1" ht="15.75" x14ac:dyDescent="0.2">
      <c r="A3" s="98" t="s">
        <v>68</v>
      </c>
      <c r="B3" s="65"/>
      <c r="C3" s="65"/>
      <c r="D3" s="65"/>
      <c r="E3" s="65"/>
      <c r="F3" s="65"/>
      <c r="G3" s="65"/>
      <c r="H3" s="65"/>
    </row>
    <row r="4" spans="1:11" x14ac:dyDescent="0.2">
      <c r="A4" s="118"/>
      <c r="B4" s="119"/>
      <c r="C4" s="119"/>
      <c r="D4" s="119"/>
      <c r="E4" s="120"/>
      <c r="F4" s="119"/>
      <c r="G4" s="6"/>
    </row>
    <row r="5" spans="1:11" ht="18" x14ac:dyDescent="0.2">
      <c r="A5" s="231" t="s">
        <v>47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</row>
    <row r="6" spans="1:11" ht="13.5" thickBot="1" x14ac:dyDescent="0.25"/>
    <row r="7" spans="1:11" ht="24.75" customHeight="1" thickBot="1" x14ac:dyDescent="0.25">
      <c r="A7" s="207"/>
      <c r="B7" s="207"/>
      <c r="C7" s="207"/>
      <c r="D7" s="207"/>
      <c r="E7" s="229"/>
      <c r="F7" s="232"/>
      <c r="G7" s="232"/>
      <c r="H7" s="232"/>
      <c r="I7" s="232"/>
      <c r="J7" s="232"/>
      <c r="K7" s="230"/>
    </row>
    <row r="8" spans="1:11" s="66" customFormat="1" ht="50.45" customHeight="1" x14ac:dyDescent="0.2">
      <c r="A8" s="72" t="s">
        <v>1</v>
      </c>
      <c r="B8" s="73" t="s">
        <v>16</v>
      </c>
      <c r="C8" s="73" t="s">
        <v>71</v>
      </c>
      <c r="D8" s="72" t="s">
        <v>66</v>
      </c>
      <c r="E8" s="208" t="s">
        <v>14</v>
      </c>
      <c r="F8" s="209" t="s">
        <v>48</v>
      </c>
      <c r="G8" s="209" t="s">
        <v>49</v>
      </c>
      <c r="H8" s="208" t="s">
        <v>69</v>
      </c>
      <c r="I8" s="209" t="s">
        <v>50</v>
      </c>
      <c r="J8" s="209" t="s">
        <v>51</v>
      </c>
      <c r="K8" s="208" t="s">
        <v>41</v>
      </c>
    </row>
    <row r="9" spans="1:11" x14ac:dyDescent="0.2">
      <c r="A9" s="71"/>
      <c r="B9" s="71"/>
      <c r="C9" s="106"/>
      <c r="D9" s="71"/>
      <c r="E9" s="71"/>
      <c r="F9" s="71"/>
      <c r="G9" s="71"/>
      <c r="H9" s="71"/>
      <c r="I9" s="71"/>
      <c r="J9" s="71"/>
      <c r="K9" s="71"/>
    </row>
    <row r="10" spans="1:11" s="6" customFormat="1" ht="26.1" customHeight="1" x14ac:dyDescent="0.2">
      <c r="A10" s="99">
        <v>1</v>
      </c>
      <c r="B10" s="100" t="s">
        <v>35</v>
      </c>
      <c r="C10" s="113" t="s">
        <v>72</v>
      </c>
      <c r="D10" s="107" t="s">
        <v>4</v>
      </c>
      <c r="E10" s="108">
        <f>объемы!D18</f>
        <v>934</v>
      </c>
      <c r="F10" s="109"/>
      <c r="G10" s="110"/>
      <c r="H10" s="68">
        <f>F10+G10</f>
        <v>0</v>
      </c>
      <c r="I10" s="68">
        <f>E10*F10</f>
        <v>0</v>
      </c>
      <c r="J10" s="68">
        <f>E10*G10</f>
        <v>0</v>
      </c>
      <c r="K10" s="68">
        <f>I10+J10</f>
        <v>0</v>
      </c>
    </row>
    <row r="11" spans="1:11" s="6" customFormat="1" ht="27" customHeight="1" x14ac:dyDescent="0.2">
      <c r="A11" s="99">
        <v>2</v>
      </c>
      <c r="B11" s="100" t="s">
        <v>46</v>
      </c>
      <c r="C11" s="113" t="s">
        <v>72</v>
      </c>
      <c r="D11" s="107" t="s">
        <v>11</v>
      </c>
      <c r="E11" s="111">
        <v>130.57</v>
      </c>
      <c r="F11" s="109"/>
      <c r="G11" s="110"/>
      <c r="H11" s="68">
        <f t="shared" ref="H11:H15" si="0">F11+G11</f>
        <v>0</v>
      </c>
      <c r="I11" s="68">
        <f t="shared" ref="I11:I14" si="1">E11*F11</f>
        <v>0</v>
      </c>
      <c r="J11" s="68">
        <f t="shared" ref="J11:J14" si="2">E11*G11</f>
        <v>0</v>
      </c>
      <c r="K11" s="68">
        <f t="shared" ref="K11:K14" si="3">I11+J11</f>
        <v>0</v>
      </c>
    </row>
    <row r="12" spans="1:11" s="6" customFormat="1" ht="27.6" customHeight="1" x14ac:dyDescent="0.2">
      <c r="A12" s="99">
        <v>3</v>
      </c>
      <c r="B12" s="100" t="s">
        <v>36</v>
      </c>
      <c r="C12" s="113" t="s">
        <v>73</v>
      </c>
      <c r="D12" s="107" t="s">
        <v>0</v>
      </c>
      <c r="E12" s="116">
        <f>9.58*1.2</f>
        <v>11.496</v>
      </c>
      <c r="F12" s="109"/>
      <c r="G12" s="110"/>
      <c r="H12" s="68">
        <f t="shared" si="0"/>
        <v>0</v>
      </c>
      <c r="I12" s="68">
        <f t="shared" si="1"/>
        <v>0</v>
      </c>
      <c r="J12" s="68">
        <f t="shared" si="2"/>
        <v>0</v>
      </c>
      <c r="K12" s="68">
        <f t="shared" si="3"/>
        <v>0</v>
      </c>
    </row>
    <row r="13" spans="1:11" s="6" customFormat="1" ht="24.6" customHeight="1" x14ac:dyDescent="0.2">
      <c r="A13" s="99">
        <v>4</v>
      </c>
      <c r="B13" s="101" t="s">
        <v>40</v>
      </c>
      <c r="C13" s="114" t="s">
        <v>72</v>
      </c>
      <c r="D13" s="107" t="s">
        <v>0</v>
      </c>
      <c r="E13" s="116">
        <v>11</v>
      </c>
      <c r="F13" s="112">
        <f>підготовка!F13</f>
        <v>0</v>
      </c>
      <c r="G13" s="112">
        <f>підготовка!H13</f>
        <v>0</v>
      </c>
      <c r="H13" s="68">
        <f t="shared" si="0"/>
        <v>0</v>
      </c>
      <c r="I13" s="68">
        <f t="shared" si="1"/>
        <v>0</v>
      </c>
      <c r="J13" s="68">
        <f t="shared" si="2"/>
        <v>0</v>
      </c>
      <c r="K13" s="68">
        <f t="shared" si="3"/>
        <v>0</v>
      </c>
    </row>
    <row r="14" spans="1:11" s="6" customFormat="1" ht="25.35" customHeight="1" x14ac:dyDescent="0.2">
      <c r="A14" s="99">
        <v>5</v>
      </c>
      <c r="B14" s="101" t="s">
        <v>47</v>
      </c>
      <c r="C14" s="114" t="s">
        <v>72</v>
      </c>
      <c r="D14" s="107" t="s">
        <v>0</v>
      </c>
      <c r="E14" s="116">
        <v>134.30000000000001</v>
      </c>
      <c r="F14" s="112">
        <f>ростверк!F31-ростверк!H24</f>
        <v>0</v>
      </c>
      <c r="G14" s="112">
        <f>ростверк!H24</f>
        <v>0</v>
      </c>
      <c r="H14" s="68">
        <f t="shared" si="0"/>
        <v>0</v>
      </c>
      <c r="I14" s="68">
        <f t="shared" si="1"/>
        <v>0</v>
      </c>
      <c r="J14" s="68">
        <f t="shared" si="2"/>
        <v>0</v>
      </c>
      <c r="K14" s="68">
        <f t="shared" si="3"/>
        <v>0</v>
      </c>
    </row>
    <row r="15" spans="1:11" s="6" customFormat="1" ht="25.35" customHeight="1" x14ac:dyDescent="0.2">
      <c r="A15" s="181">
        <v>6</v>
      </c>
      <c r="B15" s="101" t="s">
        <v>163</v>
      </c>
      <c r="C15" s="114" t="s">
        <v>72</v>
      </c>
      <c r="D15" s="107" t="s">
        <v>11</v>
      </c>
      <c r="E15" s="116">
        <v>260</v>
      </c>
      <c r="F15" s="112">
        <f>Гідроизоляція!F13</f>
        <v>0</v>
      </c>
      <c r="G15" s="112">
        <f>Гідроизоляція!H13</f>
        <v>0</v>
      </c>
      <c r="H15" s="68">
        <f t="shared" si="0"/>
        <v>0</v>
      </c>
      <c r="I15" s="68">
        <f t="shared" ref="I15" si="4">E15*F15</f>
        <v>0</v>
      </c>
      <c r="J15" s="68">
        <f t="shared" ref="J15" si="5">E15*G15</f>
        <v>0</v>
      </c>
      <c r="K15" s="68">
        <f t="shared" ref="K15" si="6">I15+J15</f>
        <v>0</v>
      </c>
    </row>
    <row r="16" spans="1:11" s="6" customFormat="1" ht="21" customHeight="1" x14ac:dyDescent="0.2">
      <c r="A16" s="67"/>
      <c r="B16" s="69" t="s">
        <v>42</v>
      </c>
      <c r="C16" s="69"/>
      <c r="D16" s="69"/>
      <c r="E16" s="69"/>
      <c r="F16" s="69"/>
      <c r="G16" s="69"/>
      <c r="H16" s="69"/>
      <c r="I16" s="102">
        <f>SUM(I10:I15)</f>
        <v>0</v>
      </c>
      <c r="J16" s="102">
        <f>SUM(J10:J15)</f>
        <v>0</v>
      </c>
      <c r="K16" s="102">
        <f>SUM(K10:K15)</f>
        <v>0</v>
      </c>
    </row>
    <row r="17" spans="1:11" s="6" customFormat="1" ht="21" customHeight="1" x14ac:dyDescent="0.2">
      <c r="A17" s="67"/>
      <c r="B17" s="69" t="s">
        <v>74</v>
      </c>
      <c r="C17" s="69"/>
      <c r="D17" s="69"/>
      <c r="E17" s="69"/>
      <c r="F17" s="69"/>
      <c r="G17" s="69"/>
      <c r="H17" s="69"/>
      <c r="I17" s="102"/>
      <c r="J17" s="102"/>
      <c r="K17" s="102"/>
    </row>
    <row r="18" spans="1:11" s="6" customFormat="1" ht="21" customHeight="1" x14ac:dyDescent="0.2">
      <c r="A18" s="67"/>
      <c r="B18" s="69" t="s">
        <v>75</v>
      </c>
      <c r="C18" s="69" t="s">
        <v>72</v>
      </c>
      <c r="D18" s="69"/>
      <c r="E18" s="69"/>
      <c r="F18" s="69"/>
      <c r="G18" s="69"/>
      <c r="H18" s="69"/>
      <c r="I18" s="102"/>
      <c r="J18" s="102"/>
      <c r="K18" s="102">
        <f>K16</f>
        <v>0</v>
      </c>
    </row>
    <row r="19" spans="1:11" s="6" customFormat="1" ht="21" customHeight="1" x14ac:dyDescent="0.2">
      <c r="A19" s="67"/>
      <c r="B19" s="69" t="s">
        <v>43</v>
      </c>
      <c r="C19" s="69"/>
      <c r="D19" s="69"/>
      <c r="E19" s="69"/>
      <c r="F19" s="69"/>
      <c r="G19" s="69"/>
      <c r="H19" s="69"/>
      <c r="I19" s="102"/>
      <c r="J19" s="102"/>
      <c r="K19" s="102">
        <f>K16*0.2</f>
        <v>0</v>
      </c>
    </row>
    <row r="20" spans="1:11" s="6" customFormat="1" ht="21" customHeight="1" x14ac:dyDescent="0.2">
      <c r="A20" s="67"/>
      <c r="B20" s="69" t="s">
        <v>44</v>
      </c>
      <c r="C20" s="69"/>
      <c r="D20" s="69"/>
      <c r="E20" s="69"/>
      <c r="F20" s="69"/>
      <c r="G20" s="69"/>
      <c r="H20" s="69"/>
      <c r="I20" s="102"/>
      <c r="J20" s="102"/>
      <c r="K20" s="102">
        <f>K16+K19</f>
        <v>0</v>
      </c>
    </row>
    <row r="21" spans="1:11" s="6" customFormat="1" ht="21" customHeight="1" x14ac:dyDescent="0.2">
      <c r="A21" s="67"/>
      <c r="B21" s="70"/>
      <c r="C21" s="70"/>
      <c r="D21" s="70"/>
      <c r="E21" s="70"/>
      <c r="F21" s="70"/>
      <c r="G21" s="70"/>
      <c r="H21" s="70"/>
      <c r="I21" s="68"/>
      <c r="J21" s="68"/>
      <c r="K21" s="68"/>
    </row>
    <row r="22" spans="1:11" s="6" customFormat="1" ht="21" customHeight="1" x14ac:dyDescent="0.2">
      <c r="A22" s="103"/>
      <c r="B22" s="104" t="s">
        <v>45</v>
      </c>
      <c r="C22" s="104"/>
      <c r="D22" s="104"/>
      <c r="E22" s="104"/>
      <c r="F22" s="104"/>
      <c r="G22" s="104"/>
      <c r="H22" s="104"/>
      <c r="I22" s="102"/>
      <c r="J22" s="102"/>
      <c r="K22" s="105">
        <f>K20</f>
        <v>0</v>
      </c>
    </row>
    <row r="23" spans="1:11" s="6" customFormat="1" x14ac:dyDescent="0.2">
      <c r="B23" s="117"/>
      <c r="K23" s="176"/>
    </row>
    <row r="24" spans="1:11" s="6" customFormat="1" x14ac:dyDescent="0.2">
      <c r="B24" s="117"/>
      <c r="K24" s="176"/>
    </row>
    <row r="25" spans="1:11" s="6" customFormat="1" x14ac:dyDescent="0.2">
      <c r="B25" s="117"/>
      <c r="K25" s="176"/>
    </row>
    <row r="26" spans="1:11" s="6" customFormat="1" x14ac:dyDescent="0.2">
      <c r="B26" s="117"/>
      <c r="K26" s="176"/>
    </row>
  </sheetData>
  <mergeCells count="2">
    <mergeCell ref="A5:K5"/>
    <mergeCell ref="E7:K7"/>
  </mergeCells>
  <phoneticPr fontId="4" type="noConversion"/>
  <pageMargins left="0.25" right="0.25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S75"/>
  <sheetViews>
    <sheetView workbookViewId="0">
      <selection activeCell="K17" sqref="K17"/>
    </sheetView>
  </sheetViews>
  <sheetFormatPr defaultColWidth="8.85546875" defaultRowHeight="12.75" x14ac:dyDescent="0.2"/>
  <cols>
    <col min="1" max="1" width="4.140625" style="123" customWidth="1"/>
    <col min="2" max="2" width="31.28515625" style="124" customWidth="1"/>
    <col min="3" max="3" width="8.85546875" style="1" customWidth="1"/>
    <col min="4" max="4" width="10.140625" style="1" customWidth="1"/>
    <col min="5" max="5" width="11.42578125" style="1" customWidth="1"/>
    <col min="6" max="6" width="9.140625" style="1" customWidth="1"/>
    <col min="7" max="7" width="10.7109375" style="1" bestFit="1" customWidth="1"/>
    <col min="8" max="11" width="9.140625" style="1"/>
    <col min="12" max="12" width="9.7109375" style="1" customWidth="1"/>
    <col min="13" max="13" width="10.28515625" style="1" customWidth="1"/>
    <col min="14" max="45" width="9.140625" style="1"/>
  </cols>
  <sheetData>
    <row r="1" spans="1:45" ht="23.25" customHeight="1" x14ac:dyDescent="0.2">
      <c r="A1" s="233" t="s">
        <v>105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</row>
    <row r="2" spans="1:45" x14ac:dyDescent="0.2">
      <c r="A2" s="234" t="s">
        <v>94</v>
      </c>
      <c r="B2" s="236" t="s">
        <v>95</v>
      </c>
      <c r="C2" s="246" t="s">
        <v>77</v>
      </c>
      <c r="D2" s="245" t="s">
        <v>78</v>
      </c>
      <c r="E2" s="244" t="s">
        <v>91</v>
      </c>
      <c r="F2" s="244"/>
      <c r="G2" s="244"/>
      <c r="H2" s="244"/>
      <c r="I2" s="244"/>
      <c r="J2" s="244"/>
      <c r="K2" s="244"/>
      <c r="L2" s="244"/>
      <c r="M2" s="244"/>
      <c r="N2" s="244"/>
    </row>
    <row r="3" spans="1:45" x14ac:dyDescent="0.2">
      <c r="A3" s="234"/>
      <c r="B3" s="236"/>
      <c r="C3" s="246"/>
      <c r="D3" s="245"/>
      <c r="E3" s="129" t="s">
        <v>88</v>
      </c>
      <c r="F3" s="234" t="s">
        <v>89</v>
      </c>
      <c r="G3" s="234"/>
      <c r="H3" s="234"/>
      <c r="I3" s="234"/>
      <c r="J3" s="234"/>
      <c r="K3" s="234"/>
      <c r="L3" s="234"/>
      <c r="M3" s="234"/>
      <c r="N3" s="247" t="s">
        <v>90</v>
      </c>
    </row>
    <row r="4" spans="1:45" s="121" customFormat="1" x14ac:dyDescent="0.2">
      <c r="A4" s="234"/>
      <c r="B4" s="236"/>
      <c r="C4" s="246"/>
      <c r="D4" s="245"/>
      <c r="E4" s="130" t="s">
        <v>80</v>
      </c>
      <c r="F4" s="130" t="s">
        <v>81</v>
      </c>
      <c r="G4" s="130" t="s">
        <v>82</v>
      </c>
      <c r="H4" s="130" t="s">
        <v>83</v>
      </c>
      <c r="I4" s="130" t="s">
        <v>84</v>
      </c>
      <c r="J4" s="130" t="s">
        <v>85</v>
      </c>
      <c r="K4" s="130" t="s">
        <v>86</v>
      </c>
      <c r="L4" s="130" t="s">
        <v>79</v>
      </c>
      <c r="M4" s="130" t="s">
        <v>87</v>
      </c>
      <c r="N4" s="247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</row>
    <row r="5" spans="1:45" s="6" customFormat="1" ht="25.5" x14ac:dyDescent="0.2">
      <c r="A5" s="129">
        <v>1</v>
      </c>
      <c r="B5" s="131" t="s">
        <v>76</v>
      </c>
      <c r="C5" s="136">
        <v>9.59</v>
      </c>
      <c r="D5" s="139">
        <v>126.76</v>
      </c>
      <c r="E5" s="132">
        <v>965.41</v>
      </c>
      <c r="F5" s="132">
        <v>2193.15</v>
      </c>
      <c r="G5" s="132">
        <v>2805.23</v>
      </c>
      <c r="H5" s="132">
        <v>1029.92</v>
      </c>
      <c r="I5" s="132">
        <v>6966.76</v>
      </c>
      <c r="J5" s="132">
        <v>1594.38</v>
      </c>
      <c r="K5" s="132">
        <v>1244.9000000000001</v>
      </c>
      <c r="L5" s="132">
        <v>1979.74</v>
      </c>
      <c r="M5" s="132">
        <v>984.36</v>
      </c>
      <c r="N5" s="133">
        <f>SUM(E5:M5)</f>
        <v>19763.850000000006</v>
      </c>
      <c r="O5" s="126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</row>
    <row r="6" spans="1:45" ht="25.5" x14ac:dyDescent="0.2">
      <c r="A6" s="129">
        <v>2</v>
      </c>
      <c r="B6" s="131" t="s">
        <v>92</v>
      </c>
      <c r="C6" s="137"/>
      <c r="D6" s="185">
        <v>9.6999999999999993</v>
      </c>
      <c r="E6" s="153">
        <v>112.8</v>
      </c>
      <c r="F6" s="153"/>
      <c r="G6" s="153">
        <v>488.4</v>
      </c>
      <c r="H6" s="153">
        <v>2367.5</v>
      </c>
      <c r="I6" s="153"/>
      <c r="J6" s="153"/>
      <c r="K6" s="153"/>
      <c r="L6" s="153"/>
      <c r="M6" s="153"/>
      <c r="N6" s="133">
        <f>SUM(E6:M6)</f>
        <v>2968.7</v>
      </c>
      <c r="O6" s="127"/>
    </row>
    <row r="7" spans="1:45" x14ac:dyDescent="0.2">
      <c r="A7" s="193">
        <v>3</v>
      </c>
      <c r="B7" s="194" t="s">
        <v>164</v>
      </c>
      <c r="C7" s="137"/>
      <c r="D7" s="185"/>
      <c r="E7" s="153"/>
      <c r="F7" s="153"/>
      <c r="G7" s="153"/>
      <c r="H7" s="153">
        <v>512.75</v>
      </c>
      <c r="I7" s="153"/>
      <c r="J7" s="153">
        <v>320</v>
      </c>
      <c r="K7" s="153"/>
      <c r="L7" s="153">
        <v>541.44000000000005</v>
      </c>
      <c r="M7" s="153"/>
      <c r="N7" s="133">
        <f>SUM(E7:M7)</f>
        <v>1374.19</v>
      </c>
      <c r="O7" s="127"/>
    </row>
    <row r="8" spans="1:45" s="6" customFormat="1" ht="19.5" customHeight="1" x14ac:dyDescent="0.2">
      <c r="A8" s="242" t="s">
        <v>90</v>
      </c>
      <c r="B8" s="243"/>
      <c r="C8" s="138">
        <f>SUM(C5:C7)</f>
        <v>9.59</v>
      </c>
      <c r="D8" s="140">
        <f>SUM(D5:D7)</f>
        <v>136.46</v>
      </c>
      <c r="E8" s="133">
        <f t="shared" ref="E8:L8" si="0">SUM(E5:E7)</f>
        <v>1078.21</v>
      </c>
      <c r="F8" s="133">
        <f t="shared" si="0"/>
        <v>2193.15</v>
      </c>
      <c r="G8" s="133">
        <f t="shared" si="0"/>
        <v>3293.63</v>
      </c>
      <c r="H8" s="133">
        <f t="shared" si="0"/>
        <v>3910.17</v>
      </c>
      <c r="I8" s="133">
        <f t="shared" si="0"/>
        <v>6966.76</v>
      </c>
      <c r="J8" s="133">
        <f t="shared" si="0"/>
        <v>1914.38</v>
      </c>
      <c r="K8" s="133">
        <f t="shared" si="0"/>
        <v>1244.9000000000001</v>
      </c>
      <c r="L8" s="133">
        <f t="shared" si="0"/>
        <v>2521.1800000000003</v>
      </c>
      <c r="M8" s="133">
        <f>SUM(M5:M7)</f>
        <v>984.36</v>
      </c>
      <c r="N8" s="133">
        <f>SUM(N5:N7)</f>
        <v>24106.740000000005</v>
      </c>
      <c r="O8" s="126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</row>
    <row r="9" spans="1:45" s="6" customFormat="1" ht="14.25" customHeight="1" x14ac:dyDescent="0.2">
      <c r="A9" s="123"/>
      <c r="B9" s="125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35" t="s">
        <v>139</v>
      </c>
      <c r="N9" s="135">
        <f>N8*1.02</f>
        <v>24588.874800000005</v>
      </c>
      <c r="O9" s="126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</row>
    <row r="10" spans="1:45" s="6" customFormat="1" ht="15.75" customHeight="1" x14ac:dyDescent="0.2">
      <c r="A10" s="233" t="s">
        <v>104</v>
      </c>
      <c r="B10" s="233"/>
      <c r="C10" s="233"/>
      <c r="D10" s="233"/>
      <c r="E10" s="233"/>
      <c r="F10" s="233"/>
      <c r="G10" s="233"/>
      <c r="H10" s="126"/>
      <c r="I10" s="126"/>
      <c r="J10" s="126"/>
      <c r="K10" s="126"/>
      <c r="L10" s="126"/>
      <c r="M10" s="135" t="s">
        <v>93</v>
      </c>
      <c r="N10" s="172">
        <f>N9/D8</f>
        <v>180.19108017001321</v>
      </c>
      <c r="O10" s="126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</row>
    <row r="11" spans="1:45" s="1" customFormat="1" x14ac:dyDescent="0.2">
      <c r="A11" s="234" t="s">
        <v>94</v>
      </c>
      <c r="B11" s="236" t="s">
        <v>95</v>
      </c>
      <c r="C11" s="240" t="s">
        <v>99</v>
      </c>
      <c r="D11" s="141" t="s">
        <v>99</v>
      </c>
      <c r="E11" s="141" t="s">
        <v>99</v>
      </c>
      <c r="F11" s="240" t="s">
        <v>179</v>
      </c>
      <c r="G11" s="240"/>
      <c r="H11" s="127"/>
      <c r="I11" s="127"/>
      <c r="J11" s="127"/>
      <c r="K11" s="127"/>
      <c r="L11" s="127"/>
      <c r="M11" s="127"/>
      <c r="N11" s="127"/>
      <c r="O11" s="127"/>
    </row>
    <row r="12" spans="1:45" s="1" customFormat="1" x14ac:dyDescent="0.2">
      <c r="A12" s="234"/>
      <c r="B12" s="236"/>
      <c r="C12" s="240"/>
      <c r="D12" s="142" t="s">
        <v>101</v>
      </c>
      <c r="E12" s="142" t="s">
        <v>101</v>
      </c>
      <c r="F12" s="142" t="s">
        <v>102</v>
      </c>
      <c r="G12" s="142" t="s">
        <v>103</v>
      </c>
      <c r="H12" s="127"/>
      <c r="I12" s="127"/>
      <c r="J12" s="127"/>
      <c r="K12" s="127"/>
      <c r="L12" s="127"/>
      <c r="M12" s="127"/>
      <c r="N12" s="127"/>
      <c r="O12" s="127"/>
    </row>
    <row r="13" spans="1:45" s="1" customFormat="1" x14ac:dyDescent="0.2">
      <c r="A13" s="234"/>
      <c r="B13" s="236"/>
      <c r="C13" s="142" t="s">
        <v>100</v>
      </c>
      <c r="D13" s="130" t="s">
        <v>86</v>
      </c>
      <c r="E13" s="130" t="s">
        <v>87</v>
      </c>
      <c r="F13" s="142" t="s">
        <v>11</v>
      </c>
      <c r="G13" s="142" t="s">
        <v>11</v>
      </c>
      <c r="H13" s="127"/>
      <c r="I13" s="127"/>
      <c r="J13" s="127"/>
      <c r="K13" s="127"/>
      <c r="L13" s="127"/>
      <c r="M13" s="127"/>
      <c r="N13" s="127"/>
      <c r="O13" s="127"/>
    </row>
    <row r="14" spans="1:45" s="1" customFormat="1" x14ac:dyDescent="0.2">
      <c r="A14" s="129">
        <v>1</v>
      </c>
      <c r="B14" s="143" t="s">
        <v>96</v>
      </c>
      <c r="C14" s="134">
        <v>58</v>
      </c>
      <c r="D14" s="134">
        <f>6*C14</f>
        <v>348</v>
      </c>
      <c r="E14" s="134"/>
      <c r="F14" s="134"/>
      <c r="G14" s="134"/>
      <c r="H14" s="127"/>
      <c r="I14" s="127"/>
      <c r="J14" s="127"/>
      <c r="K14" s="127"/>
      <c r="L14" s="127"/>
      <c r="M14" s="127"/>
      <c r="N14" s="127"/>
      <c r="O14" s="127"/>
    </row>
    <row r="15" spans="1:45" s="1" customFormat="1" x14ac:dyDescent="0.2">
      <c r="A15" s="129">
        <v>2</v>
      </c>
      <c r="B15" s="143" t="s">
        <v>97</v>
      </c>
      <c r="C15" s="134">
        <v>37</v>
      </c>
      <c r="D15" s="134"/>
      <c r="E15" s="134">
        <f>8*C15</f>
        <v>296</v>
      </c>
      <c r="F15" s="134"/>
      <c r="G15" s="134"/>
      <c r="H15" s="127"/>
      <c r="I15" s="127"/>
      <c r="J15" s="127"/>
      <c r="K15" s="127"/>
      <c r="L15" s="127"/>
      <c r="M15" s="127"/>
      <c r="N15" s="127"/>
      <c r="O15" s="127"/>
    </row>
    <row r="16" spans="1:45" s="1" customFormat="1" x14ac:dyDescent="0.2">
      <c r="A16" s="129">
        <v>3</v>
      </c>
      <c r="B16" s="143" t="s">
        <v>98</v>
      </c>
      <c r="C16" s="134">
        <v>29</v>
      </c>
      <c r="D16" s="134"/>
      <c r="E16" s="134">
        <f>10*C16</f>
        <v>290</v>
      </c>
      <c r="F16" s="134"/>
      <c r="G16" s="134"/>
      <c r="H16" s="127"/>
      <c r="I16" s="127"/>
      <c r="J16" s="127"/>
      <c r="K16" s="127"/>
      <c r="L16" s="127"/>
      <c r="M16" s="127"/>
      <c r="N16" s="127"/>
      <c r="O16" s="127"/>
    </row>
    <row r="17" spans="1:45" s="1" customFormat="1" x14ac:dyDescent="0.2">
      <c r="A17" s="238" t="s">
        <v>90</v>
      </c>
      <c r="B17" s="238"/>
      <c r="C17" s="237">
        <f>SUM(C14:C16)</f>
        <v>124</v>
      </c>
      <c r="D17" s="144">
        <f t="shared" ref="D17:E17" si="1">SUM(D14:D16)</f>
        <v>348</v>
      </c>
      <c r="E17" s="144">
        <f t="shared" si="1"/>
        <v>586</v>
      </c>
      <c r="F17" s="144"/>
      <c r="G17" s="144"/>
      <c r="H17" s="127"/>
      <c r="I17" s="127"/>
      <c r="J17" s="127"/>
      <c r="K17" s="127"/>
      <c r="L17" s="127"/>
      <c r="M17" s="127"/>
      <c r="N17" s="127"/>
      <c r="O17" s="127"/>
    </row>
    <row r="18" spans="1:45" s="1" customFormat="1" x14ac:dyDescent="0.2">
      <c r="A18" s="238"/>
      <c r="B18" s="238"/>
      <c r="C18" s="237"/>
      <c r="D18" s="239">
        <f>SUM(D17:E17)</f>
        <v>934</v>
      </c>
      <c r="E18" s="239"/>
      <c r="F18" s="239">
        <v>130.57</v>
      </c>
      <c r="G18" s="239"/>
      <c r="H18" s="127"/>
      <c r="I18" s="127"/>
      <c r="J18" s="127"/>
      <c r="K18" s="127"/>
      <c r="L18" s="127"/>
      <c r="M18" s="127"/>
      <c r="N18" s="127"/>
      <c r="O18" s="127"/>
    </row>
    <row r="19" spans="1:45" s="1" customFormat="1" ht="9.75" customHeight="1" x14ac:dyDescent="0.2">
      <c r="A19" s="123"/>
      <c r="B19" s="124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</row>
    <row r="20" spans="1:45" s="1" customFormat="1" ht="15" x14ac:dyDescent="0.2">
      <c r="A20" s="233" t="s">
        <v>114</v>
      </c>
      <c r="B20" s="233"/>
      <c r="C20" s="233"/>
      <c r="D20" s="233"/>
      <c r="E20" s="233"/>
      <c r="F20" s="233"/>
      <c r="G20" s="233"/>
      <c r="H20" s="127"/>
      <c r="I20" s="127"/>
      <c r="J20" s="127"/>
      <c r="K20" s="127"/>
      <c r="L20" s="127"/>
      <c r="M20" s="127"/>
      <c r="N20" s="127"/>
      <c r="O20" s="127"/>
    </row>
    <row r="21" spans="1:45" s="1" customFormat="1" x14ac:dyDescent="0.2">
      <c r="A21" s="234" t="s">
        <v>94</v>
      </c>
      <c r="B21" s="236" t="s">
        <v>95</v>
      </c>
      <c r="C21" s="234" t="s">
        <v>112</v>
      </c>
      <c r="D21" s="234"/>
      <c r="E21" s="234"/>
      <c r="F21" s="235" t="s">
        <v>177</v>
      </c>
      <c r="G21" s="235"/>
      <c r="H21" s="127"/>
      <c r="I21" s="127"/>
      <c r="J21" s="127"/>
      <c r="K21" s="127"/>
      <c r="L21" s="127"/>
      <c r="M21" s="127"/>
      <c r="N21" s="127"/>
      <c r="O21" s="127"/>
    </row>
    <row r="22" spans="1:45" s="1" customFormat="1" x14ac:dyDescent="0.2">
      <c r="A22" s="234"/>
      <c r="B22" s="236"/>
      <c r="C22" s="129" t="s">
        <v>110</v>
      </c>
      <c r="D22" s="129" t="s">
        <v>111</v>
      </c>
      <c r="E22" s="142" t="s">
        <v>113</v>
      </c>
      <c r="F22" s="142" t="s">
        <v>11</v>
      </c>
      <c r="G22" s="142" t="s">
        <v>0</v>
      </c>
      <c r="H22" s="127"/>
      <c r="I22" s="127"/>
      <c r="J22" s="127"/>
      <c r="K22" s="127"/>
      <c r="L22" s="127"/>
      <c r="M22" s="127"/>
      <c r="N22" s="127"/>
      <c r="O22" s="127"/>
    </row>
    <row r="23" spans="1:45" x14ac:dyDescent="0.2">
      <c r="A23" s="249" t="s">
        <v>115</v>
      </c>
      <c r="B23" s="249"/>
      <c r="C23" s="146"/>
      <c r="D23" s="147"/>
      <c r="E23" s="146"/>
      <c r="F23" s="147">
        <v>156.54</v>
      </c>
      <c r="G23" s="147">
        <f>F23*0.1</f>
        <v>15.654</v>
      </c>
      <c r="H23" s="145"/>
      <c r="I23" s="145"/>
      <c r="J23" s="145"/>
      <c r="K23" s="145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x14ac:dyDescent="0.2">
      <c r="A24" s="249" t="s">
        <v>116</v>
      </c>
      <c r="B24" s="249"/>
      <c r="C24" s="146"/>
      <c r="D24" s="146"/>
      <c r="E24" s="146"/>
      <c r="F24" s="147">
        <f>F23-60.75</f>
        <v>95.789999999999992</v>
      </c>
      <c r="G24" s="147">
        <f>F24*0.1</f>
        <v>9.5789999999999988</v>
      </c>
      <c r="H24" s="145"/>
      <c r="I24" s="145"/>
      <c r="J24" s="145"/>
      <c r="K24" s="145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x14ac:dyDescent="0.2">
      <c r="C25" s="145"/>
      <c r="D25" s="145"/>
      <c r="E25" s="145"/>
      <c r="F25" s="145"/>
      <c r="G25" s="145"/>
      <c r="H25" s="145"/>
      <c r="I25" s="145"/>
      <c r="J25" s="145"/>
      <c r="K25" s="14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x14ac:dyDescent="0.2">
      <c r="C26" s="145"/>
      <c r="D26" s="145"/>
      <c r="E26" s="145"/>
      <c r="F26" s="145"/>
      <c r="G26" s="145"/>
      <c r="H26" s="145"/>
      <c r="I26" s="145"/>
      <c r="J26" s="145"/>
      <c r="K26" s="145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ht="15" x14ac:dyDescent="0.2">
      <c r="A27" s="233" t="s">
        <v>127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x14ac:dyDescent="0.2">
      <c r="A28" s="129"/>
      <c r="B28" s="128" t="s">
        <v>95</v>
      </c>
      <c r="C28" s="149" t="s">
        <v>111</v>
      </c>
      <c r="D28" s="149" t="s">
        <v>117</v>
      </c>
      <c r="E28" s="149" t="s">
        <v>118</v>
      </c>
      <c r="F28" s="155" t="s">
        <v>120</v>
      </c>
      <c r="G28" s="149" t="s">
        <v>119</v>
      </c>
      <c r="H28" s="146" t="s">
        <v>121</v>
      </c>
      <c r="I28" s="146" t="s">
        <v>123</v>
      </c>
      <c r="J28" s="146" t="s">
        <v>122</v>
      </c>
      <c r="K28" s="149" t="s">
        <v>124</v>
      </c>
      <c r="L28" s="150" t="s">
        <v>125</v>
      </c>
      <c r="M28" s="157" t="s">
        <v>126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ht="30.75" customHeight="1" x14ac:dyDescent="0.2">
      <c r="A29" s="129"/>
      <c r="B29" s="131" t="s">
        <v>148</v>
      </c>
      <c r="C29" s="152">
        <f>19*2+1</f>
        <v>39</v>
      </c>
      <c r="D29" s="152">
        <v>1.35</v>
      </c>
      <c r="E29" s="152">
        <f>C29*D29</f>
        <v>52.650000000000006</v>
      </c>
      <c r="F29" s="156">
        <v>500</v>
      </c>
      <c r="G29" s="152">
        <f>E29*F29</f>
        <v>26325.000000000004</v>
      </c>
      <c r="H29" s="153">
        <v>2</v>
      </c>
      <c r="I29" s="153">
        <f>G29*H29</f>
        <v>52650.000000000007</v>
      </c>
      <c r="J29" s="153">
        <f>4000*2</f>
        <v>8000</v>
      </c>
      <c r="K29" s="153">
        <f>I29+J29</f>
        <v>60650.000000000007</v>
      </c>
      <c r="L29" s="153">
        <f>K29/D5</f>
        <v>478.46323761438941</v>
      </c>
      <c r="M29" s="154">
        <f>K29/F29/D5</f>
        <v>0.95692647522877883</v>
      </c>
    </row>
    <row r="30" spans="1:45" ht="15" customHeight="1" x14ac:dyDescent="0.2">
      <c r="A30" s="184"/>
      <c r="B30" s="131" t="s">
        <v>147</v>
      </c>
      <c r="C30" s="202">
        <f>C70+K71</f>
        <v>76.605000000000004</v>
      </c>
      <c r="D30" s="152" t="s">
        <v>176</v>
      </c>
      <c r="E30" s="152">
        <f>(K70*2*1.2)/2</f>
        <v>38.539919999999995</v>
      </c>
      <c r="F30" s="156">
        <v>500</v>
      </c>
      <c r="G30" s="152">
        <f>E30*F30</f>
        <v>19269.96</v>
      </c>
      <c r="H30" s="153">
        <v>1</v>
      </c>
      <c r="I30" s="153">
        <f>G30*H30</f>
        <v>19269.96</v>
      </c>
      <c r="J30" s="153">
        <v>8000</v>
      </c>
      <c r="K30" s="153">
        <f>I30+J30</f>
        <v>27269.96</v>
      </c>
      <c r="L30" s="153">
        <f>K30/D6</f>
        <v>2811.3360824742267</v>
      </c>
      <c r="M30" s="154">
        <f>K30/F30/D6</f>
        <v>5.6226721649484537</v>
      </c>
    </row>
    <row r="31" spans="1:45" ht="18.75" customHeight="1" x14ac:dyDescent="0.2">
      <c r="A31" s="173"/>
      <c r="B31" s="175" t="s">
        <v>149</v>
      </c>
      <c r="C31" s="151"/>
      <c r="D31" s="151"/>
      <c r="E31" s="151"/>
      <c r="F31" s="186">
        <v>500</v>
      </c>
      <c r="G31" s="186"/>
      <c r="H31" s="187"/>
      <c r="I31" s="187"/>
      <c r="J31" s="187"/>
      <c r="K31" s="174">
        <f>K29+K30</f>
        <v>87919.96</v>
      </c>
      <c r="L31" s="174">
        <f>K31/D8</f>
        <v>644.29107430748934</v>
      </c>
      <c r="M31" s="188">
        <f>K31/F31/D8</f>
        <v>1.2885821486149787</v>
      </c>
    </row>
    <row r="32" spans="1:45" ht="15" x14ac:dyDescent="0.2">
      <c r="A32" s="233" t="s">
        <v>133</v>
      </c>
      <c r="B32" s="233"/>
      <c r="C32" s="233"/>
      <c r="D32" s="233"/>
      <c r="E32" s="233"/>
      <c r="F32" s="233"/>
      <c r="G32" s="233"/>
    </row>
    <row r="33" spans="1:45" s="159" customFormat="1" ht="42" customHeight="1" x14ac:dyDescent="0.2">
      <c r="A33" s="160" t="s">
        <v>94</v>
      </c>
      <c r="B33" s="160" t="s">
        <v>95</v>
      </c>
      <c r="C33" s="160" t="s">
        <v>150</v>
      </c>
      <c r="D33" s="160" t="s">
        <v>151</v>
      </c>
      <c r="E33" s="160" t="s">
        <v>130</v>
      </c>
      <c r="F33" s="160" t="s">
        <v>129</v>
      </c>
      <c r="G33" s="160" t="s">
        <v>131</v>
      </c>
      <c r="H33" s="161" t="s">
        <v>132</v>
      </c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</row>
    <row r="34" spans="1:45" x14ac:dyDescent="0.2">
      <c r="A34" s="129">
        <v>1</v>
      </c>
      <c r="B34" s="143" t="s">
        <v>128</v>
      </c>
      <c r="C34" s="151">
        <f>12*2</f>
        <v>24</v>
      </c>
      <c r="D34" s="151">
        <f>2*2</f>
        <v>4</v>
      </c>
      <c r="E34" s="151">
        <v>1</v>
      </c>
      <c r="F34" s="151">
        <v>10</v>
      </c>
      <c r="G34" s="151">
        <f>(C34+D34+E34)*F34</f>
        <v>290</v>
      </c>
      <c r="H34" s="162">
        <f>G34/D8</f>
        <v>2.1251648834823391</v>
      </c>
    </row>
    <row r="35" spans="1:45" x14ac:dyDescent="0.2">
      <c r="C35" s="148"/>
      <c r="D35" s="148"/>
      <c r="E35" s="148"/>
      <c r="F35" s="148"/>
      <c r="G35" s="148"/>
    </row>
    <row r="36" spans="1:45" ht="15" x14ac:dyDescent="0.2">
      <c r="B36" s="248"/>
      <c r="C36" s="248"/>
      <c r="D36" s="248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ht="18" customHeight="1" x14ac:dyDescent="0.2">
      <c r="B37" s="248" t="s">
        <v>134</v>
      </c>
      <c r="C37" s="248"/>
      <c r="D37" s="248"/>
      <c r="E37" s="248"/>
      <c r="F37" s="248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ht="25.5" customHeight="1" x14ac:dyDescent="0.2">
      <c r="A38" s="129" t="s">
        <v>94</v>
      </c>
      <c r="B38" s="128" t="s">
        <v>95</v>
      </c>
      <c r="C38" s="128" t="s">
        <v>135</v>
      </c>
      <c r="D38" s="128" t="s">
        <v>136</v>
      </c>
      <c r="E38" s="129" t="s">
        <v>137</v>
      </c>
      <c r="F38" s="129" t="s">
        <v>138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x14ac:dyDescent="0.2">
      <c r="A39" s="129">
        <v>1</v>
      </c>
      <c r="B39" s="169" t="s">
        <v>31</v>
      </c>
      <c r="C39" s="170" t="s">
        <v>0</v>
      </c>
      <c r="D39" s="171">
        <v>1</v>
      </c>
      <c r="E39" s="134">
        <f>D39/D8</f>
        <v>7.3281547706287552E-3</v>
      </c>
      <c r="F39" s="150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x14ac:dyDescent="0.2">
      <c r="A40" s="129">
        <v>2</v>
      </c>
      <c r="B40" s="169" t="s">
        <v>56</v>
      </c>
      <c r="C40" s="170" t="s">
        <v>4</v>
      </c>
      <c r="D40" s="171">
        <v>1000</v>
      </c>
      <c r="E40" s="134">
        <f>D40/D8</f>
        <v>7.3281547706287551</v>
      </c>
      <c r="F40" s="15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x14ac:dyDescent="0.2">
      <c r="A41" s="129">
        <v>3</v>
      </c>
      <c r="B41" s="169" t="s">
        <v>17</v>
      </c>
      <c r="C41" s="170" t="s">
        <v>5</v>
      </c>
      <c r="D41" s="171">
        <f>0.2*F23</f>
        <v>31.308</v>
      </c>
      <c r="E41" s="134">
        <f>D41/D8</f>
        <v>0.22942986955884506</v>
      </c>
      <c r="F41" s="150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x14ac:dyDescent="0.2">
      <c r="A42" s="129">
        <v>4</v>
      </c>
      <c r="B42" s="169" t="s">
        <v>18</v>
      </c>
      <c r="C42" s="170" t="s">
        <v>6</v>
      </c>
      <c r="D42" s="171">
        <f>0.004*N8</f>
        <v>96.426960000000022</v>
      </c>
      <c r="E42" s="134">
        <f>D42/D8</f>
        <v>0.70663168694122835</v>
      </c>
      <c r="F42" s="150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x14ac:dyDescent="0.2">
      <c r="A43" s="129">
        <v>5</v>
      </c>
      <c r="B43" s="169" t="s">
        <v>19</v>
      </c>
      <c r="C43" s="170" t="s">
        <v>4</v>
      </c>
      <c r="D43" s="171">
        <f>18*D23</f>
        <v>0</v>
      </c>
      <c r="E43" s="134">
        <f>D43/D8</f>
        <v>0</v>
      </c>
      <c r="F43" s="150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x14ac:dyDescent="0.2">
      <c r="A44" s="129">
        <v>6</v>
      </c>
      <c r="B44" s="169" t="s">
        <v>20</v>
      </c>
      <c r="C44" s="170" t="s">
        <v>6</v>
      </c>
      <c r="D44" s="171">
        <f>0.0015*N8</f>
        <v>36.16011000000001</v>
      </c>
      <c r="E44" s="134">
        <f>D44/D8</f>
        <v>0.26498688260296066</v>
      </c>
      <c r="F44" s="150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x14ac:dyDescent="0.2">
      <c r="A45" s="129">
        <v>7</v>
      </c>
      <c r="B45" s="169" t="s">
        <v>21</v>
      </c>
      <c r="C45" s="170" t="s">
        <v>10</v>
      </c>
      <c r="D45" s="171">
        <f>(1.61*1)*2*10</f>
        <v>32.200000000000003</v>
      </c>
      <c r="E45" s="134">
        <f>D45/D8</f>
        <v>0.23596658361424594</v>
      </c>
      <c r="F45" s="150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x14ac:dyDescent="0.2">
      <c r="A46" s="129">
        <v>8</v>
      </c>
      <c r="B46" s="169" t="s">
        <v>62</v>
      </c>
      <c r="C46" s="170" t="s">
        <v>63</v>
      </c>
      <c r="D46" s="171">
        <f>1*126</f>
        <v>126</v>
      </c>
      <c r="E46" s="134">
        <f>D46/D8</f>
        <v>0.92334750109922314</v>
      </c>
      <c r="F46" s="150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x14ac:dyDescent="0.2">
      <c r="A47" s="129">
        <v>9</v>
      </c>
      <c r="B47" s="169" t="s">
        <v>61</v>
      </c>
      <c r="C47" s="170" t="s">
        <v>6</v>
      </c>
      <c r="D47" s="171">
        <f>(1.61*1)*12*2*0</f>
        <v>0</v>
      </c>
      <c r="E47" s="134">
        <f>D47/D8</f>
        <v>0</v>
      </c>
      <c r="F47" s="150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x14ac:dyDescent="0.2">
      <c r="A48" s="129">
        <v>10</v>
      </c>
      <c r="B48" s="169" t="s">
        <v>70</v>
      </c>
      <c r="C48" s="170" t="s">
        <v>63</v>
      </c>
      <c r="D48" s="171">
        <v>152.32</v>
      </c>
      <c r="E48" s="134">
        <f>D48/D8</f>
        <v>1.116224534662172</v>
      </c>
      <c r="F48" s="150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50" spans="1:45" ht="21" customHeight="1" x14ac:dyDescent="0.2">
      <c r="A50" s="241" t="s">
        <v>153</v>
      </c>
      <c r="B50" s="241"/>
      <c r="C50" s="241"/>
      <c r="D50" s="241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x14ac:dyDescent="0.2">
      <c r="A51" s="180"/>
      <c r="B51" s="143"/>
      <c r="C51" s="150"/>
      <c r="D51" s="183">
        <v>260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3" spans="1:45" x14ac:dyDescent="0.2">
      <c r="A53" s="180"/>
      <c r="B53" s="182" t="s">
        <v>169</v>
      </c>
      <c r="C53" s="180" t="s">
        <v>110</v>
      </c>
      <c r="D53" s="180" t="s">
        <v>155</v>
      </c>
      <c r="E53" s="179" t="s">
        <v>154</v>
      </c>
      <c r="F53" s="180" t="s">
        <v>156</v>
      </c>
      <c r="G53" s="180" t="s">
        <v>157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x14ac:dyDescent="0.2">
      <c r="A54" s="180">
        <v>1</v>
      </c>
      <c r="B54" s="143" t="s">
        <v>106</v>
      </c>
      <c r="C54" s="146">
        <f>0.92</f>
        <v>0.92</v>
      </c>
      <c r="D54" s="146">
        <v>48.33</v>
      </c>
      <c r="E54" s="134">
        <v>0.6</v>
      </c>
      <c r="F54" s="134">
        <f>D54*E54</f>
        <v>28.997999999999998</v>
      </c>
      <c r="G54" s="134">
        <f>(C54-0.25)*D54</f>
        <v>32.381100000000004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x14ac:dyDescent="0.2">
      <c r="A55" s="180">
        <v>2</v>
      </c>
      <c r="B55" s="143" t="s">
        <v>107</v>
      </c>
      <c r="C55" s="146">
        <f>1.02</f>
        <v>1.02</v>
      </c>
      <c r="D55" s="146">
        <v>26.715</v>
      </c>
      <c r="E55" s="134">
        <v>1</v>
      </c>
      <c r="F55" s="134">
        <f t="shared" ref="F55:F57" si="2">D55*E55</f>
        <v>26.715</v>
      </c>
      <c r="G55" s="134">
        <f>(C55-0.25)*D55</f>
        <v>20.570550000000001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x14ac:dyDescent="0.2">
      <c r="A56" s="180">
        <v>3</v>
      </c>
      <c r="B56" s="143" t="s">
        <v>108</v>
      </c>
      <c r="C56" s="146">
        <f>1.32</f>
        <v>1.32</v>
      </c>
      <c r="D56" s="146">
        <v>33.020000000000003</v>
      </c>
      <c r="E56" s="134">
        <v>1</v>
      </c>
      <c r="F56" s="134">
        <f t="shared" si="2"/>
        <v>33.020000000000003</v>
      </c>
      <c r="G56" s="134">
        <f t="shared" ref="G56:G57" si="3">(C56-0.25)*D56</f>
        <v>35.331400000000002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x14ac:dyDescent="0.2">
      <c r="A57" s="180">
        <v>4</v>
      </c>
      <c r="B57" s="143" t="s">
        <v>109</v>
      </c>
      <c r="C57" s="146">
        <f>1.61</f>
        <v>1.61</v>
      </c>
      <c r="D57" s="146">
        <v>9.9700000000000006</v>
      </c>
      <c r="E57" s="134">
        <v>1</v>
      </c>
      <c r="F57" s="134">
        <f t="shared" si="2"/>
        <v>9.9700000000000006</v>
      </c>
      <c r="G57" s="134">
        <f t="shared" si="3"/>
        <v>13.559200000000002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x14ac:dyDescent="0.2">
      <c r="A58" s="180"/>
      <c r="B58" s="191" t="s">
        <v>158</v>
      </c>
      <c r="C58" s="150"/>
      <c r="D58" s="192">
        <f>SUM(D54:D57)</f>
        <v>118.035</v>
      </c>
      <c r="E58" s="150"/>
      <c r="F58" s="198">
        <f>SUM(F54:F57)</f>
        <v>98.703000000000003</v>
      </c>
      <c r="G58" s="198">
        <f>SUM(G54:G57)</f>
        <v>101.84225000000001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x14ac:dyDescent="0.2">
      <c r="B59" s="195" t="s">
        <v>152</v>
      </c>
      <c r="C59" s="180" t="s">
        <v>110</v>
      </c>
      <c r="D59" s="179" t="s">
        <v>154</v>
      </c>
      <c r="E59" s="123" t="s">
        <v>168</v>
      </c>
      <c r="F59" s="182" t="s">
        <v>170</v>
      </c>
      <c r="G59" s="182" t="s">
        <v>171</v>
      </c>
      <c r="H59" s="182" t="s">
        <v>172</v>
      </c>
      <c r="I59" s="182" t="s">
        <v>173</v>
      </c>
      <c r="J59" s="182" t="s">
        <v>174</v>
      </c>
      <c r="K59" s="195"/>
    </row>
    <row r="60" spans="1:45" x14ac:dyDescent="0.2">
      <c r="B60" s="131" t="s">
        <v>165</v>
      </c>
      <c r="C60" s="152">
        <f>4+4</f>
        <v>8</v>
      </c>
      <c r="D60" s="152">
        <v>0.2</v>
      </c>
      <c r="E60" s="197">
        <f>C60*D60</f>
        <v>1.6</v>
      </c>
      <c r="F60" s="153">
        <f>1.1*2*0.2</f>
        <v>0.44000000000000006</v>
      </c>
      <c r="G60" s="153"/>
      <c r="H60" s="153"/>
      <c r="I60" s="153"/>
      <c r="J60" s="153"/>
      <c r="K60" s="189"/>
    </row>
    <row r="61" spans="1:45" x14ac:dyDescent="0.2">
      <c r="B61" s="131" t="s">
        <v>166</v>
      </c>
      <c r="C61" s="152">
        <f>3.9+3.55</f>
        <v>7.4499999999999993</v>
      </c>
      <c r="D61" s="152">
        <v>0.25</v>
      </c>
      <c r="E61" s="197">
        <f t="shared" ref="E61:E69" si="4">C61*D61</f>
        <v>1.8624999999999998</v>
      </c>
      <c r="F61" s="153">
        <f>1.1*2*0.25</f>
        <v>0.55000000000000004</v>
      </c>
      <c r="G61" s="153"/>
      <c r="H61" s="153"/>
      <c r="I61" s="153"/>
      <c r="J61" s="153"/>
      <c r="K61" s="189"/>
    </row>
    <row r="62" spans="1:45" x14ac:dyDescent="0.2">
      <c r="B62" s="131" t="s">
        <v>141</v>
      </c>
      <c r="C62" s="152">
        <f>3.47</f>
        <v>3.47</v>
      </c>
      <c r="D62" s="152">
        <v>0.85</v>
      </c>
      <c r="E62" s="197">
        <f t="shared" si="4"/>
        <v>2.9495</v>
      </c>
      <c r="F62" s="153">
        <f>1.1*2*0.85</f>
        <v>1.87</v>
      </c>
      <c r="G62" s="153"/>
      <c r="H62" s="153"/>
      <c r="I62" s="153"/>
      <c r="J62" s="153"/>
      <c r="K62" s="189"/>
    </row>
    <row r="63" spans="1:45" x14ac:dyDescent="0.2">
      <c r="B63" s="131" t="s">
        <v>142</v>
      </c>
      <c r="C63" s="152">
        <f>3.105+3.35+3.35+1.35+2+3.35+0.245+2.42</f>
        <v>19.170000000000002</v>
      </c>
      <c r="D63" s="152">
        <v>0.5</v>
      </c>
      <c r="E63" s="197">
        <f t="shared" si="4"/>
        <v>9.5850000000000009</v>
      </c>
      <c r="F63" s="153"/>
      <c r="G63" s="153">
        <f>1.48*1*0.5</f>
        <v>0.74</v>
      </c>
      <c r="H63" s="153">
        <f>0.65*5*0.5</f>
        <v>1.625</v>
      </c>
      <c r="I63" s="153">
        <f>1.08*1*0.5</f>
        <v>0.54</v>
      </c>
      <c r="J63" s="153"/>
      <c r="K63" s="189"/>
    </row>
    <row r="64" spans="1:45" x14ac:dyDescent="0.2">
      <c r="B64" s="131" t="s">
        <v>175</v>
      </c>
      <c r="C64" s="152">
        <f>1.755+1.35+1.35+3.86</f>
        <v>8.3149999999999995</v>
      </c>
      <c r="D64" s="152">
        <v>0.1</v>
      </c>
      <c r="E64" s="197">
        <f t="shared" si="4"/>
        <v>0.83150000000000002</v>
      </c>
      <c r="F64" s="153"/>
      <c r="G64" s="153"/>
      <c r="H64" s="153"/>
      <c r="I64" s="153"/>
      <c r="J64" s="153"/>
      <c r="K64" s="189"/>
    </row>
    <row r="65" spans="2:11" x14ac:dyDescent="0.2">
      <c r="B65" s="131" t="s">
        <v>143</v>
      </c>
      <c r="C65" s="152">
        <f>1.615</f>
        <v>1.615</v>
      </c>
      <c r="D65" s="152">
        <v>0.73</v>
      </c>
      <c r="E65" s="197">
        <f t="shared" si="4"/>
        <v>1.1789499999999999</v>
      </c>
      <c r="F65" s="153"/>
      <c r="G65" s="153"/>
      <c r="H65" s="153"/>
      <c r="I65" s="153"/>
      <c r="J65" s="153"/>
      <c r="K65" s="189"/>
    </row>
    <row r="66" spans="2:11" x14ac:dyDescent="0.2">
      <c r="B66" s="131" t="s">
        <v>144</v>
      </c>
      <c r="C66" s="152">
        <f>4.495</f>
        <v>4.4950000000000001</v>
      </c>
      <c r="D66" s="152">
        <v>0.23</v>
      </c>
      <c r="E66" s="197">
        <f t="shared" si="4"/>
        <v>1.0338500000000002</v>
      </c>
      <c r="F66" s="153"/>
      <c r="G66" s="153"/>
      <c r="H66" s="153"/>
      <c r="I66" s="153"/>
      <c r="J66" s="153"/>
      <c r="K66" s="189"/>
    </row>
    <row r="67" spans="2:11" x14ac:dyDescent="0.2">
      <c r="B67" s="131" t="s">
        <v>167</v>
      </c>
      <c r="C67" s="152">
        <f>0.79+1.35+0.39+0.22</f>
        <v>2.7500000000000004</v>
      </c>
      <c r="D67" s="152">
        <v>0.35</v>
      </c>
      <c r="E67" s="197">
        <f t="shared" si="4"/>
        <v>0.96250000000000013</v>
      </c>
      <c r="F67" s="153"/>
      <c r="G67" s="153"/>
      <c r="H67" s="153"/>
      <c r="I67" s="153"/>
      <c r="J67" s="153">
        <f>1.168*1*0.35</f>
        <v>0.40879999999999994</v>
      </c>
      <c r="K67" s="189"/>
    </row>
    <row r="68" spans="2:11" x14ac:dyDescent="0.2">
      <c r="B68" s="131" t="s">
        <v>145</v>
      </c>
      <c r="C68" s="152">
        <v>1.77</v>
      </c>
      <c r="D68" s="152">
        <v>0.7</v>
      </c>
      <c r="E68" s="197">
        <f t="shared" si="4"/>
        <v>1.2389999999999999</v>
      </c>
      <c r="F68" s="153"/>
      <c r="G68" s="153"/>
      <c r="H68" s="153"/>
      <c r="I68" s="153"/>
      <c r="J68" s="153"/>
      <c r="K68" s="189"/>
    </row>
    <row r="69" spans="2:11" x14ac:dyDescent="0.2">
      <c r="B69" s="199" t="s">
        <v>146</v>
      </c>
      <c r="C69" s="196">
        <v>2.5</v>
      </c>
      <c r="D69" s="196">
        <v>1</v>
      </c>
      <c r="E69" s="201">
        <f t="shared" si="4"/>
        <v>2.5</v>
      </c>
      <c r="F69" s="153">
        <f>1.1*2*1</f>
        <v>2.2000000000000002</v>
      </c>
      <c r="G69" s="153"/>
      <c r="H69" s="153"/>
      <c r="I69" s="153"/>
      <c r="J69" s="153"/>
      <c r="K69" s="189"/>
    </row>
    <row r="70" spans="2:11" x14ac:dyDescent="0.2">
      <c r="B70" s="182"/>
      <c r="C70" s="183">
        <f>SUM(C60:C69)</f>
        <v>59.535000000000004</v>
      </c>
      <c r="D70" s="180"/>
      <c r="E70" s="183">
        <f t="shared" ref="E70:J70" si="5">SUM(E60:E69)</f>
        <v>23.742799999999999</v>
      </c>
      <c r="F70" s="183">
        <f t="shared" si="5"/>
        <v>5.0600000000000005</v>
      </c>
      <c r="G70" s="183">
        <f t="shared" si="5"/>
        <v>0.74</v>
      </c>
      <c r="H70" s="183">
        <f t="shared" si="5"/>
        <v>1.625</v>
      </c>
      <c r="I70" s="183">
        <f t="shared" si="5"/>
        <v>0.54</v>
      </c>
      <c r="J70" s="183">
        <f t="shared" si="5"/>
        <v>0.40879999999999994</v>
      </c>
      <c r="K70" s="190">
        <f>SUM(E70:J70)</f>
        <v>32.116599999999998</v>
      </c>
    </row>
    <row r="71" spans="2:11" x14ac:dyDescent="0.2">
      <c r="B71" s="200"/>
      <c r="C71" s="2"/>
      <c r="D71" s="2"/>
      <c r="F71" s="189">
        <f>8*1.1</f>
        <v>8.8000000000000007</v>
      </c>
      <c r="G71" s="189">
        <f>1*1.48</f>
        <v>1.48</v>
      </c>
      <c r="H71" s="189">
        <f>7*0.65</f>
        <v>4.55</v>
      </c>
      <c r="I71" s="189">
        <f>1*1.08</f>
        <v>1.08</v>
      </c>
      <c r="J71" s="189">
        <f>1*1.16</f>
        <v>1.1599999999999999</v>
      </c>
      <c r="K71" s="189">
        <f>SUM(F71:J71)</f>
        <v>17.07</v>
      </c>
    </row>
    <row r="72" spans="2:11" x14ac:dyDescent="0.2">
      <c r="B72" s="200"/>
      <c r="C72" s="2"/>
      <c r="D72" s="2"/>
    </row>
    <row r="73" spans="2:11" x14ac:dyDescent="0.2">
      <c r="B73" s="200"/>
      <c r="C73" s="2"/>
      <c r="D73" s="2"/>
    </row>
    <row r="74" spans="2:11" x14ac:dyDescent="0.2">
      <c r="B74" s="200"/>
      <c r="C74" s="2"/>
      <c r="D74" s="2"/>
    </row>
    <row r="75" spans="2:11" x14ac:dyDescent="0.2">
      <c r="B75" s="200"/>
      <c r="C75" s="2"/>
      <c r="D75" s="2"/>
    </row>
  </sheetData>
  <mergeCells count="30">
    <mergeCell ref="A50:D50"/>
    <mergeCell ref="A8:B8"/>
    <mergeCell ref="E2:N2"/>
    <mergeCell ref="D2:D4"/>
    <mergeCell ref="C2:C4"/>
    <mergeCell ref="F3:M3"/>
    <mergeCell ref="N3:N4"/>
    <mergeCell ref="A10:G10"/>
    <mergeCell ref="B36:D36"/>
    <mergeCell ref="B37:F37"/>
    <mergeCell ref="A23:B23"/>
    <mergeCell ref="A24:B24"/>
    <mergeCell ref="A27:M27"/>
    <mergeCell ref="A32:G32"/>
    <mergeCell ref="A1:N1"/>
    <mergeCell ref="C21:E21"/>
    <mergeCell ref="F21:G21"/>
    <mergeCell ref="B21:B22"/>
    <mergeCell ref="A21:A22"/>
    <mergeCell ref="A11:A13"/>
    <mergeCell ref="C17:C18"/>
    <mergeCell ref="A17:B18"/>
    <mergeCell ref="D18:E18"/>
    <mergeCell ref="F18:G18"/>
    <mergeCell ref="F11:G11"/>
    <mergeCell ref="C11:C12"/>
    <mergeCell ref="B11:B13"/>
    <mergeCell ref="B2:B4"/>
    <mergeCell ref="A2:A4"/>
    <mergeCell ref="A20:G20"/>
  </mergeCell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Гідроизоляція</vt:lpstr>
      <vt:lpstr>ростверк</vt:lpstr>
      <vt:lpstr>підготовка</vt:lpstr>
      <vt:lpstr>зведена</vt:lpstr>
      <vt:lpstr>объемы</vt:lpstr>
      <vt:lpstr>Гідроизоляція!Область_печати</vt:lpstr>
      <vt:lpstr>зведена!Область_печати</vt:lpstr>
      <vt:lpstr>підготовка!Область_печати</vt:lpstr>
      <vt:lpstr>ростверк!Область_печати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v.kisel</dc:creator>
  <cp:lastModifiedBy>Vadim</cp:lastModifiedBy>
  <cp:lastPrinted>2022-07-22T14:01:06Z</cp:lastPrinted>
  <dcterms:created xsi:type="dcterms:W3CDTF">2015-08-04T08:04:50Z</dcterms:created>
  <dcterms:modified xsi:type="dcterms:W3CDTF">2022-08-26T16:38:16Z</dcterms:modified>
</cp:coreProperties>
</file>