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Алена Asty\Ривьера\Тендери\2 Покрівля\"/>
    </mc:Choice>
  </mc:AlternateContent>
  <xr:revisionPtr revIDLastSave="0" documentId="13_ncr:1_{57370BC0-0186-4496-9952-56F7379F3367}" xr6:coauthVersionLast="37" xr6:coauthVersionMax="37" xr10:uidLastSave="{00000000-0000-0000-0000-000000000000}"/>
  <bookViews>
    <workbookView xWindow="0" yWindow="0" windowWidth="23040" windowHeight="9684" xr2:uid="{4BC88567-0F93-4DEC-B9EE-8EFCB0F89397}"/>
  </bookViews>
  <sheets>
    <sheet name="ДЦ" sheetId="2" r:id="rId1"/>
  </sheets>
  <externalReferences>
    <externalReference r:id="rId2"/>
    <externalReference r:id="rId3"/>
  </externalReferences>
  <definedNames>
    <definedName name="_xlnm._FilterDatabase" localSheetId="0" hidden="1">ДЦ!$A$7:$AKW$172</definedName>
    <definedName name="_xlnm.Print_Area" localSheetId="0">ДЦ!$A$1:$I$222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2" l="1"/>
  <c r="D143" i="2" s="1"/>
  <c r="D144" i="2" s="1"/>
  <c r="D139" i="2"/>
  <c r="D125" i="2"/>
  <c r="D128" i="2" s="1"/>
  <c r="D130" i="2" s="1"/>
  <c r="D124" i="2"/>
  <c r="D97" i="2"/>
  <c r="D73" i="2"/>
  <c r="D75" i="2" s="1"/>
  <c r="D49" i="2"/>
  <c r="D76" i="2" s="1"/>
  <c r="D171" i="2"/>
  <c r="D152" i="2"/>
  <c r="D161" i="2" s="1"/>
  <c r="D146" i="2"/>
  <c r="D141" i="2"/>
  <c r="D129" i="2"/>
  <c r="D117" i="2"/>
  <c r="D119" i="2" s="1"/>
  <c r="D115" i="2"/>
  <c r="D116" i="2" s="1"/>
  <c r="D94" i="2"/>
  <c r="D84" i="2"/>
  <c r="D56" i="2"/>
  <c r="D59" i="2" s="1"/>
  <c r="D34" i="2"/>
  <c r="D43" i="2" s="1"/>
  <c r="D27" i="2"/>
  <c r="D28" i="2" s="1"/>
  <c r="D19" i="2"/>
  <c r="D21" i="2" s="1"/>
  <c r="D15" i="2"/>
  <c r="D147" i="2" l="1"/>
  <c r="D148" i="2" s="1"/>
  <c r="D153" i="2"/>
  <c r="D155" i="2"/>
  <c r="D158" i="2" s="1"/>
  <c r="D120" i="2"/>
  <c r="D121" i="2" s="1"/>
  <c r="D100" i="2"/>
  <c r="D154" i="2"/>
  <c r="D35" i="2"/>
  <c r="D36" i="2"/>
  <c r="D80" i="2"/>
  <c r="D86" i="2" s="1"/>
  <c r="D88" i="2" s="1"/>
  <c r="D104" i="2"/>
  <c r="D105" i="2" s="1"/>
  <c r="D159" i="2"/>
  <c r="D160" i="2" s="1"/>
  <c r="D71" i="2"/>
  <c r="D72" i="2" s="1"/>
  <c r="D37" i="2"/>
  <c r="D40" i="2" s="1"/>
  <c r="D110" i="2"/>
  <c r="D111" i="2" s="1"/>
  <c r="D112" i="2" s="1"/>
  <c r="D113" i="2" s="1"/>
  <c r="D63" i="2"/>
  <c r="D65" i="2" s="1"/>
  <c r="D41" i="2"/>
  <c r="D42" i="2" s="1"/>
  <c r="D46" i="2"/>
  <c r="D45" i="2"/>
  <c r="D44" i="2"/>
  <c r="D78" i="2"/>
  <c r="D79" i="2"/>
  <c r="D77" i="2"/>
  <c r="D164" i="2"/>
  <c r="D163" i="2"/>
  <c r="D162" i="2"/>
  <c r="D106" i="2"/>
  <c r="D16" i="2"/>
  <c r="D98" i="2"/>
  <c r="D107" i="2"/>
  <c r="D123" i="2"/>
  <c r="D131" i="2"/>
  <c r="D133" i="2" s="1"/>
  <c r="D142" i="2"/>
  <c r="D134" i="2"/>
  <c r="D10" i="2"/>
  <c r="D118" i="2"/>
  <c r="D126" i="2"/>
  <c r="D127" i="2" s="1"/>
  <c r="D20" i="2"/>
  <c r="D57" i="2"/>
  <c r="D13" i="2"/>
  <c r="D29" i="2"/>
  <c r="D58" i="2"/>
  <c r="D66" i="2"/>
  <c r="D67" i="2" s="1"/>
  <c r="D68" i="2" s="1"/>
  <c r="D74" i="2"/>
  <c r="D157" i="2"/>
  <c r="D14" i="2"/>
  <c r="D22" i="2"/>
  <c r="D23" i="2" s="1"/>
  <c r="D24" i="2" s="1"/>
  <c r="D50" i="2"/>
  <c r="D149" i="2"/>
  <c r="D150" i="2" s="1"/>
  <c r="D52" i="2"/>
  <c r="D60" i="2"/>
  <c r="D122" i="2" l="1"/>
  <c r="D38" i="2"/>
  <c r="D156" i="2"/>
  <c r="D64" i="2"/>
  <c r="D102" i="2"/>
  <c r="D103" i="2"/>
  <c r="D101" i="2"/>
  <c r="D114" i="2"/>
  <c r="D81" i="2"/>
  <c r="D82" i="2" s="1"/>
  <c r="D83" i="2"/>
  <c r="D85" i="2" s="1"/>
  <c r="D89" i="2"/>
  <c r="D91" i="2" s="1"/>
  <c r="D136" i="2"/>
  <c r="D135" i="2"/>
  <c r="D70" i="2"/>
  <c r="D69" i="2"/>
  <c r="D108" i="2"/>
  <c r="D109" i="2"/>
  <c r="D25" i="2"/>
  <c r="D26" i="2"/>
  <c r="D17" i="2"/>
  <c r="D18" i="2"/>
  <c r="D62" i="2"/>
  <c r="D61" i="2"/>
  <c r="D54" i="2"/>
  <c r="D55" i="2"/>
  <c r="D53" i="2"/>
  <c r="D31" i="2"/>
  <c r="D30" i="2"/>
  <c r="D32" i="2"/>
  <c r="D90" i="2" l="1"/>
  <c r="D215" i="2" l="1"/>
  <c r="H217" i="2" s="1"/>
  <c r="I217" i="2" s="1"/>
  <c r="E216" i="2"/>
  <c r="A216" i="2"/>
  <c r="E215" i="2"/>
  <c r="A215" i="2"/>
  <c r="G214" i="2"/>
  <c r="D212" i="2"/>
  <c r="D213" i="2" s="1"/>
  <c r="F215" i="2" s="1"/>
  <c r="I215" i="2" s="1"/>
  <c r="F213" i="2"/>
  <c r="H172" i="2"/>
  <c r="I172" i="2" s="1"/>
  <c r="F171" i="2"/>
  <c r="I171" i="2" s="1"/>
  <c r="A171" i="2"/>
  <c r="H170" i="2"/>
  <c r="I170" i="2" s="1"/>
  <c r="F169" i="2"/>
  <c r="I169" i="2" s="1"/>
  <c r="A169" i="2"/>
  <c r="F168" i="2"/>
  <c r="I168" i="2" s="1"/>
  <c r="A168" i="2"/>
  <c r="H167" i="2"/>
  <c r="I167" i="2" s="1"/>
  <c r="H166" i="2"/>
  <c r="F166" i="2"/>
  <c r="F165" i="2"/>
  <c r="I165" i="2" s="1"/>
  <c r="A165" i="2"/>
  <c r="A164" i="2"/>
  <c r="A162" i="2"/>
  <c r="A160" i="2"/>
  <c r="A158" i="2"/>
  <c r="F157" i="2"/>
  <c r="I157" i="2" s="1"/>
  <c r="A157" i="2"/>
  <c r="F154" i="2"/>
  <c r="I154" i="2" s="1"/>
  <c r="A154" i="2"/>
  <c r="A153" i="2"/>
  <c r="H151" i="2"/>
  <c r="F151" i="2"/>
  <c r="F150" i="2"/>
  <c r="I150" i="2" s="1"/>
  <c r="A150" i="2"/>
  <c r="H149" i="2"/>
  <c r="I149" i="2" s="1"/>
  <c r="F148" i="2"/>
  <c r="I148" i="2" s="1"/>
  <c r="A148" i="2"/>
  <c r="H147" i="2"/>
  <c r="I147" i="2" s="1"/>
  <c r="F146" i="2"/>
  <c r="I146" i="2" s="1"/>
  <c r="A146" i="2"/>
  <c r="H145" i="2"/>
  <c r="I145" i="2" s="1"/>
  <c r="A144" i="2"/>
  <c r="F144" i="2"/>
  <c r="I144" i="2" s="1"/>
  <c r="F142" i="2"/>
  <c r="I142" i="2" s="1"/>
  <c r="A142" i="2"/>
  <c r="F141" i="2"/>
  <c r="I141" i="2" s="1"/>
  <c r="A141" i="2"/>
  <c r="H140" i="2"/>
  <c r="F140" i="2"/>
  <c r="F138" i="2"/>
  <c r="I138" i="2" s="1"/>
  <c r="A138" i="2"/>
  <c r="F137" i="2"/>
  <c r="I137" i="2" s="1"/>
  <c r="A137" i="2"/>
  <c r="A136" i="2"/>
  <c r="A135" i="2"/>
  <c r="A133" i="2"/>
  <c r="F132" i="2"/>
  <c r="I132" i="2" s="1"/>
  <c r="A132" i="2"/>
  <c r="A130" i="2"/>
  <c r="F129" i="2"/>
  <c r="I129" i="2" s="1"/>
  <c r="A129" i="2"/>
  <c r="F130" i="2"/>
  <c r="I130" i="2" s="1"/>
  <c r="A127" i="2"/>
  <c r="F126" i="2"/>
  <c r="I126" i="2" s="1"/>
  <c r="A126" i="2"/>
  <c r="A123" i="2"/>
  <c r="A122" i="2"/>
  <c r="A121" i="2"/>
  <c r="F119" i="2"/>
  <c r="I119" i="2" s="1"/>
  <c r="A119" i="2"/>
  <c r="A118" i="2"/>
  <c r="F118" i="2"/>
  <c r="I118" i="2" s="1"/>
  <c r="A116" i="2"/>
  <c r="A111" i="2"/>
  <c r="A109" i="2"/>
  <c r="A108" i="2"/>
  <c r="A106" i="2"/>
  <c r="A105" i="2"/>
  <c r="F105" i="2"/>
  <c r="I105" i="2" s="1"/>
  <c r="A103" i="2"/>
  <c r="A102" i="2"/>
  <c r="F99" i="2"/>
  <c r="I99" i="2" s="1"/>
  <c r="A99" i="2"/>
  <c r="A98" i="2"/>
  <c r="H96" i="2"/>
  <c r="F96" i="2"/>
  <c r="A95" i="2"/>
  <c r="H94" i="2"/>
  <c r="I94" i="2" s="1"/>
  <c r="F93" i="2"/>
  <c r="I93" i="2" s="1"/>
  <c r="A93" i="2"/>
  <c r="F92" i="2"/>
  <c r="I92" i="2" s="1"/>
  <c r="A92" i="2"/>
  <c r="A91" i="2"/>
  <c r="A90" i="2"/>
  <c r="A88" i="2"/>
  <c r="F87" i="2"/>
  <c r="I87" i="2" s="1"/>
  <c r="A87" i="2"/>
  <c r="A85" i="2"/>
  <c r="F84" i="2"/>
  <c r="I84" i="2" s="1"/>
  <c r="A84" i="2"/>
  <c r="A82" i="2"/>
  <c r="A81" i="2"/>
  <c r="A79" i="2"/>
  <c r="A78" i="2"/>
  <c r="A77" i="2"/>
  <c r="A75" i="2"/>
  <c r="F74" i="2"/>
  <c r="I74" i="2" s="1"/>
  <c r="A74" i="2"/>
  <c r="A72" i="2"/>
  <c r="H159" i="2"/>
  <c r="I159" i="2" s="1"/>
  <c r="A67" i="2"/>
  <c r="A65" i="2"/>
  <c r="A64" i="2"/>
  <c r="A62" i="2"/>
  <c r="A61" i="2"/>
  <c r="A59" i="2"/>
  <c r="F58" i="2"/>
  <c r="I58" i="2" s="1"/>
  <c r="A58" i="2"/>
  <c r="F57" i="2"/>
  <c r="I57" i="2" s="1"/>
  <c r="A55" i="2"/>
  <c r="A54" i="2"/>
  <c r="F51" i="2"/>
  <c r="I51" i="2" s="1"/>
  <c r="A51" i="2"/>
  <c r="A50" i="2"/>
  <c r="H48" i="2"/>
  <c r="F48" i="2"/>
  <c r="F47" i="2"/>
  <c r="I47" i="2" s="1"/>
  <c r="A47" i="2"/>
  <c r="A46" i="2"/>
  <c r="F45" i="2"/>
  <c r="I45" i="2" s="1"/>
  <c r="A44" i="2"/>
  <c r="A42" i="2"/>
  <c r="A40" i="2"/>
  <c r="F39" i="2"/>
  <c r="I39" i="2" s="1"/>
  <c r="A39" i="2"/>
  <c r="A36" i="2"/>
  <c r="F35" i="2"/>
  <c r="I35" i="2" s="1"/>
  <c r="A35" i="2"/>
  <c r="H33" i="2"/>
  <c r="F33" i="2"/>
  <c r="A32" i="2"/>
  <c r="A31" i="2"/>
  <c r="A30" i="2"/>
  <c r="A28" i="2"/>
  <c r="A41" i="2"/>
  <c r="A23" i="2"/>
  <c r="H22" i="2"/>
  <c r="I22" i="2" s="1"/>
  <c r="A21" i="2"/>
  <c r="A20" i="2"/>
  <c r="A18" i="2"/>
  <c r="A17" i="2"/>
  <c r="A15" i="2"/>
  <c r="F14" i="2"/>
  <c r="I14" i="2" s="1"/>
  <c r="A14" i="2"/>
  <c r="F11" i="2"/>
  <c r="I11" i="2" s="1"/>
  <c r="A11" i="2"/>
  <c r="F10" i="2"/>
  <c r="A10" i="2"/>
  <c r="A9" i="2"/>
  <c r="H8" i="2"/>
  <c r="F8" i="2"/>
  <c r="H6" i="2"/>
  <c r="G6" i="2"/>
  <c r="A43" i="2" l="1"/>
  <c r="A125" i="2"/>
  <c r="A217" i="2"/>
  <c r="A22" i="2"/>
  <c r="A49" i="2"/>
  <c r="H9" i="2"/>
  <c r="I9" i="2" s="1"/>
  <c r="A76" i="2"/>
  <c r="A152" i="2"/>
  <c r="A161" i="2"/>
  <c r="A16" i="2"/>
  <c r="A159" i="2"/>
  <c r="A24" i="2"/>
  <c r="A104" i="2"/>
  <c r="A12" i="2"/>
  <c r="A100" i="2"/>
  <c r="I140" i="2"/>
  <c r="F46" i="2"/>
  <c r="I46" i="2" s="1"/>
  <c r="H43" i="2"/>
  <c r="I43" i="2" s="1"/>
  <c r="F44" i="2"/>
  <c r="I44" i="2" s="1"/>
  <c r="I10" i="2"/>
  <c r="F135" i="2"/>
  <c r="I135" i="2" s="1"/>
  <c r="H134" i="2"/>
  <c r="I134" i="2" s="1"/>
  <c r="F136" i="2"/>
  <c r="I136" i="2" s="1"/>
  <c r="F50" i="2"/>
  <c r="I50" i="2" s="1"/>
  <c r="H49" i="2"/>
  <c r="I49" i="2" s="1"/>
  <c r="H37" i="2"/>
  <c r="I37" i="2" s="1"/>
  <c r="F38" i="2"/>
  <c r="I38" i="2" s="1"/>
  <c r="F40" i="2"/>
  <c r="I40" i="2" s="1"/>
  <c r="A110" i="2"/>
  <c r="A143" i="2"/>
  <c r="D214" i="2"/>
  <c r="F216" i="2" s="1"/>
  <c r="I216" i="2" s="1"/>
  <c r="F106" i="2"/>
  <c r="I106" i="2" s="1"/>
  <c r="A68" i="2"/>
  <c r="F128" i="2"/>
  <c r="H143" i="2"/>
  <c r="I143" i="2" s="1"/>
  <c r="F158" i="2"/>
  <c r="I158" i="2" s="1"/>
  <c r="F156" i="2"/>
  <c r="I156" i="2" s="1"/>
  <c r="H214" i="2"/>
  <c r="I214" i="2" s="1"/>
  <c r="A120" i="2"/>
  <c r="H12" i="2"/>
  <c r="I12" i="2" s="1"/>
  <c r="A27" i="2"/>
  <c r="A29" i="2"/>
  <c r="A52" i="2"/>
  <c r="F98" i="2"/>
  <c r="I98" i="2" s="1"/>
  <c r="H155" i="2"/>
  <c r="I155" i="2" s="1"/>
  <c r="A167" i="2"/>
  <c r="A60" i="2"/>
  <c r="H152" i="2"/>
  <c r="I152" i="2" s="1"/>
  <c r="A170" i="2"/>
  <c r="A56" i="2"/>
  <c r="A115" i="2"/>
  <c r="F160" i="2"/>
  <c r="I160" i="2" s="1"/>
  <c r="A172" i="2"/>
  <c r="H117" i="2"/>
  <c r="I117" i="2" s="1"/>
  <c r="H128" i="2"/>
  <c r="A155" i="2"/>
  <c r="A131" i="2"/>
  <c r="H56" i="2"/>
  <c r="I56" i="2" s="1"/>
  <c r="F59" i="2"/>
  <c r="I59" i="2" s="1"/>
  <c r="A71" i="2"/>
  <c r="F127" i="2"/>
  <c r="I127" i="2" s="1"/>
  <c r="A134" i="2"/>
  <c r="A149" i="2"/>
  <c r="A218" i="2"/>
  <c r="A117" i="2"/>
  <c r="A86" i="2"/>
  <c r="A37" i="2"/>
  <c r="A94" i="2"/>
  <c r="A107" i="2"/>
  <c r="F13" i="2"/>
  <c r="I13" i="2" s="1"/>
  <c r="A19" i="2"/>
  <c r="A34" i="2"/>
  <c r="A63" i="2"/>
  <c r="A73" i="2"/>
  <c r="A83" i="2"/>
  <c r="H97" i="2"/>
  <c r="I97" i="2" s="1"/>
  <c r="A112" i="2"/>
  <c r="H125" i="2"/>
  <c r="I125" i="2" s="1"/>
  <c r="A147" i="2"/>
  <c r="A128" i="2"/>
  <c r="A66" i="2"/>
  <c r="A214" i="2"/>
  <c r="H104" i="2"/>
  <c r="I104" i="2" s="1"/>
  <c r="A97" i="2"/>
  <c r="F15" i="2"/>
  <c r="I15" i="2" s="1"/>
  <c r="F36" i="2"/>
  <c r="I36" i="2" s="1"/>
  <c r="H34" i="2"/>
  <c r="I34" i="2" s="1"/>
  <c r="H73" i="2"/>
  <c r="I73" i="2" s="1"/>
  <c r="F75" i="2"/>
  <c r="I75" i="2" s="1"/>
  <c r="A145" i="2"/>
  <c r="F153" i="2"/>
  <c r="I153" i="2" s="1"/>
  <c r="A80" i="2"/>
  <c r="A89" i="2"/>
  <c r="A140" i="2"/>
  <c r="H27" i="2" l="1"/>
  <c r="I27" i="2" s="1"/>
  <c r="F28" i="2"/>
  <c r="I28" i="2" s="1"/>
  <c r="F79" i="2"/>
  <c r="I79" i="2" s="1"/>
  <c r="F76" i="2"/>
  <c r="F77" i="2"/>
  <c r="I77" i="2" s="1"/>
  <c r="F78" i="2"/>
  <c r="I78" i="2" s="1"/>
  <c r="H76" i="2"/>
  <c r="H80" i="2"/>
  <c r="I80" i="2" s="1"/>
  <c r="F120" i="2"/>
  <c r="F123" i="2"/>
  <c r="I123" i="2" s="1"/>
  <c r="F122" i="2"/>
  <c r="I122" i="2" s="1"/>
  <c r="F121" i="2"/>
  <c r="I121" i="2" s="1"/>
  <c r="H120" i="2"/>
  <c r="F21" i="2"/>
  <c r="I21" i="2" s="1"/>
  <c r="H19" i="2"/>
  <c r="I19" i="2" s="1"/>
  <c r="F20" i="2"/>
  <c r="I20" i="2" s="1"/>
  <c r="F65" i="2"/>
  <c r="I65" i="2" s="1"/>
  <c r="H63" i="2"/>
  <c r="I63" i="2" s="1"/>
  <c r="F64" i="2"/>
  <c r="I64" i="2" s="1"/>
  <c r="F102" i="2"/>
  <c r="I102" i="2" s="1"/>
  <c r="F101" i="2"/>
  <c r="I101" i="2" s="1"/>
  <c r="F103" i="2"/>
  <c r="I103" i="2" s="1"/>
  <c r="H100" i="2"/>
  <c r="I100" i="2" s="1"/>
  <c r="F42" i="2"/>
  <c r="I42" i="2" s="1"/>
  <c r="H41" i="2"/>
  <c r="I41" i="2" s="1"/>
  <c r="H115" i="2"/>
  <c r="I115" i="2" s="1"/>
  <c r="F116" i="2"/>
  <c r="I116" i="2" s="1"/>
  <c r="H161" i="2"/>
  <c r="I161" i="2" s="1"/>
  <c r="F163" i="2"/>
  <c r="I163" i="2" s="1"/>
  <c r="F164" i="2"/>
  <c r="I164" i="2" s="1"/>
  <c r="F162" i="2"/>
  <c r="I162" i="2" s="1"/>
  <c r="H23" i="2"/>
  <c r="F23" i="2"/>
  <c r="F72" i="2"/>
  <c r="I72" i="2" s="1"/>
  <c r="H71" i="2"/>
  <c r="I71" i="2" s="1"/>
  <c r="F29" i="2"/>
  <c r="F32" i="2"/>
  <c r="I32" i="2" s="1"/>
  <c r="F30" i="2"/>
  <c r="I30" i="2" s="1"/>
  <c r="H29" i="2"/>
  <c r="F31" i="2"/>
  <c r="I31" i="2" s="1"/>
  <c r="H110" i="2"/>
  <c r="I110" i="2" s="1"/>
  <c r="F17" i="2"/>
  <c r="F18" i="2"/>
  <c r="I18" i="2" s="1"/>
  <c r="H16" i="2"/>
  <c r="F62" i="2"/>
  <c r="I62" i="2" s="1"/>
  <c r="F61" i="2"/>
  <c r="I61" i="2" s="1"/>
  <c r="H60" i="2"/>
  <c r="I60" i="2" s="1"/>
  <c r="F108" i="2"/>
  <c r="I108" i="2" s="1"/>
  <c r="H107" i="2"/>
  <c r="I107" i="2" s="1"/>
  <c r="F109" i="2"/>
  <c r="I109" i="2" s="1"/>
  <c r="I128" i="2"/>
  <c r="F55" i="2"/>
  <c r="I55" i="2" s="1"/>
  <c r="F53" i="2"/>
  <c r="I53" i="2" s="1"/>
  <c r="F54" i="2"/>
  <c r="I54" i="2" s="1"/>
  <c r="H52" i="2"/>
  <c r="I52" i="2" s="1"/>
  <c r="F133" i="2"/>
  <c r="I133" i="2" s="1"/>
  <c r="H131" i="2"/>
  <c r="I131" i="2" s="1"/>
  <c r="H66" i="2"/>
  <c r="I66" i="2" s="1"/>
  <c r="I23" i="2" l="1"/>
  <c r="I120" i="2"/>
  <c r="F67" i="2"/>
  <c r="H67" i="2"/>
  <c r="H86" i="2"/>
  <c r="I86" i="2" s="1"/>
  <c r="F88" i="2"/>
  <c r="I88" i="2" s="1"/>
  <c r="I16" i="2"/>
  <c r="I17" i="2"/>
  <c r="I76" i="2"/>
  <c r="H111" i="2"/>
  <c r="F111" i="2"/>
  <c r="I29" i="2"/>
  <c r="F82" i="2"/>
  <c r="I82" i="2" s="1"/>
  <c r="F81" i="2"/>
  <c r="I81" i="2" s="1"/>
  <c r="H24" i="2"/>
  <c r="I24" i="2" s="1"/>
  <c r="D216" i="2"/>
  <c r="H218" i="2" s="1"/>
  <c r="I218" i="2" s="1"/>
  <c r="F85" i="2"/>
  <c r="I85" i="2" s="1"/>
  <c r="H83" i="2"/>
  <c r="F83" i="2"/>
  <c r="F91" i="2"/>
  <c r="I91" i="2" s="1"/>
  <c r="F90" i="2"/>
  <c r="I90" i="2" s="1"/>
  <c r="H89" i="2"/>
  <c r="I89" i="2" s="1"/>
  <c r="I111" i="2" l="1"/>
  <c r="H112" i="2"/>
  <c r="I112" i="2" s="1"/>
  <c r="H25" i="2"/>
  <c r="F25" i="2"/>
  <c r="F26" i="2"/>
  <c r="H26" i="2"/>
  <c r="H68" i="2"/>
  <c r="I68" i="2" s="1"/>
  <c r="I83" i="2"/>
  <c r="I67" i="2"/>
  <c r="I26" i="2" l="1"/>
  <c r="I25" i="2"/>
  <c r="H69" i="2"/>
  <c r="F69" i="2"/>
  <c r="I69" i="2" s="1"/>
  <c r="F70" i="2"/>
  <c r="H70" i="2"/>
  <c r="H113" i="2"/>
  <c r="F113" i="2"/>
  <c r="F114" i="2"/>
  <c r="H114" i="2"/>
  <c r="H175" i="2" l="1"/>
  <c r="H221" i="2" s="1"/>
  <c r="I114" i="2"/>
  <c r="I113" i="2"/>
  <c r="F175" i="2"/>
  <c r="F221" i="2" s="1"/>
  <c r="I70" i="2"/>
  <c r="I175" i="2" s="1"/>
  <c r="I221" i="2" s="1"/>
</calcChain>
</file>

<file path=xl/sharedStrings.xml><?xml version="1.0" encoding="utf-8"?>
<sst xmlns="http://schemas.openxmlformats.org/spreadsheetml/2006/main" count="987" uniqueCount="110">
  <si>
    <t>Влаштування покрівлі</t>
  </si>
  <si>
    <t>№ п/п</t>
  </si>
  <si>
    <t>Найменування робіт</t>
  </si>
  <si>
    <t>Од. вим.</t>
  </si>
  <si>
    <t>Кількість</t>
  </si>
  <si>
    <t>Матеріали</t>
  </si>
  <si>
    <t>Робота</t>
  </si>
  <si>
    <t>Всього, грн</t>
  </si>
  <si>
    <t>Ціна, грн</t>
  </si>
  <si>
    <t>Вартість, грн</t>
  </si>
  <si>
    <r>
      <t xml:space="preserve">Розділ 1. Влаштування горизонтальної гідроізоляції покрівлі </t>
    </r>
    <r>
      <rPr>
        <b/>
        <u/>
        <sz val="12"/>
        <rFont val="Times New Roman"/>
        <family val="1"/>
        <charset val="204"/>
      </rPr>
      <t>неексплуатованої</t>
    </r>
    <r>
      <rPr>
        <b/>
        <sz val="12"/>
        <rFont val="Times New Roman"/>
        <family val="1"/>
        <charset val="204"/>
      </rPr>
      <t xml:space="preserve">
(Покрівля, вісі "1-7/А-Е")</t>
    </r>
  </si>
  <si>
    <t>Влаштування плівкової  пароізоляції з проклейкою стиків та заведення на вертик. поверхні на H=400мм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</si>
  <si>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</si>
  <si>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Паробар'єр H110</t>
  </si>
  <si>
    <t>Стрічка К-2</t>
  </si>
  <si>
    <t>шт</t>
  </si>
  <si>
    <t xml:space="preserve">Влаштування утеплювача з плит з ППС-плити SCANTERM, t=200мм </t>
  </si>
  <si>
    <t>ППС-плита SCANTERM (Г1), товщ. 200мм</t>
  </si>
  <si>
    <t>м3</t>
  </si>
  <si>
    <t>Клей-піна</t>
  </si>
  <si>
    <t>Дюбель-зонт для кріплення утеплювача</t>
  </si>
  <si>
    <t>Влаштування клиновидного утеплювача з ППС-плити SCANTERM, t=0-120мм (по ухилу 1%)</t>
  </si>
  <si>
    <t>бал.</t>
  </si>
  <si>
    <t>Влаштування армувальної сітки</t>
  </si>
  <si>
    <t>Дріт в"язальний 1,2мм</t>
  </si>
  <si>
    <t>кг</t>
  </si>
  <si>
    <t>Сітка армувальна для стяжки 1х2 м, 100*100*3 мм, ДСТУ</t>
  </si>
  <si>
    <t>Влаштування стяжки цементно-піщаної М150, з виконанням контр-ухилів до воронок (середня товщ. 80мм)</t>
  </si>
  <si>
    <t>Розчин цементно-піщаний М100</t>
  </si>
  <si>
    <t>Приготування розчину вручну</t>
  </si>
  <si>
    <t xml:space="preserve">Пісок річковий </t>
  </si>
  <si>
    <t>тн</t>
  </si>
  <si>
    <t>Цемент М400</t>
  </si>
  <si>
    <t xml:space="preserve">Влаштування шару з геотекстилю </t>
  </si>
  <si>
    <t>Геотекстиль термооброблений, 300 г/м2</t>
  </si>
  <si>
    <t xml:space="preserve">Влаштування гідроізоляційного шару з ТПО - мембрани </t>
  </si>
  <si>
    <t>Мембрана ТПО Bauder Termofin F або Flagon EP/PR  товщ. 1,5мм</t>
  </si>
  <si>
    <t xml:space="preserve">Sika Colma Cleaner (очистка зварних швів) </t>
  </si>
  <si>
    <t>л</t>
  </si>
  <si>
    <t>Кріплення для мембрани</t>
  </si>
  <si>
    <t>Влаштування вертикальної гідроізоляції на примиканнях. Н=800мм
(Покрівля, вісі "1-7/А-Е")</t>
  </si>
  <si>
    <t>Влаштування утеплення з ЕППС-плити, товщ. 50мм (насухо)</t>
  </si>
  <si>
    <t>м.п.</t>
  </si>
  <si>
    <t>ЕППС-плита (Г4) або ППС-плита SCANTERM (Г1), товщ. 50мм</t>
  </si>
  <si>
    <t>Кріплення для ЕППС</t>
  </si>
  <si>
    <t>Влаштування планки з ТПО - напиленням, з герметизацією</t>
  </si>
  <si>
    <t>Планка притискна, оцинк. + кріплення</t>
  </si>
  <si>
    <t>Планка з ТПО-напиленням, 50мм + кріплення</t>
  </si>
  <si>
    <t>Герметик ПУ40</t>
  </si>
  <si>
    <t>Влаштування ТПО-мембрани</t>
  </si>
  <si>
    <t>Очисник для зварних швів Bauder</t>
  </si>
  <si>
    <t>ТПО-мембрана, товщ. 1,5мм (не армована, для деталей)</t>
  </si>
  <si>
    <r>
      <t xml:space="preserve">Розділ 2. Влаштування горизонтальної гідроізоляції покрівлі </t>
    </r>
    <r>
      <rPr>
        <b/>
        <u/>
        <sz val="12"/>
        <rFont val="Times New Roman"/>
        <family val="1"/>
        <charset val="204"/>
      </rPr>
      <t>експлуатованої</t>
    </r>
    <r>
      <rPr>
        <b/>
        <sz val="12"/>
        <rFont val="Times New Roman"/>
        <family val="1"/>
        <charset val="204"/>
      </rPr>
      <t xml:space="preserve">
(тераса 2-го поверху, вісь "1-3/А-Е)</t>
    </r>
  </si>
  <si>
    <t>Влаштування утеплювача з ППС-плити, t=150мм (з механічним закрівленням)</t>
  </si>
  <si>
    <t>ППС-плита SCANTERM (Г1), товщ. 150м</t>
  </si>
  <si>
    <t xml:space="preserve">Влаштування утеплювача з плит теплоізоляційних termPIR AL TAG, t=150мм </t>
  </si>
  <si>
    <t>Плита теплоізоляційна termPIR AL TAG 1200x2400</t>
  </si>
  <si>
    <t>Влаштування клиновидного утеплювача з ППС-плити SCANTERM, t=0-100мм (по ухилу 1,5%)</t>
  </si>
  <si>
    <t>Влаштування карнизних планок, планок-капельників</t>
  </si>
  <si>
    <t>Планки з ТПО-напиленням, В=до 300мм (змінна конфігурація)</t>
  </si>
  <si>
    <t>Кріплення для планок</t>
  </si>
  <si>
    <t>Монтаж регульованих опор тераси (крок 400х400)</t>
  </si>
  <si>
    <t>м2</t>
  </si>
  <si>
    <t xml:space="preserve">PB-0-S18-24 Регульована опора h18-28мм Buzon без коректора ухилу, під керамограніт, терасну дошку </t>
  </si>
  <si>
    <t xml:space="preserve">U-PH5 Коректор ухилу 0-5% під терасні опори Buzon (Бельгія) </t>
  </si>
  <si>
    <t xml:space="preserve">Монтаж композитних монтажних лаг </t>
  </si>
  <si>
    <t>Монтажна лага для терасної дошки, з деревинно-полімерного композиту 30*40*2200</t>
  </si>
  <si>
    <t>м</t>
  </si>
  <si>
    <t>Приховане кріплення</t>
  </si>
  <si>
    <t>Тимчасовий захист конструкції тераси листами OSB (монтаж/демонтаж)</t>
  </si>
  <si>
    <t>Брус 20х40 мм</t>
  </si>
  <si>
    <t>Плита OSB-3 СВІСС КРОНО 22х1250х2500 мм</t>
  </si>
  <si>
    <t>Монтаж терасної дошки 100х20 мм</t>
  </si>
  <si>
    <t>Терасна дошка</t>
  </si>
  <si>
    <t>Пластина для терасної дошки 20х160 (50шт/упак)</t>
  </si>
  <si>
    <t>F-кутник зовнішній</t>
  </si>
  <si>
    <t>Кутник декоративний 60х30х2200м</t>
  </si>
  <si>
    <t xml:space="preserve">м </t>
  </si>
  <si>
    <r>
      <t xml:space="preserve">Розділ 2. Влаштування горизонтальної гідроізоляції покрівлі </t>
    </r>
    <r>
      <rPr>
        <b/>
        <u/>
        <sz val="12"/>
        <rFont val="Times New Roman"/>
        <family val="1"/>
        <charset val="204"/>
      </rPr>
      <t>експлуатованої</t>
    </r>
    <r>
      <rPr>
        <b/>
        <sz val="12"/>
        <rFont val="Times New Roman"/>
        <family val="1"/>
        <charset val="204"/>
      </rPr>
      <t xml:space="preserve">
(тераса над гаражем, вісь "7-8/Б-Д")</t>
    </r>
  </si>
  <si>
    <t>Трава</t>
  </si>
  <si>
    <t xml:space="preserve">Влаштування гідроізоляційного шару з геомембрани </t>
  </si>
  <si>
    <t>Шипоподібна мембрана 400 гр/м2 (0,4) 2х20 м SNTDrain (Туреччина)</t>
  </si>
  <si>
    <t>Влаштування борту з фарбованого сталевого листа 3,0 мм</t>
  </si>
  <si>
    <t>Борт сталевий 3,0 мм</t>
  </si>
  <si>
    <t>Влаштування шару рослинного грунту 300 мм</t>
  </si>
  <si>
    <t>Грунт (чорнозем) рослинний насипом</t>
  </si>
  <si>
    <t>т</t>
  </si>
  <si>
    <t>Влаштування рулонного газону</t>
  </si>
  <si>
    <t xml:space="preserve">Газонна трава в рулонах </t>
  </si>
  <si>
    <t>Влаштування вертикальної гідроізоляції на примиканнях. Н=800мм
(Тераси 2-го поверху, вісі "1-3/А-Е, 7-8/Б-Д")</t>
  </si>
  <si>
    <t>Влаштування утеплення парапетів з ЕППС-плити, 50мм (Н=до 600мм)</t>
  </si>
  <si>
    <t xml:space="preserve">Влаштування шару з геотекстилю на H+В= до 600мм </t>
  </si>
  <si>
    <t>Влаштування водовідведення</t>
  </si>
  <si>
    <t>Влаштування воронки (без буріння отворів)</t>
  </si>
  <si>
    <t>ТПО-воронка парапетна, кругла, діам. 90мм + листоуловлювач</t>
  </si>
  <si>
    <t>ТПО-воронка парапетна, кругла, діам. 100мм з підігрівом</t>
  </si>
  <si>
    <t>Влаштування аераторів</t>
  </si>
  <si>
    <t>ТПО-аератор, 240мм з кришкою</t>
  </si>
  <si>
    <t>Розвантаження і підніс матеріалів до місця виконання робіт</t>
  </si>
  <si>
    <t>Кран-маніпулятор</t>
  </si>
  <si>
    <t>послуга</t>
  </si>
  <si>
    <t>Підготовчі роботи для створення настилу на покрівлі</t>
  </si>
  <si>
    <t>Створення захисту мембранної покрівлі для встановлення риштувань і подачі буд. матеріалів</t>
  </si>
  <si>
    <t>м²</t>
  </si>
  <si>
    <t>Плита ОСБ-3 2500х1250х10мм</t>
  </si>
  <si>
    <t>Плівка п/е 200 мкм</t>
  </si>
  <si>
    <t xml:space="preserve">Різноробочі </t>
  </si>
  <si>
    <t>зм.</t>
  </si>
  <si>
    <t>Разом, грн:</t>
  </si>
  <si>
    <t>Монтаж та обпайка закладних для скляного огородження тераси h=900 мм, т. 12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</si>
</sst>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??"/>
    <numFmt numFmtId="165" formatCode="_(* #,##0_);_(* \(#,##0\);_(* &quot;-&quot;_);_(@_)"/>
    <numFmt numFmtId="166" formatCode="_(* #,##0.00_);_(* \(#,##0.00\);_(* &quot;-&quot;??_);_(@_)"/>
    <numFmt numFmtId="167" formatCode="#,##0.000"/>
    <numFmt numFmtId="168" formatCode="_-* #,##0.00\ _₽_-;\-* #,##0.00\ _₽_-;_-* &quot;-&quot;??\ _₽_-;_-@_-"/>
    <numFmt numFmtId="169" formatCode="#,##0.00_р_."/>
  </numFmts>
  <fonts count="2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6"/>
      <color rgb="FF08000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1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7" fillId="0" borderId="0" xfId="0" applyFont="1" applyAlignment="1"/>
    <xf numFmtId="0" fontId="7" fillId="0" borderId="0" xfId="0" applyFont="1" applyFill="1" applyAlignment="1"/>
    <xf numFmtId="2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/>
    </xf>
    <xf numFmtId="0" fontId="9" fillId="3" borderId="5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166" fontId="12" fillId="3" borderId="5" xfId="1" applyFont="1" applyFill="1" applyBorder="1" applyAlignment="1" applyProtection="1">
      <alignment vertical="center" wrapText="1"/>
    </xf>
    <xf numFmtId="166" fontId="13" fillId="3" borderId="5" xfId="1" applyFont="1" applyFill="1" applyBorder="1" applyAlignment="1">
      <alignment wrapText="1"/>
    </xf>
    <xf numFmtId="166" fontId="1" fillId="3" borderId="5" xfId="1" applyFont="1" applyFill="1" applyBorder="1" applyAlignment="1" applyProtection="1">
      <alignment vertical="center" wrapText="1"/>
      <protection locked="0"/>
    </xf>
    <xf numFmtId="2" fontId="14" fillId="3" borderId="7" xfId="0" applyNumberFormat="1" applyFont="1" applyFill="1" applyBorder="1" applyAlignment="1" applyProtection="1">
      <alignment vertical="center"/>
    </xf>
    <xf numFmtId="2" fontId="14" fillId="0" borderId="0" xfId="0" applyNumberFormat="1" applyFont="1" applyFill="1" applyAlignment="1" applyProtection="1">
      <alignment vertical="center"/>
    </xf>
    <xf numFmtId="0" fontId="1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 applyProtection="1">
      <alignment vertical="center" wrapText="1"/>
    </xf>
    <xf numFmtId="4" fontId="16" fillId="4" borderId="5" xfId="0" applyNumberFormat="1" applyFont="1" applyFill="1" applyBorder="1" applyAlignment="1" applyProtection="1">
      <alignment vertical="center"/>
    </xf>
    <xf numFmtId="4" fontId="16" fillId="4" borderId="5" xfId="0" applyNumberFormat="1" applyFont="1" applyFill="1" applyBorder="1" applyAlignment="1" applyProtection="1">
      <alignment vertical="center" wrapText="1"/>
      <protection locked="0"/>
    </xf>
    <xf numFmtId="4" fontId="16" fillId="4" borderId="6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 applyProtection="1">
      <alignment horizontal="left" vertical="center" wrapText="1" indent="2"/>
    </xf>
    <xf numFmtId="0" fontId="19" fillId="0" borderId="5" xfId="0" applyFont="1" applyBorder="1" applyAlignment="1">
      <alignment vertical="center"/>
    </xf>
    <xf numFmtId="4" fontId="19" fillId="0" borderId="5" xfId="0" applyNumberFormat="1" applyFont="1" applyFill="1" applyBorder="1" applyAlignment="1">
      <alignment vertical="center"/>
    </xf>
    <xf numFmtId="4" fontId="20" fillId="0" borderId="5" xfId="0" applyNumberFormat="1" applyFont="1" applyFill="1" applyBorder="1" applyAlignment="1" applyProtection="1">
      <alignment vertical="center" wrapText="1"/>
      <protection locked="0"/>
    </xf>
    <xf numFmtId="4" fontId="16" fillId="0" borderId="5" xfId="0" applyNumberFormat="1" applyFont="1" applyFill="1" applyBorder="1" applyAlignment="1" applyProtection="1">
      <alignment vertical="center" wrapText="1"/>
      <protection locked="0"/>
    </xf>
    <xf numFmtId="4" fontId="16" fillId="0" borderId="6" xfId="0" applyNumberFormat="1" applyFont="1" applyFill="1" applyBorder="1" applyAlignment="1" applyProtection="1">
      <alignment vertical="center" wrapText="1"/>
      <protection locked="0"/>
    </xf>
    <xf numFmtId="2" fontId="1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7" fontId="19" fillId="0" borderId="5" xfId="0" applyNumberFormat="1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4" fontId="19" fillId="5" borderId="5" xfId="0" applyNumberFormat="1" applyFont="1" applyFill="1" applyBorder="1" applyAlignment="1">
      <alignment vertical="center"/>
    </xf>
    <xf numFmtId="4" fontId="20" fillId="5" borderId="5" xfId="0" applyNumberFormat="1" applyFont="1" applyFill="1" applyBorder="1" applyAlignment="1" applyProtection="1">
      <alignment vertical="center" wrapText="1"/>
      <protection locked="0"/>
    </xf>
    <xf numFmtId="4" fontId="20" fillId="0" borderId="5" xfId="0" applyNumberFormat="1" applyFont="1" applyFill="1" applyBorder="1" applyAlignment="1">
      <alignment vertical="center"/>
    </xf>
    <xf numFmtId="4" fontId="19" fillId="0" borderId="5" xfId="0" applyNumberFormat="1" applyFont="1" applyBorder="1" applyAlignment="1">
      <alignment vertical="center"/>
    </xf>
    <xf numFmtId="4" fontId="12" fillId="3" borderId="5" xfId="1" applyNumberFormat="1" applyFont="1" applyFill="1" applyBorder="1" applyAlignment="1" applyProtection="1">
      <alignment vertical="center" wrapText="1"/>
    </xf>
    <xf numFmtId="0" fontId="15" fillId="5" borderId="5" xfId="0" applyFont="1" applyFill="1" applyBorder="1" applyAlignment="1">
      <alignment vertical="center" wrapText="1"/>
    </xf>
    <xf numFmtId="0" fontId="18" fillId="5" borderId="5" xfId="0" applyFont="1" applyFill="1" applyBorder="1" applyAlignment="1" applyProtection="1">
      <alignment horizontal="left" vertical="center" wrapText="1" indent="2"/>
    </xf>
    <xf numFmtId="0" fontId="22" fillId="0" borderId="5" xfId="0" applyFont="1" applyFill="1" applyBorder="1" applyAlignment="1" applyProtection="1">
      <alignment horizontal="left" vertical="center" wrapText="1" indent="2"/>
    </xf>
    <xf numFmtId="0" fontId="22" fillId="0" borderId="5" xfId="0" applyFont="1" applyFill="1" applyBorder="1" applyAlignment="1" applyProtection="1">
      <alignment vertical="center" wrapText="1"/>
    </xf>
    <xf numFmtId="0" fontId="22" fillId="0" borderId="5" xfId="0" applyFont="1" applyFill="1" applyBorder="1" applyAlignment="1" applyProtection="1">
      <alignment horizontal="right" vertical="center" wrapText="1" indent="2"/>
    </xf>
    <xf numFmtId="2" fontId="22" fillId="0" borderId="5" xfId="0" applyNumberFormat="1" applyFont="1" applyFill="1" applyBorder="1" applyAlignment="1" applyProtection="1">
      <alignment horizontal="right" vertical="center" wrapText="1" indent="2"/>
    </xf>
    <xf numFmtId="0" fontId="19" fillId="5" borderId="5" xfId="0" applyFont="1" applyFill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4" fontId="12" fillId="0" borderId="5" xfId="1" applyNumberFormat="1" applyFont="1" applyFill="1" applyBorder="1" applyAlignment="1" applyProtection="1">
      <alignment vertical="center" wrapText="1"/>
    </xf>
    <xf numFmtId="166" fontId="13" fillId="0" borderId="5" xfId="1" applyFont="1" applyFill="1" applyBorder="1" applyAlignment="1">
      <alignment wrapText="1"/>
    </xf>
    <xf numFmtId="166" fontId="1" fillId="0" borderId="5" xfId="1" applyFont="1" applyFill="1" applyBorder="1" applyAlignment="1" applyProtection="1">
      <alignment vertical="center" wrapText="1"/>
      <protection locked="0"/>
    </xf>
    <xf numFmtId="2" fontId="14" fillId="0" borderId="7" xfId="0" applyNumberFormat="1" applyFont="1" applyFill="1" applyBorder="1" applyAlignment="1" applyProtection="1">
      <alignment vertical="center"/>
    </xf>
    <xf numFmtId="4" fontId="14" fillId="0" borderId="0" xfId="0" applyNumberFormat="1" applyFont="1" applyFill="1" applyAlignment="1" applyProtection="1">
      <alignment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4" fontId="16" fillId="0" borderId="5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0" fontId="19" fillId="0" borderId="5" xfId="0" applyFont="1" applyFill="1" applyBorder="1" applyAlignment="1">
      <alignment vertical="center"/>
    </xf>
    <xf numFmtId="0" fontId="9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3" fillId="0" borderId="0" xfId="1" applyNumberFormat="1" applyFont="1" applyFill="1" applyBorder="1" applyAlignment="1">
      <alignment horizontal="right" vertical="center"/>
    </xf>
    <xf numFmtId="4" fontId="23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/>
    <xf numFmtId="2" fontId="14" fillId="0" borderId="5" xfId="0" applyNumberFormat="1" applyFont="1" applyFill="1" applyBorder="1" applyAlignment="1" applyProtection="1">
      <alignment vertical="center"/>
    </xf>
    <xf numFmtId="166" fontId="24" fillId="0" borderId="5" xfId="1" applyFont="1" applyFill="1" applyBorder="1"/>
    <xf numFmtId="0" fontId="0" fillId="0" borderId="8" xfId="0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7" xfId="0" applyBorder="1" applyAlignment="1"/>
    <xf numFmtId="168" fontId="9" fillId="0" borderId="9" xfId="1" applyNumberFormat="1" applyFont="1" applyFill="1" applyBorder="1" applyAlignment="1">
      <alignment vertical="center"/>
    </xf>
    <xf numFmtId="168" fontId="9" fillId="0" borderId="10" xfId="1" applyNumberFormat="1" applyFont="1" applyFill="1" applyBorder="1" applyAlignment="1">
      <alignment vertical="center"/>
    </xf>
    <xf numFmtId="168" fontId="25" fillId="0" borderId="10" xfId="1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right"/>
    </xf>
    <xf numFmtId="4" fontId="9" fillId="0" borderId="11" xfId="0" applyNumberFormat="1" applyFont="1" applyFill="1" applyBorder="1" applyAlignment="1" applyProtection="1">
      <alignment horizontal="right" vertical="center"/>
      <protection locked="0"/>
    </xf>
    <xf numFmtId="0" fontId="18" fillId="0" borderId="5" xfId="0" applyFont="1" applyFill="1" applyBorder="1" applyAlignment="1" applyProtection="1">
      <alignment horizontal="left" vertical="center" wrapText="1"/>
    </xf>
    <xf numFmtId="4" fontId="16" fillId="5" borderId="5" xfId="0" applyNumberFormat="1" applyFont="1" applyFill="1" applyBorder="1" applyAlignment="1" applyProtection="1">
      <alignment vertical="center"/>
    </xf>
    <xf numFmtId="4" fontId="19" fillId="6" borderId="5" xfId="0" applyNumberFormat="1" applyFont="1" applyFill="1" applyBorder="1" applyAlignment="1">
      <alignment vertical="center"/>
    </xf>
    <xf numFmtId="4" fontId="23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12" xfId="0" applyBorder="1" applyAlignment="1"/>
    <xf numFmtId="4" fontId="16" fillId="0" borderId="12" xfId="1" applyNumberFormat="1" applyFont="1" applyFill="1" applyBorder="1" applyAlignment="1">
      <alignment horizontal="center" vertical="center" wrapText="1"/>
    </xf>
    <xf numFmtId="169" fontId="26" fillId="0" borderId="12" xfId="0" applyNumberFormat="1" applyFont="1" applyFill="1" applyBorder="1" applyAlignment="1">
      <alignment horizontal="center" vertical="center" wrapText="1"/>
    </xf>
    <xf numFmtId="4" fontId="26" fillId="0" borderId="12" xfId="1" applyNumberFormat="1" applyFont="1" applyFill="1" applyBorder="1" applyAlignment="1">
      <alignment horizontal="center" vertical="center" wrapText="1"/>
    </xf>
    <xf numFmtId="169" fontId="26" fillId="0" borderId="13" xfId="0" applyNumberFormat="1" applyFont="1" applyFill="1" applyBorder="1" applyAlignment="1">
      <alignment horizontal="center" vertical="center" wrapText="1"/>
    </xf>
    <xf numFmtId="168" fontId="9" fillId="0" borderId="1" xfId="1" applyNumberFormat="1" applyFont="1" applyFill="1" applyBorder="1" applyAlignment="1">
      <alignment vertical="center"/>
    </xf>
    <xf numFmtId="168" fontId="9" fillId="0" borderId="2" xfId="1" applyNumberFormat="1" applyFont="1" applyFill="1" applyBorder="1" applyAlignment="1">
      <alignment vertical="center"/>
    </xf>
    <xf numFmtId="168" fontId="9" fillId="0" borderId="2" xfId="1" applyNumberFormat="1" applyFont="1" applyFill="1" applyBorder="1" applyAlignment="1">
      <alignment horizontal="center" vertical="center"/>
    </xf>
    <xf numFmtId="168" fontId="25" fillId="0" borderId="2" xfId="1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4" fontId="9" fillId="0" borderId="3" xfId="0" applyNumberFormat="1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 applyProtection="1">
      <alignment vertical="center" wrapText="1"/>
    </xf>
    <xf numFmtId="4" fontId="16" fillId="5" borderId="5" xfId="0" applyNumberFormat="1" applyFont="1" applyFill="1" applyBorder="1" applyAlignment="1" applyProtection="1">
      <alignment vertical="center" wrapText="1"/>
      <protection locked="0"/>
    </xf>
    <xf numFmtId="4" fontId="16" fillId="5" borderId="6" xfId="0" applyNumberFormat="1" applyFont="1" applyFill="1" applyBorder="1" applyAlignment="1" applyProtection="1">
      <alignment vertical="center" wrapText="1"/>
      <protection locked="0"/>
    </xf>
    <xf numFmtId="2" fontId="14" fillId="0" borderId="0" xfId="0" applyNumberFormat="1" applyFont="1" applyFill="1" applyAlignment="1">
      <alignment vertical="center"/>
    </xf>
    <xf numFmtId="0" fontId="21" fillId="0" borderId="5" xfId="0" applyFont="1" applyFill="1" applyBorder="1" applyAlignment="1" applyProtection="1">
      <alignment horizontal="left" vertical="center" wrapText="1" indent="2"/>
    </xf>
    <xf numFmtId="2" fontId="1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top" wrapText="1" readingOrder="1"/>
    </xf>
    <xf numFmtId="0" fontId="6" fillId="0" borderId="0" xfId="0" applyNumberFormat="1" applyFont="1" applyAlignment="1">
      <alignment horizont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 applyProtection="1">
      <alignment horizontal="center" vertical="center"/>
      <protection locked="0"/>
    </xf>
    <xf numFmtId="165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 2" xfId="1" xr:uid="{3DFD067F-7585-44F1-9F0A-7181E52E266C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3;&#1077;&#1085;&#1072;%20Asty/&#1056;&#1080;&#1074;&#1100;&#1077;&#1088;&#1072;/&#1040;&#1088;&#1093;&#1110;&#1074;/&#1044;&#1062;%20&#1060;&#1072;&#1089;&#1072;&#1076;%20&#1084;&#1086;&#1103;%20&#1052;&#1086;&#1078;&#1085;&#1072;%20&#1074;&#1080;&#1076;&#1072;&#1083;&#1080;&#109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3;&#1077;&#1085;&#1072;%20Asty/&#1056;&#1080;&#1074;&#1100;&#1077;&#1088;&#1072;/&#1042;&#1080;&#1082;&#1086;&#1085;&#1072;&#1085;&#1085;&#1103;/&#1053;&#1072;&#1082;&#1086;&#1087;&#1080;&#1095;&#1091;&#1074;&#1072;&#1083;&#1100;&#1085;&#1072;%20&#1090;&#1072;%20&#1044;&#1062;%20&#1056;&#1080;&#1074;'&#1108;&#1088;&#1072;%20&#1057;&#1086;&#1073;&#1110;&#1074;&#1072;&#1088;&#1090;&#1110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сад"/>
    </sheetNames>
    <sheetDataSet>
      <sheetData sheetId="0">
        <row r="79">
          <cell r="F79">
            <v>1013940.8567428705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 Підг"/>
      <sheetName val="Нак Фунд"/>
      <sheetName val="Нак Колони"/>
      <sheetName val="Зведена"/>
      <sheetName val="Підготовчі"/>
      <sheetName val="Фундамент"/>
      <sheetName val="Колони"/>
      <sheetName val="Перекриття 1- 2 пов"/>
      <sheetName val="Тераси"/>
      <sheetName val="Кладка та накривки"/>
      <sheetName val="Покрівля "/>
      <sheetName val="СПОК та ворота"/>
      <sheetName val="Фасад"/>
      <sheetName val="Матеріал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7EE2-00FB-4705-BCE5-5FD39A9588D6}">
  <sheetPr>
    <pageSetUpPr fitToPage="1"/>
  </sheetPr>
  <dimension ref="A1:AKW221"/>
  <sheetViews>
    <sheetView tabSelected="1" topLeftCell="A64" zoomScale="85" zoomScaleNormal="85" workbookViewId="0">
      <selection activeCell="D89" sqref="D89"/>
    </sheetView>
  </sheetViews>
  <sheetFormatPr defaultRowHeight="14.4" x14ac:dyDescent="0.3"/>
  <cols>
    <col min="1" max="1" width="8.21875" style="1" customWidth="1"/>
    <col min="2" max="2" width="89.77734375" style="1" customWidth="1"/>
    <col min="3" max="3" width="11.77734375" style="1" customWidth="1"/>
    <col min="4" max="4" width="15.21875" style="1" customWidth="1"/>
    <col min="5" max="5" width="20.5546875" style="62" customWidth="1"/>
    <col min="6" max="6" width="20.5546875" style="1" customWidth="1"/>
    <col min="7" max="7" width="20.5546875" style="62" customWidth="1"/>
    <col min="8" max="8" width="20.5546875" style="1" customWidth="1"/>
    <col min="9" max="9" width="24" style="1" customWidth="1"/>
    <col min="10" max="10" width="1.5546875" style="1" customWidth="1"/>
    <col min="11" max="12" width="8.88671875" style="1"/>
    <col min="13" max="13" width="9.88671875" style="1" bestFit="1" customWidth="1"/>
    <col min="14" max="16" width="8.88671875" style="1"/>
    <col min="17" max="17" width="45.33203125" style="1" customWidth="1"/>
    <col min="18" max="240" width="8.88671875" style="1"/>
    <col min="241" max="241" width="8.21875" style="1" customWidth="1"/>
    <col min="242" max="242" width="89.77734375" style="1" customWidth="1"/>
    <col min="243" max="243" width="11.77734375" style="1" customWidth="1"/>
    <col min="244" max="244" width="15.21875" style="1" customWidth="1"/>
    <col min="245" max="248" width="20.5546875" style="1" customWidth="1"/>
    <col min="249" max="249" width="24" style="1" customWidth="1"/>
    <col min="250" max="250" width="8.88671875" style="1"/>
    <col min="251" max="251" width="12.77734375" style="1" bestFit="1" customWidth="1"/>
    <col min="252" max="496" width="8.88671875" style="1"/>
    <col min="497" max="497" width="8.21875" style="1" customWidth="1"/>
    <col min="498" max="498" width="89.77734375" style="1" customWidth="1"/>
    <col min="499" max="499" width="11.77734375" style="1" customWidth="1"/>
    <col min="500" max="500" width="15.21875" style="1" customWidth="1"/>
    <col min="501" max="504" width="20.5546875" style="1" customWidth="1"/>
    <col min="505" max="505" width="24" style="1" customWidth="1"/>
    <col min="506" max="506" width="8.88671875" style="1"/>
    <col min="507" max="507" width="12.77734375" style="1" bestFit="1" customWidth="1"/>
    <col min="508" max="752" width="8.88671875" style="1"/>
    <col min="753" max="753" width="8.21875" style="1" customWidth="1"/>
    <col min="754" max="754" width="89.77734375" style="1" customWidth="1"/>
    <col min="755" max="755" width="11.77734375" style="1" customWidth="1"/>
    <col min="756" max="756" width="15.21875" style="1" customWidth="1"/>
    <col min="757" max="760" width="20.5546875" style="1" customWidth="1"/>
    <col min="761" max="761" width="24" style="1" customWidth="1"/>
    <col min="762" max="762" width="8.88671875" style="1"/>
    <col min="763" max="763" width="12.77734375" style="1" bestFit="1" customWidth="1"/>
    <col min="764" max="1008" width="8.88671875" style="1"/>
    <col min="1009" max="1009" width="8.21875" style="1" customWidth="1"/>
    <col min="1010" max="1010" width="89.77734375" style="1" customWidth="1"/>
    <col min="1011" max="1011" width="11.77734375" style="1" customWidth="1"/>
    <col min="1012" max="1012" width="15.21875" style="1" customWidth="1"/>
    <col min="1013" max="1016" width="20.5546875" style="1" customWidth="1"/>
    <col min="1017" max="1017" width="24" style="1" customWidth="1"/>
    <col min="1018" max="1018" width="8.88671875" style="1"/>
    <col min="1019" max="1019" width="12.77734375" style="1" bestFit="1" customWidth="1"/>
    <col min="1020" max="1264" width="8.88671875" style="1"/>
    <col min="1265" max="1265" width="8.21875" style="1" customWidth="1"/>
    <col min="1266" max="1266" width="89.77734375" style="1" customWidth="1"/>
    <col min="1267" max="1267" width="11.77734375" style="1" customWidth="1"/>
    <col min="1268" max="1268" width="15.21875" style="1" customWidth="1"/>
    <col min="1269" max="1272" width="20.5546875" style="1" customWidth="1"/>
    <col min="1273" max="1273" width="24" style="1" customWidth="1"/>
    <col min="1274" max="1274" width="8.88671875" style="1"/>
    <col min="1275" max="1275" width="12.77734375" style="1" bestFit="1" customWidth="1"/>
    <col min="1276" max="1520" width="8.88671875" style="1"/>
    <col min="1521" max="1521" width="8.21875" style="1" customWidth="1"/>
    <col min="1522" max="1522" width="89.77734375" style="1" customWidth="1"/>
    <col min="1523" max="1523" width="11.77734375" style="1" customWidth="1"/>
    <col min="1524" max="1524" width="15.21875" style="1" customWidth="1"/>
    <col min="1525" max="1528" width="20.5546875" style="1" customWidth="1"/>
    <col min="1529" max="1529" width="24" style="1" customWidth="1"/>
    <col min="1530" max="1530" width="8.88671875" style="1"/>
    <col min="1531" max="1531" width="12.77734375" style="1" bestFit="1" customWidth="1"/>
    <col min="1532" max="1776" width="8.88671875" style="1"/>
    <col min="1777" max="1777" width="8.21875" style="1" customWidth="1"/>
    <col min="1778" max="1778" width="89.77734375" style="1" customWidth="1"/>
    <col min="1779" max="1779" width="11.77734375" style="1" customWidth="1"/>
    <col min="1780" max="1780" width="15.21875" style="1" customWidth="1"/>
    <col min="1781" max="1784" width="20.5546875" style="1" customWidth="1"/>
    <col min="1785" max="1785" width="24" style="1" customWidth="1"/>
    <col min="1786" max="1786" width="8.88671875" style="1"/>
    <col min="1787" max="1787" width="12.77734375" style="1" bestFit="1" customWidth="1"/>
    <col min="1788" max="2032" width="8.88671875" style="1"/>
    <col min="2033" max="2033" width="8.21875" style="1" customWidth="1"/>
    <col min="2034" max="2034" width="89.77734375" style="1" customWidth="1"/>
    <col min="2035" max="2035" width="11.77734375" style="1" customWidth="1"/>
    <col min="2036" max="2036" width="15.21875" style="1" customWidth="1"/>
    <col min="2037" max="2040" width="20.5546875" style="1" customWidth="1"/>
    <col min="2041" max="2041" width="24" style="1" customWidth="1"/>
    <col min="2042" max="2042" width="8.88671875" style="1"/>
    <col min="2043" max="2043" width="12.77734375" style="1" bestFit="1" customWidth="1"/>
    <col min="2044" max="2288" width="8.88671875" style="1"/>
    <col min="2289" max="2289" width="8.21875" style="1" customWidth="1"/>
    <col min="2290" max="2290" width="89.77734375" style="1" customWidth="1"/>
    <col min="2291" max="2291" width="11.77734375" style="1" customWidth="1"/>
    <col min="2292" max="2292" width="15.21875" style="1" customWidth="1"/>
    <col min="2293" max="2296" width="20.5546875" style="1" customWidth="1"/>
    <col min="2297" max="2297" width="24" style="1" customWidth="1"/>
    <col min="2298" max="2298" width="8.88671875" style="1"/>
    <col min="2299" max="2299" width="12.77734375" style="1" bestFit="1" customWidth="1"/>
    <col min="2300" max="2544" width="8.88671875" style="1"/>
    <col min="2545" max="2545" width="8.21875" style="1" customWidth="1"/>
    <col min="2546" max="2546" width="89.77734375" style="1" customWidth="1"/>
    <col min="2547" max="2547" width="11.77734375" style="1" customWidth="1"/>
    <col min="2548" max="2548" width="15.21875" style="1" customWidth="1"/>
    <col min="2549" max="2552" width="20.5546875" style="1" customWidth="1"/>
    <col min="2553" max="2553" width="24" style="1" customWidth="1"/>
    <col min="2554" max="2554" width="8.88671875" style="1"/>
    <col min="2555" max="2555" width="12.77734375" style="1" bestFit="1" customWidth="1"/>
    <col min="2556" max="2800" width="8.88671875" style="1"/>
    <col min="2801" max="2801" width="8.21875" style="1" customWidth="1"/>
    <col min="2802" max="2802" width="89.77734375" style="1" customWidth="1"/>
    <col min="2803" max="2803" width="11.77734375" style="1" customWidth="1"/>
    <col min="2804" max="2804" width="15.21875" style="1" customWidth="1"/>
    <col min="2805" max="2808" width="20.5546875" style="1" customWidth="1"/>
    <col min="2809" max="2809" width="24" style="1" customWidth="1"/>
    <col min="2810" max="2810" width="8.88671875" style="1"/>
    <col min="2811" max="2811" width="12.77734375" style="1" bestFit="1" customWidth="1"/>
    <col min="2812" max="3056" width="8.88671875" style="1"/>
    <col min="3057" max="3057" width="8.21875" style="1" customWidth="1"/>
    <col min="3058" max="3058" width="89.77734375" style="1" customWidth="1"/>
    <col min="3059" max="3059" width="11.77734375" style="1" customWidth="1"/>
    <col min="3060" max="3060" width="15.21875" style="1" customWidth="1"/>
    <col min="3061" max="3064" width="20.5546875" style="1" customWidth="1"/>
    <col min="3065" max="3065" width="24" style="1" customWidth="1"/>
    <col min="3066" max="3066" width="8.88671875" style="1"/>
    <col min="3067" max="3067" width="12.77734375" style="1" bestFit="1" customWidth="1"/>
    <col min="3068" max="3312" width="8.88671875" style="1"/>
    <col min="3313" max="3313" width="8.21875" style="1" customWidth="1"/>
    <col min="3314" max="3314" width="89.77734375" style="1" customWidth="1"/>
    <col min="3315" max="3315" width="11.77734375" style="1" customWidth="1"/>
    <col min="3316" max="3316" width="15.21875" style="1" customWidth="1"/>
    <col min="3317" max="3320" width="20.5546875" style="1" customWidth="1"/>
    <col min="3321" max="3321" width="24" style="1" customWidth="1"/>
    <col min="3322" max="3322" width="8.88671875" style="1"/>
    <col min="3323" max="3323" width="12.77734375" style="1" bestFit="1" customWidth="1"/>
    <col min="3324" max="3568" width="8.88671875" style="1"/>
    <col min="3569" max="3569" width="8.21875" style="1" customWidth="1"/>
    <col min="3570" max="3570" width="89.77734375" style="1" customWidth="1"/>
    <col min="3571" max="3571" width="11.77734375" style="1" customWidth="1"/>
    <col min="3572" max="3572" width="15.21875" style="1" customWidth="1"/>
    <col min="3573" max="3576" width="20.5546875" style="1" customWidth="1"/>
    <col min="3577" max="3577" width="24" style="1" customWidth="1"/>
    <col min="3578" max="3578" width="8.88671875" style="1"/>
    <col min="3579" max="3579" width="12.77734375" style="1" bestFit="1" customWidth="1"/>
    <col min="3580" max="3824" width="8.88671875" style="1"/>
    <col min="3825" max="3825" width="8.21875" style="1" customWidth="1"/>
    <col min="3826" max="3826" width="89.77734375" style="1" customWidth="1"/>
    <col min="3827" max="3827" width="11.77734375" style="1" customWidth="1"/>
    <col min="3828" max="3828" width="15.21875" style="1" customWidth="1"/>
    <col min="3829" max="3832" width="20.5546875" style="1" customWidth="1"/>
    <col min="3833" max="3833" width="24" style="1" customWidth="1"/>
    <col min="3834" max="3834" width="8.88671875" style="1"/>
    <col min="3835" max="3835" width="12.77734375" style="1" bestFit="1" customWidth="1"/>
    <col min="3836" max="4080" width="8.88671875" style="1"/>
    <col min="4081" max="4081" width="8.21875" style="1" customWidth="1"/>
    <col min="4082" max="4082" width="89.77734375" style="1" customWidth="1"/>
    <col min="4083" max="4083" width="11.77734375" style="1" customWidth="1"/>
    <col min="4084" max="4084" width="15.21875" style="1" customWidth="1"/>
    <col min="4085" max="4088" width="20.5546875" style="1" customWidth="1"/>
    <col min="4089" max="4089" width="24" style="1" customWidth="1"/>
    <col min="4090" max="4090" width="8.88671875" style="1"/>
    <col min="4091" max="4091" width="12.77734375" style="1" bestFit="1" customWidth="1"/>
    <col min="4092" max="4336" width="8.88671875" style="1"/>
    <col min="4337" max="4337" width="8.21875" style="1" customWidth="1"/>
    <col min="4338" max="4338" width="89.77734375" style="1" customWidth="1"/>
    <col min="4339" max="4339" width="11.77734375" style="1" customWidth="1"/>
    <col min="4340" max="4340" width="15.21875" style="1" customWidth="1"/>
    <col min="4341" max="4344" width="20.5546875" style="1" customWidth="1"/>
    <col min="4345" max="4345" width="24" style="1" customWidth="1"/>
    <col min="4346" max="4346" width="8.88671875" style="1"/>
    <col min="4347" max="4347" width="12.77734375" style="1" bestFit="1" customWidth="1"/>
    <col min="4348" max="4592" width="8.88671875" style="1"/>
    <col min="4593" max="4593" width="8.21875" style="1" customWidth="1"/>
    <col min="4594" max="4594" width="89.77734375" style="1" customWidth="1"/>
    <col min="4595" max="4595" width="11.77734375" style="1" customWidth="1"/>
    <col min="4596" max="4596" width="15.21875" style="1" customWidth="1"/>
    <col min="4597" max="4600" width="20.5546875" style="1" customWidth="1"/>
    <col min="4601" max="4601" width="24" style="1" customWidth="1"/>
    <col min="4602" max="4602" width="8.88671875" style="1"/>
    <col min="4603" max="4603" width="12.77734375" style="1" bestFit="1" customWidth="1"/>
    <col min="4604" max="4848" width="8.88671875" style="1"/>
    <col min="4849" max="4849" width="8.21875" style="1" customWidth="1"/>
    <col min="4850" max="4850" width="89.77734375" style="1" customWidth="1"/>
    <col min="4851" max="4851" width="11.77734375" style="1" customWidth="1"/>
    <col min="4852" max="4852" width="15.21875" style="1" customWidth="1"/>
    <col min="4853" max="4856" width="20.5546875" style="1" customWidth="1"/>
    <col min="4857" max="4857" width="24" style="1" customWidth="1"/>
    <col min="4858" max="4858" width="8.88671875" style="1"/>
    <col min="4859" max="4859" width="12.77734375" style="1" bestFit="1" customWidth="1"/>
    <col min="4860" max="5104" width="8.88671875" style="1"/>
    <col min="5105" max="5105" width="8.21875" style="1" customWidth="1"/>
    <col min="5106" max="5106" width="89.77734375" style="1" customWidth="1"/>
    <col min="5107" max="5107" width="11.77734375" style="1" customWidth="1"/>
    <col min="5108" max="5108" width="15.21875" style="1" customWidth="1"/>
    <col min="5109" max="5112" width="20.5546875" style="1" customWidth="1"/>
    <col min="5113" max="5113" width="24" style="1" customWidth="1"/>
    <col min="5114" max="5114" width="8.88671875" style="1"/>
    <col min="5115" max="5115" width="12.77734375" style="1" bestFit="1" customWidth="1"/>
    <col min="5116" max="5360" width="8.88671875" style="1"/>
    <col min="5361" max="5361" width="8.21875" style="1" customWidth="1"/>
    <col min="5362" max="5362" width="89.77734375" style="1" customWidth="1"/>
    <col min="5363" max="5363" width="11.77734375" style="1" customWidth="1"/>
    <col min="5364" max="5364" width="15.21875" style="1" customWidth="1"/>
    <col min="5365" max="5368" width="20.5546875" style="1" customWidth="1"/>
    <col min="5369" max="5369" width="24" style="1" customWidth="1"/>
    <col min="5370" max="5370" width="8.88671875" style="1"/>
    <col min="5371" max="5371" width="12.77734375" style="1" bestFit="1" customWidth="1"/>
    <col min="5372" max="5616" width="8.88671875" style="1"/>
    <col min="5617" max="5617" width="8.21875" style="1" customWidth="1"/>
    <col min="5618" max="5618" width="89.77734375" style="1" customWidth="1"/>
    <col min="5619" max="5619" width="11.77734375" style="1" customWidth="1"/>
    <col min="5620" max="5620" width="15.21875" style="1" customWidth="1"/>
    <col min="5621" max="5624" width="20.5546875" style="1" customWidth="1"/>
    <col min="5625" max="5625" width="24" style="1" customWidth="1"/>
    <col min="5626" max="5626" width="8.88671875" style="1"/>
    <col min="5627" max="5627" width="12.77734375" style="1" bestFit="1" customWidth="1"/>
    <col min="5628" max="5872" width="8.88671875" style="1"/>
    <col min="5873" max="5873" width="8.21875" style="1" customWidth="1"/>
    <col min="5874" max="5874" width="89.77734375" style="1" customWidth="1"/>
    <col min="5875" max="5875" width="11.77734375" style="1" customWidth="1"/>
    <col min="5876" max="5876" width="15.21875" style="1" customWidth="1"/>
    <col min="5877" max="5880" width="20.5546875" style="1" customWidth="1"/>
    <col min="5881" max="5881" width="24" style="1" customWidth="1"/>
    <col min="5882" max="5882" width="8.88671875" style="1"/>
    <col min="5883" max="5883" width="12.77734375" style="1" bestFit="1" customWidth="1"/>
    <col min="5884" max="6128" width="8.88671875" style="1"/>
    <col min="6129" max="6129" width="8.21875" style="1" customWidth="1"/>
    <col min="6130" max="6130" width="89.77734375" style="1" customWidth="1"/>
    <col min="6131" max="6131" width="11.77734375" style="1" customWidth="1"/>
    <col min="6132" max="6132" width="15.21875" style="1" customWidth="1"/>
    <col min="6133" max="6136" width="20.5546875" style="1" customWidth="1"/>
    <col min="6137" max="6137" width="24" style="1" customWidth="1"/>
    <col min="6138" max="6138" width="8.88671875" style="1"/>
    <col min="6139" max="6139" width="12.77734375" style="1" bestFit="1" customWidth="1"/>
    <col min="6140" max="6384" width="8.88671875" style="1"/>
    <col min="6385" max="6385" width="8.21875" style="1" customWidth="1"/>
    <col min="6386" max="6386" width="89.77734375" style="1" customWidth="1"/>
    <col min="6387" max="6387" width="11.77734375" style="1" customWidth="1"/>
    <col min="6388" max="6388" width="15.21875" style="1" customWidth="1"/>
    <col min="6389" max="6392" width="20.5546875" style="1" customWidth="1"/>
    <col min="6393" max="6393" width="24" style="1" customWidth="1"/>
    <col min="6394" max="6394" width="8.88671875" style="1"/>
    <col min="6395" max="6395" width="12.77734375" style="1" bestFit="1" customWidth="1"/>
    <col min="6396" max="6640" width="8.88671875" style="1"/>
    <col min="6641" max="6641" width="8.21875" style="1" customWidth="1"/>
    <col min="6642" max="6642" width="89.77734375" style="1" customWidth="1"/>
    <col min="6643" max="6643" width="11.77734375" style="1" customWidth="1"/>
    <col min="6644" max="6644" width="15.21875" style="1" customWidth="1"/>
    <col min="6645" max="6648" width="20.5546875" style="1" customWidth="1"/>
    <col min="6649" max="6649" width="24" style="1" customWidth="1"/>
    <col min="6650" max="6650" width="8.88671875" style="1"/>
    <col min="6651" max="6651" width="12.77734375" style="1" bestFit="1" customWidth="1"/>
    <col min="6652" max="6896" width="8.88671875" style="1"/>
    <col min="6897" max="6897" width="8.21875" style="1" customWidth="1"/>
    <col min="6898" max="6898" width="89.77734375" style="1" customWidth="1"/>
    <col min="6899" max="6899" width="11.77734375" style="1" customWidth="1"/>
    <col min="6900" max="6900" width="15.21875" style="1" customWidth="1"/>
    <col min="6901" max="6904" width="20.5546875" style="1" customWidth="1"/>
    <col min="6905" max="6905" width="24" style="1" customWidth="1"/>
    <col min="6906" max="6906" width="8.88671875" style="1"/>
    <col min="6907" max="6907" width="12.77734375" style="1" bestFit="1" customWidth="1"/>
    <col min="6908" max="7152" width="8.88671875" style="1"/>
    <col min="7153" max="7153" width="8.21875" style="1" customWidth="1"/>
    <col min="7154" max="7154" width="89.77734375" style="1" customWidth="1"/>
    <col min="7155" max="7155" width="11.77734375" style="1" customWidth="1"/>
    <col min="7156" max="7156" width="15.21875" style="1" customWidth="1"/>
    <col min="7157" max="7160" width="20.5546875" style="1" customWidth="1"/>
    <col min="7161" max="7161" width="24" style="1" customWidth="1"/>
    <col min="7162" max="7162" width="8.88671875" style="1"/>
    <col min="7163" max="7163" width="12.77734375" style="1" bestFit="1" customWidth="1"/>
    <col min="7164" max="7408" width="8.88671875" style="1"/>
    <col min="7409" max="7409" width="8.21875" style="1" customWidth="1"/>
    <col min="7410" max="7410" width="89.77734375" style="1" customWidth="1"/>
    <col min="7411" max="7411" width="11.77734375" style="1" customWidth="1"/>
    <col min="7412" max="7412" width="15.21875" style="1" customWidth="1"/>
    <col min="7413" max="7416" width="20.5546875" style="1" customWidth="1"/>
    <col min="7417" max="7417" width="24" style="1" customWidth="1"/>
    <col min="7418" max="7418" width="8.88671875" style="1"/>
    <col min="7419" max="7419" width="12.77734375" style="1" bestFit="1" customWidth="1"/>
    <col min="7420" max="7664" width="8.88671875" style="1"/>
    <col min="7665" max="7665" width="8.21875" style="1" customWidth="1"/>
    <col min="7666" max="7666" width="89.77734375" style="1" customWidth="1"/>
    <col min="7667" max="7667" width="11.77734375" style="1" customWidth="1"/>
    <col min="7668" max="7668" width="15.21875" style="1" customWidth="1"/>
    <col min="7669" max="7672" width="20.5546875" style="1" customWidth="1"/>
    <col min="7673" max="7673" width="24" style="1" customWidth="1"/>
    <col min="7674" max="7674" width="8.88671875" style="1"/>
    <col min="7675" max="7675" width="12.77734375" style="1" bestFit="1" customWidth="1"/>
    <col min="7676" max="7920" width="8.88671875" style="1"/>
    <col min="7921" max="7921" width="8.21875" style="1" customWidth="1"/>
    <col min="7922" max="7922" width="89.77734375" style="1" customWidth="1"/>
    <col min="7923" max="7923" width="11.77734375" style="1" customWidth="1"/>
    <col min="7924" max="7924" width="15.21875" style="1" customWidth="1"/>
    <col min="7925" max="7928" width="20.5546875" style="1" customWidth="1"/>
    <col min="7929" max="7929" width="24" style="1" customWidth="1"/>
    <col min="7930" max="7930" width="8.88671875" style="1"/>
    <col min="7931" max="7931" width="12.77734375" style="1" bestFit="1" customWidth="1"/>
    <col min="7932" max="8176" width="8.88671875" style="1"/>
    <col min="8177" max="8177" width="8.21875" style="1" customWidth="1"/>
    <col min="8178" max="8178" width="89.77734375" style="1" customWidth="1"/>
    <col min="8179" max="8179" width="11.77734375" style="1" customWidth="1"/>
    <col min="8180" max="8180" width="15.21875" style="1" customWidth="1"/>
    <col min="8181" max="8184" width="20.5546875" style="1" customWidth="1"/>
    <col min="8185" max="8185" width="24" style="1" customWidth="1"/>
    <col min="8186" max="8186" width="8.88671875" style="1"/>
    <col min="8187" max="8187" width="12.77734375" style="1" bestFit="1" customWidth="1"/>
    <col min="8188" max="8432" width="8.88671875" style="1"/>
    <col min="8433" max="8433" width="8.21875" style="1" customWidth="1"/>
    <col min="8434" max="8434" width="89.77734375" style="1" customWidth="1"/>
    <col min="8435" max="8435" width="11.77734375" style="1" customWidth="1"/>
    <col min="8436" max="8436" width="15.21875" style="1" customWidth="1"/>
    <col min="8437" max="8440" width="20.5546875" style="1" customWidth="1"/>
    <col min="8441" max="8441" width="24" style="1" customWidth="1"/>
    <col min="8442" max="8442" width="8.88671875" style="1"/>
    <col min="8443" max="8443" width="12.77734375" style="1" bestFit="1" customWidth="1"/>
    <col min="8444" max="8688" width="8.88671875" style="1"/>
    <col min="8689" max="8689" width="8.21875" style="1" customWidth="1"/>
    <col min="8690" max="8690" width="89.77734375" style="1" customWidth="1"/>
    <col min="8691" max="8691" width="11.77734375" style="1" customWidth="1"/>
    <col min="8692" max="8692" width="15.21875" style="1" customWidth="1"/>
    <col min="8693" max="8696" width="20.5546875" style="1" customWidth="1"/>
    <col min="8697" max="8697" width="24" style="1" customWidth="1"/>
    <col min="8698" max="8698" width="8.88671875" style="1"/>
    <col min="8699" max="8699" width="12.77734375" style="1" bestFit="1" customWidth="1"/>
    <col min="8700" max="8944" width="8.88671875" style="1"/>
    <col min="8945" max="8945" width="8.21875" style="1" customWidth="1"/>
    <col min="8946" max="8946" width="89.77734375" style="1" customWidth="1"/>
    <col min="8947" max="8947" width="11.77734375" style="1" customWidth="1"/>
    <col min="8948" max="8948" width="15.21875" style="1" customWidth="1"/>
    <col min="8949" max="8952" width="20.5546875" style="1" customWidth="1"/>
    <col min="8953" max="8953" width="24" style="1" customWidth="1"/>
    <col min="8954" max="8954" width="8.88671875" style="1"/>
    <col min="8955" max="8955" width="12.77734375" style="1" bestFit="1" customWidth="1"/>
    <col min="8956" max="9200" width="8.88671875" style="1"/>
    <col min="9201" max="9201" width="8.21875" style="1" customWidth="1"/>
    <col min="9202" max="9202" width="89.77734375" style="1" customWidth="1"/>
    <col min="9203" max="9203" width="11.77734375" style="1" customWidth="1"/>
    <col min="9204" max="9204" width="15.21875" style="1" customWidth="1"/>
    <col min="9205" max="9208" width="20.5546875" style="1" customWidth="1"/>
    <col min="9209" max="9209" width="24" style="1" customWidth="1"/>
    <col min="9210" max="9210" width="8.88671875" style="1"/>
    <col min="9211" max="9211" width="12.77734375" style="1" bestFit="1" customWidth="1"/>
    <col min="9212" max="9456" width="8.88671875" style="1"/>
    <col min="9457" max="9457" width="8.21875" style="1" customWidth="1"/>
    <col min="9458" max="9458" width="89.77734375" style="1" customWidth="1"/>
    <col min="9459" max="9459" width="11.77734375" style="1" customWidth="1"/>
    <col min="9460" max="9460" width="15.21875" style="1" customWidth="1"/>
    <col min="9461" max="9464" width="20.5546875" style="1" customWidth="1"/>
    <col min="9465" max="9465" width="24" style="1" customWidth="1"/>
    <col min="9466" max="9466" width="8.88671875" style="1"/>
    <col min="9467" max="9467" width="12.77734375" style="1" bestFit="1" customWidth="1"/>
    <col min="9468" max="9712" width="8.88671875" style="1"/>
    <col min="9713" max="9713" width="8.21875" style="1" customWidth="1"/>
    <col min="9714" max="9714" width="89.77734375" style="1" customWidth="1"/>
    <col min="9715" max="9715" width="11.77734375" style="1" customWidth="1"/>
    <col min="9716" max="9716" width="15.21875" style="1" customWidth="1"/>
    <col min="9717" max="9720" width="20.5546875" style="1" customWidth="1"/>
    <col min="9721" max="9721" width="24" style="1" customWidth="1"/>
    <col min="9722" max="9722" width="8.88671875" style="1"/>
    <col min="9723" max="9723" width="12.77734375" style="1" bestFit="1" customWidth="1"/>
    <col min="9724" max="9968" width="8.88671875" style="1"/>
    <col min="9969" max="9969" width="8.21875" style="1" customWidth="1"/>
    <col min="9970" max="9970" width="89.77734375" style="1" customWidth="1"/>
    <col min="9971" max="9971" width="11.77734375" style="1" customWidth="1"/>
    <col min="9972" max="9972" width="15.21875" style="1" customWidth="1"/>
    <col min="9973" max="9976" width="20.5546875" style="1" customWidth="1"/>
    <col min="9977" max="9977" width="24" style="1" customWidth="1"/>
    <col min="9978" max="9978" width="8.88671875" style="1"/>
    <col min="9979" max="9979" width="12.77734375" style="1" bestFit="1" customWidth="1"/>
    <col min="9980" max="10224" width="8.88671875" style="1"/>
    <col min="10225" max="10225" width="8.21875" style="1" customWidth="1"/>
    <col min="10226" max="10226" width="89.77734375" style="1" customWidth="1"/>
    <col min="10227" max="10227" width="11.77734375" style="1" customWidth="1"/>
    <col min="10228" max="10228" width="15.21875" style="1" customWidth="1"/>
    <col min="10229" max="10232" width="20.5546875" style="1" customWidth="1"/>
    <col min="10233" max="10233" width="24" style="1" customWidth="1"/>
    <col min="10234" max="10234" width="8.88671875" style="1"/>
    <col min="10235" max="10235" width="12.77734375" style="1" bestFit="1" customWidth="1"/>
    <col min="10236" max="10480" width="8.88671875" style="1"/>
    <col min="10481" max="10481" width="8.21875" style="1" customWidth="1"/>
    <col min="10482" max="10482" width="89.77734375" style="1" customWidth="1"/>
    <col min="10483" max="10483" width="11.77734375" style="1" customWidth="1"/>
    <col min="10484" max="10484" width="15.21875" style="1" customWidth="1"/>
    <col min="10485" max="10488" width="20.5546875" style="1" customWidth="1"/>
    <col min="10489" max="10489" width="24" style="1" customWidth="1"/>
    <col min="10490" max="10490" width="8.88671875" style="1"/>
    <col min="10491" max="10491" width="12.77734375" style="1" bestFit="1" customWidth="1"/>
    <col min="10492" max="10736" width="8.88671875" style="1"/>
    <col min="10737" max="10737" width="8.21875" style="1" customWidth="1"/>
    <col min="10738" max="10738" width="89.77734375" style="1" customWidth="1"/>
    <col min="10739" max="10739" width="11.77734375" style="1" customWidth="1"/>
    <col min="10740" max="10740" width="15.21875" style="1" customWidth="1"/>
    <col min="10741" max="10744" width="20.5546875" style="1" customWidth="1"/>
    <col min="10745" max="10745" width="24" style="1" customWidth="1"/>
    <col min="10746" max="10746" width="8.88671875" style="1"/>
    <col min="10747" max="10747" width="12.77734375" style="1" bestFit="1" customWidth="1"/>
    <col min="10748" max="10992" width="8.88671875" style="1"/>
    <col min="10993" max="10993" width="8.21875" style="1" customWidth="1"/>
    <col min="10994" max="10994" width="89.77734375" style="1" customWidth="1"/>
    <col min="10995" max="10995" width="11.77734375" style="1" customWidth="1"/>
    <col min="10996" max="10996" width="15.21875" style="1" customWidth="1"/>
    <col min="10997" max="11000" width="20.5546875" style="1" customWidth="1"/>
    <col min="11001" max="11001" width="24" style="1" customWidth="1"/>
    <col min="11002" max="11002" width="8.88671875" style="1"/>
    <col min="11003" max="11003" width="12.77734375" style="1" bestFit="1" customWidth="1"/>
    <col min="11004" max="11248" width="8.88671875" style="1"/>
    <col min="11249" max="11249" width="8.21875" style="1" customWidth="1"/>
    <col min="11250" max="11250" width="89.77734375" style="1" customWidth="1"/>
    <col min="11251" max="11251" width="11.77734375" style="1" customWidth="1"/>
    <col min="11252" max="11252" width="15.21875" style="1" customWidth="1"/>
    <col min="11253" max="11256" width="20.5546875" style="1" customWidth="1"/>
    <col min="11257" max="11257" width="24" style="1" customWidth="1"/>
    <col min="11258" max="11258" width="8.88671875" style="1"/>
    <col min="11259" max="11259" width="12.77734375" style="1" bestFit="1" customWidth="1"/>
    <col min="11260" max="11504" width="8.88671875" style="1"/>
    <col min="11505" max="11505" width="8.21875" style="1" customWidth="1"/>
    <col min="11506" max="11506" width="89.77734375" style="1" customWidth="1"/>
    <col min="11507" max="11507" width="11.77734375" style="1" customWidth="1"/>
    <col min="11508" max="11508" width="15.21875" style="1" customWidth="1"/>
    <col min="11509" max="11512" width="20.5546875" style="1" customWidth="1"/>
    <col min="11513" max="11513" width="24" style="1" customWidth="1"/>
    <col min="11514" max="11514" width="8.88671875" style="1"/>
    <col min="11515" max="11515" width="12.77734375" style="1" bestFit="1" customWidth="1"/>
    <col min="11516" max="11760" width="8.88671875" style="1"/>
    <col min="11761" max="11761" width="8.21875" style="1" customWidth="1"/>
    <col min="11762" max="11762" width="89.77734375" style="1" customWidth="1"/>
    <col min="11763" max="11763" width="11.77734375" style="1" customWidth="1"/>
    <col min="11764" max="11764" width="15.21875" style="1" customWidth="1"/>
    <col min="11765" max="11768" width="20.5546875" style="1" customWidth="1"/>
    <col min="11769" max="11769" width="24" style="1" customWidth="1"/>
    <col min="11770" max="11770" width="8.88671875" style="1"/>
    <col min="11771" max="11771" width="12.77734375" style="1" bestFit="1" customWidth="1"/>
    <col min="11772" max="12016" width="8.88671875" style="1"/>
    <col min="12017" max="12017" width="8.21875" style="1" customWidth="1"/>
    <col min="12018" max="12018" width="89.77734375" style="1" customWidth="1"/>
    <col min="12019" max="12019" width="11.77734375" style="1" customWidth="1"/>
    <col min="12020" max="12020" width="15.21875" style="1" customWidth="1"/>
    <col min="12021" max="12024" width="20.5546875" style="1" customWidth="1"/>
    <col min="12025" max="12025" width="24" style="1" customWidth="1"/>
    <col min="12026" max="12026" width="8.88671875" style="1"/>
    <col min="12027" max="12027" width="12.77734375" style="1" bestFit="1" customWidth="1"/>
    <col min="12028" max="12272" width="8.88671875" style="1"/>
    <col min="12273" max="12273" width="8.21875" style="1" customWidth="1"/>
    <col min="12274" max="12274" width="89.77734375" style="1" customWidth="1"/>
    <col min="12275" max="12275" width="11.77734375" style="1" customWidth="1"/>
    <col min="12276" max="12276" width="15.21875" style="1" customWidth="1"/>
    <col min="12277" max="12280" width="20.5546875" style="1" customWidth="1"/>
    <col min="12281" max="12281" width="24" style="1" customWidth="1"/>
    <col min="12282" max="12282" width="8.88671875" style="1"/>
    <col min="12283" max="12283" width="12.77734375" style="1" bestFit="1" customWidth="1"/>
    <col min="12284" max="12528" width="8.88671875" style="1"/>
    <col min="12529" max="12529" width="8.21875" style="1" customWidth="1"/>
    <col min="12530" max="12530" width="89.77734375" style="1" customWidth="1"/>
    <col min="12531" max="12531" width="11.77734375" style="1" customWidth="1"/>
    <col min="12532" max="12532" width="15.21875" style="1" customWidth="1"/>
    <col min="12533" max="12536" width="20.5546875" style="1" customWidth="1"/>
    <col min="12537" max="12537" width="24" style="1" customWidth="1"/>
    <col min="12538" max="12538" width="8.88671875" style="1"/>
    <col min="12539" max="12539" width="12.77734375" style="1" bestFit="1" customWidth="1"/>
    <col min="12540" max="12784" width="8.88671875" style="1"/>
    <col min="12785" max="12785" width="8.21875" style="1" customWidth="1"/>
    <col min="12786" max="12786" width="89.77734375" style="1" customWidth="1"/>
    <col min="12787" max="12787" width="11.77734375" style="1" customWidth="1"/>
    <col min="12788" max="12788" width="15.21875" style="1" customWidth="1"/>
    <col min="12789" max="12792" width="20.5546875" style="1" customWidth="1"/>
    <col min="12793" max="12793" width="24" style="1" customWidth="1"/>
    <col min="12794" max="12794" width="8.88671875" style="1"/>
    <col min="12795" max="12795" width="12.77734375" style="1" bestFit="1" customWidth="1"/>
    <col min="12796" max="13040" width="8.88671875" style="1"/>
    <col min="13041" max="13041" width="8.21875" style="1" customWidth="1"/>
    <col min="13042" max="13042" width="89.77734375" style="1" customWidth="1"/>
    <col min="13043" max="13043" width="11.77734375" style="1" customWidth="1"/>
    <col min="13044" max="13044" width="15.21875" style="1" customWidth="1"/>
    <col min="13045" max="13048" width="20.5546875" style="1" customWidth="1"/>
    <col min="13049" max="13049" width="24" style="1" customWidth="1"/>
    <col min="13050" max="13050" width="8.88671875" style="1"/>
    <col min="13051" max="13051" width="12.77734375" style="1" bestFit="1" customWidth="1"/>
    <col min="13052" max="13296" width="8.88671875" style="1"/>
    <col min="13297" max="13297" width="8.21875" style="1" customWidth="1"/>
    <col min="13298" max="13298" width="89.77734375" style="1" customWidth="1"/>
    <col min="13299" max="13299" width="11.77734375" style="1" customWidth="1"/>
    <col min="13300" max="13300" width="15.21875" style="1" customWidth="1"/>
    <col min="13301" max="13304" width="20.5546875" style="1" customWidth="1"/>
    <col min="13305" max="13305" width="24" style="1" customWidth="1"/>
    <col min="13306" max="13306" width="8.88671875" style="1"/>
    <col min="13307" max="13307" width="12.77734375" style="1" bestFit="1" customWidth="1"/>
    <col min="13308" max="13552" width="8.88671875" style="1"/>
    <col min="13553" max="13553" width="8.21875" style="1" customWidth="1"/>
    <col min="13554" max="13554" width="89.77734375" style="1" customWidth="1"/>
    <col min="13555" max="13555" width="11.77734375" style="1" customWidth="1"/>
    <col min="13556" max="13556" width="15.21875" style="1" customWidth="1"/>
    <col min="13557" max="13560" width="20.5546875" style="1" customWidth="1"/>
    <col min="13561" max="13561" width="24" style="1" customWidth="1"/>
    <col min="13562" max="13562" width="8.88671875" style="1"/>
    <col min="13563" max="13563" width="12.77734375" style="1" bestFit="1" customWidth="1"/>
    <col min="13564" max="13808" width="8.88671875" style="1"/>
    <col min="13809" max="13809" width="8.21875" style="1" customWidth="1"/>
    <col min="13810" max="13810" width="89.77734375" style="1" customWidth="1"/>
    <col min="13811" max="13811" width="11.77734375" style="1" customWidth="1"/>
    <col min="13812" max="13812" width="15.21875" style="1" customWidth="1"/>
    <col min="13813" max="13816" width="20.5546875" style="1" customWidth="1"/>
    <col min="13817" max="13817" width="24" style="1" customWidth="1"/>
    <col min="13818" max="13818" width="8.88671875" style="1"/>
    <col min="13819" max="13819" width="12.77734375" style="1" bestFit="1" customWidth="1"/>
    <col min="13820" max="14064" width="8.88671875" style="1"/>
    <col min="14065" max="14065" width="8.21875" style="1" customWidth="1"/>
    <col min="14066" max="14066" width="89.77734375" style="1" customWidth="1"/>
    <col min="14067" max="14067" width="11.77734375" style="1" customWidth="1"/>
    <col min="14068" max="14068" width="15.21875" style="1" customWidth="1"/>
    <col min="14069" max="14072" width="20.5546875" style="1" customWidth="1"/>
    <col min="14073" max="14073" width="24" style="1" customWidth="1"/>
    <col min="14074" max="14074" width="8.88671875" style="1"/>
    <col min="14075" max="14075" width="12.77734375" style="1" bestFit="1" customWidth="1"/>
    <col min="14076" max="14320" width="8.88671875" style="1"/>
    <col min="14321" max="14321" width="8.21875" style="1" customWidth="1"/>
    <col min="14322" max="14322" width="89.77734375" style="1" customWidth="1"/>
    <col min="14323" max="14323" width="11.77734375" style="1" customWidth="1"/>
    <col min="14324" max="14324" width="15.21875" style="1" customWidth="1"/>
    <col min="14325" max="14328" width="20.5546875" style="1" customWidth="1"/>
    <col min="14329" max="14329" width="24" style="1" customWidth="1"/>
    <col min="14330" max="14330" width="8.88671875" style="1"/>
    <col min="14331" max="14331" width="12.77734375" style="1" bestFit="1" customWidth="1"/>
    <col min="14332" max="14576" width="8.88671875" style="1"/>
    <col min="14577" max="14577" width="8.21875" style="1" customWidth="1"/>
    <col min="14578" max="14578" width="89.77734375" style="1" customWidth="1"/>
    <col min="14579" max="14579" width="11.77734375" style="1" customWidth="1"/>
    <col min="14580" max="14580" width="15.21875" style="1" customWidth="1"/>
    <col min="14581" max="14584" width="20.5546875" style="1" customWidth="1"/>
    <col min="14585" max="14585" width="24" style="1" customWidth="1"/>
    <col min="14586" max="14586" width="8.88671875" style="1"/>
    <col min="14587" max="14587" width="12.77734375" style="1" bestFit="1" customWidth="1"/>
    <col min="14588" max="14832" width="8.88671875" style="1"/>
    <col min="14833" max="14833" width="8.21875" style="1" customWidth="1"/>
    <col min="14834" max="14834" width="89.77734375" style="1" customWidth="1"/>
    <col min="14835" max="14835" width="11.77734375" style="1" customWidth="1"/>
    <col min="14836" max="14836" width="15.21875" style="1" customWidth="1"/>
    <col min="14837" max="14840" width="20.5546875" style="1" customWidth="1"/>
    <col min="14841" max="14841" width="24" style="1" customWidth="1"/>
    <col min="14842" max="14842" width="8.88671875" style="1"/>
    <col min="14843" max="14843" width="12.77734375" style="1" bestFit="1" customWidth="1"/>
    <col min="14844" max="15088" width="8.88671875" style="1"/>
    <col min="15089" max="15089" width="8.21875" style="1" customWidth="1"/>
    <col min="15090" max="15090" width="89.77734375" style="1" customWidth="1"/>
    <col min="15091" max="15091" width="11.77734375" style="1" customWidth="1"/>
    <col min="15092" max="15092" width="15.21875" style="1" customWidth="1"/>
    <col min="15093" max="15096" width="20.5546875" style="1" customWidth="1"/>
    <col min="15097" max="15097" width="24" style="1" customWidth="1"/>
    <col min="15098" max="15098" width="8.88671875" style="1"/>
    <col min="15099" max="15099" width="12.77734375" style="1" bestFit="1" customWidth="1"/>
    <col min="15100" max="15344" width="8.88671875" style="1"/>
    <col min="15345" max="15345" width="8.21875" style="1" customWidth="1"/>
    <col min="15346" max="15346" width="89.77734375" style="1" customWidth="1"/>
    <col min="15347" max="15347" width="11.77734375" style="1" customWidth="1"/>
    <col min="15348" max="15348" width="15.21875" style="1" customWidth="1"/>
    <col min="15349" max="15352" width="20.5546875" style="1" customWidth="1"/>
    <col min="15353" max="15353" width="24" style="1" customWidth="1"/>
    <col min="15354" max="15354" width="8.88671875" style="1"/>
    <col min="15355" max="15355" width="12.77734375" style="1" bestFit="1" customWidth="1"/>
    <col min="15356" max="15600" width="8.88671875" style="1"/>
    <col min="15601" max="15601" width="8.21875" style="1" customWidth="1"/>
    <col min="15602" max="15602" width="89.77734375" style="1" customWidth="1"/>
    <col min="15603" max="15603" width="11.77734375" style="1" customWidth="1"/>
    <col min="15604" max="15604" width="15.21875" style="1" customWidth="1"/>
    <col min="15605" max="15608" width="20.5546875" style="1" customWidth="1"/>
    <col min="15609" max="15609" width="24" style="1" customWidth="1"/>
    <col min="15610" max="15610" width="8.88671875" style="1"/>
    <col min="15611" max="15611" width="12.77734375" style="1" bestFit="1" customWidth="1"/>
    <col min="15612" max="15856" width="8.88671875" style="1"/>
    <col min="15857" max="15857" width="8.21875" style="1" customWidth="1"/>
    <col min="15858" max="15858" width="89.77734375" style="1" customWidth="1"/>
    <col min="15859" max="15859" width="11.77734375" style="1" customWidth="1"/>
    <col min="15860" max="15860" width="15.21875" style="1" customWidth="1"/>
    <col min="15861" max="15864" width="20.5546875" style="1" customWidth="1"/>
    <col min="15865" max="15865" width="24" style="1" customWidth="1"/>
    <col min="15866" max="15866" width="8.88671875" style="1"/>
    <col min="15867" max="15867" width="12.77734375" style="1" bestFit="1" customWidth="1"/>
    <col min="15868" max="16112" width="8.88671875" style="1"/>
    <col min="16113" max="16113" width="8.21875" style="1" customWidth="1"/>
    <col min="16114" max="16114" width="89.77734375" style="1" customWidth="1"/>
    <col min="16115" max="16115" width="11.77734375" style="1" customWidth="1"/>
    <col min="16116" max="16116" width="15.21875" style="1" customWidth="1"/>
    <col min="16117" max="16120" width="20.5546875" style="1" customWidth="1"/>
    <col min="16121" max="16121" width="24" style="1" customWidth="1"/>
    <col min="16122" max="16122" width="8.88671875" style="1"/>
    <col min="16123" max="16123" width="12.77734375" style="1" bestFit="1" customWidth="1"/>
    <col min="16124" max="16384" width="8.88671875" style="1"/>
  </cols>
  <sheetData>
    <row r="1" spans="1:985" ht="7.8" customHeight="1" x14ac:dyDescent="0.3">
      <c r="A1" s="105"/>
      <c r="B1" s="105"/>
      <c r="C1" s="105"/>
      <c r="D1" s="105"/>
      <c r="E1" s="105"/>
      <c r="F1" s="105"/>
      <c r="G1" s="105"/>
      <c r="H1" s="105"/>
      <c r="I1" s="105"/>
    </row>
    <row r="2" spans="1:985" s="3" customFormat="1" ht="21" customHeight="1" x14ac:dyDescent="0.2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</row>
    <row r="3" spans="1:985" ht="18" x14ac:dyDescent="0.35">
      <c r="A3" s="107"/>
      <c r="B3" s="107"/>
      <c r="C3" s="107"/>
      <c r="D3" s="107"/>
      <c r="E3" s="107"/>
      <c r="F3" s="107"/>
      <c r="G3" s="107"/>
      <c r="H3" s="107"/>
      <c r="I3" s="107"/>
    </row>
    <row r="4" spans="1:985" ht="16.2" thickBot="1" x14ac:dyDescent="0.35">
      <c r="A4" s="4"/>
      <c r="B4" s="4"/>
      <c r="C4" s="4"/>
      <c r="D4" s="4"/>
      <c r="E4" s="5"/>
      <c r="F4" s="4"/>
      <c r="G4" s="5"/>
      <c r="H4" s="4"/>
      <c r="I4" s="4"/>
    </row>
    <row r="5" spans="1:985" x14ac:dyDescent="0.3">
      <c r="A5" s="108" t="s">
        <v>1</v>
      </c>
      <c r="B5" s="110" t="s">
        <v>2</v>
      </c>
      <c r="C5" s="110" t="s">
        <v>3</v>
      </c>
      <c r="D5" s="112" t="s">
        <v>4</v>
      </c>
      <c r="E5" s="114" t="s">
        <v>5</v>
      </c>
      <c r="F5" s="114"/>
      <c r="G5" s="114" t="s">
        <v>6</v>
      </c>
      <c r="H5" s="114"/>
      <c r="I5" s="115" t="s">
        <v>7</v>
      </c>
    </row>
    <row r="6" spans="1:985" ht="25.8" customHeight="1" x14ac:dyDescent="0.3">
      <c r="A6" s="109"/>
      <c r="B6" s="111"/>
      <c r="C6" s="111"/>
      <c r="D6" s="113"/>
      <c r="E6" s="6" t="s">
        <v>8</v>
      </c>
      <c r="F6" s="6" t="s">
        <v>9</v>
      </c>
      <c r="G6" s="7" t="str">
        <f>E6</f>
        <v>Ціна, грн</v>
      </c>
      <c r="H6" s="8" t="str">
        <f>F6</f>
        <v>Вартість, грн</v>
      </c>
      <c r="I6" s="116"/>
    </row>
    <row r="7" spans="1:985" x14ac:dyDescent="0.3">
      <c r="A7" s="9"/>
      <c r="B7" s="10"/>
      <c r="C7" s="10"/>
      <c r="D7" s="11"/>
      <c r="E7" s="12"/>
      <c r="F7" s="12"/>
      <c r="G7" s="12"/>
      <c r="H7" s="12"/>
      <c r="I7" s="13"/>
    </row>
    <row r="8" spans="1:985" s="21" customFormat="1" ht="37.799999999999997" customHeight="1" x14ac:dyDescent="0.3">
      <c r="A8" s="14"/>
      <c r="B8" s="15" t="s">
        <v>10</v>
      </c>
      <c r="C8" s="16"/>
      <c r="D8" s="17"/>
      <c r="E8" s="18"/>
      <c r="F8" s="19" t="str">
        <f>IF(E8="","",#REF!*E8)</f>
        <v/>
      </c>
      <c r="G8" s="18"/>
      <c r="H8" s="18" t="str">
        <f>IF(G8="","",D8*G8)</f>
        <v/>
      </c>
      <c r="I8" s="20"/>
    </row>
    <row r="9" spans="1:985" s="21" customFormat="1" ht="31.2" x14ac:dyDescent="0.3">
      <c r="A9" s="22">
        <f>IF(ISBLANK(G9),"",COUNTA(G$8:G9))</f>
        <v>1</v>
      </c>
      <c r="B9" s="23" t="s">
        <v>11</v>
      </c>
      <c r="C9" s="24" t="s">
        <v>12</v>
      </c>
      <c r="D9" s="25">
        <v>207.3</v>
      </c>
      <c r="E9" s="26"/>
      <c r="F9" s="26"/>
      <c r="G9" s="26">
        <v>0</v>
      </c>
      <c r="H9" s="26">
        <f>D9*G9</f>
        <v>0</v>
      </c>
      <c r="I9" s="27">
        <f t="shared" ref="I9:I32" si="0">F9+H9</f>
        <v>0</v>
      </c>
    </row>
    <row r="10" spans="1:985" s="21" customFormat="1" ht="15.75" customHeight="1" x14ac:dyDescent="0.3">
      <c r="A10" s="28" t="str">
        <f>IF(ISBLANK(G10),"",COUNTA(G$8:G10))</f>
        <v/>
      </c>
      <c r="B10" s="29" t="s">
        <v>13</v>
      </c>
      <c r="C10" s="30" t="s">
        <v>12</v>
      </c>
      <c r="D10" s="31">
        <f>D9*1.17</f>
        <v>242.541</v>
      </c>
      <c r="E10" s="31">
        <v>0</v>
      </c>
      <c r="F10" s="32">
        <f>D10*E10</f>
        <v>0</v>
      </c>
      <c r="G10" s="33"/>
      <c r="H10" s="33"/>
      <c r="I10" s="34">
        <f t="shared" si="0"/>
        <v>0</v>
      </c>
    </row>
    <row r="11" spans="1:985" s="21" customFormat="1" ht="15.75" customHeight="1" x14ac:dyDescent="0.3">
      <c r="A11" s="28" t="str">
        <f>IF(ISBLANK(G11),"",COUNTA(G$8:G11))</f>
        <v/>
      </c>
      <c r="B11" s="29" t="s">
        <v>14</v>
      </c>
      <c r="C11" s="30" t="s">
        <v>15</v>
      </c>
      <c r="D11" s="31">
        <v>10</v>
      </c>
      <c r="E11" s="31">
        <v>0</v>
      </c>
      <c r="F11" s="32">
        <f>D11*E11</f>
        <v>0</v>
      </c>
      <c r="G11" s="33"/>
      <c r="H11" s="33"/>
      <c r="I11" s="34">
        <f t="shared" si="0"/>
        <v>0</v>
      </c>
    </row>
    <row r="12" spans="1:985" s="35" customFormat="1" ht="15.6" customHeight="1" x14ac:dyDescent="0.3">
      <c r="A12" s="22">
        <f>IF(ISBLANK(G12),"",COUNTA(G$8:G12))</f>
        <v>2</v>
      </c>
      <c r="B12" s="23" t="s">
        <v>16</v>
      </c>
      <c r="C12" s="24" t="s">
        <v>12</v>
      </c>
      <c r="D12" s="25">
        <v>190.5</v>
      </c>
      <c r="E12" s="26"/>
      <c r="F12" s="26"/>
      <c r="G12" s="26">
        <v>0</v>
      </c>
      <c r="H12" s="26">
        <f>D12*G12</f>
        <v>0</v>
      </c>
      <c r="I12" s="27">
        <f t="shared" si="0"/>
        <v>0</v>
      </c>
    </row>
    <row r="13" spans="1:985" s="35" customFormat="1" ht="15.6" customHeight="1" x14ac:dyDescent="0.3">
      <c r="A13" s="28"/>
      <c r="B13" s="29" t="s">
        <v>17</v>
      </c>
      <c r="C13" s="30" t="s">
        <v>18</v>
      </c>
      <c r="D13" s="31">
        <f>0.2*1.03*D12</f>
        <v>39.243000000000002</v>
      </c>
      <c r="E13" s="31">
        <v>0</v>
      </c>
      <c r="F13" s="32">
        <f>D13*E13</f>
        <v>0</v>
      </c>
      <c r="G13" s="33"/>
      <c r="H13" s="33"/>
      <c r="I13" s="34">
        <f t="shared" si="0"/>
        <v>0</v>
      </c>
    </row>
    <row r="14" spans="1:985" s="35" customFormat="1" ht="15.6" x14ac:dyDescent="0.3">
      <c r="A14" s="28" t="str">
        <f>IF(ISBLANK(G14),"",COUNTA(G$8:G14))</f>
        <v/>
      </c>
      <c r="B14" s="29" t="s">
        <v>19</v>
      </c>
      <c r="C14" s="30" t="s">
        <v>15</v>
      </c>
      <c r="D14" s="31">
        <f>0.06*D12</f>
        <v>11.43</v>
      </c>
      <c r="E14" s="31">
        <v>0</v>
      </c>
      <c r="F14" s="32">
        <f>D14*E14</f>
        <v>0</v>
      </c>
      <c r="G14" s="33"/>
      <c r="H14" s="33"/>
      <c r="I14" s="34">
        <f t="shared" si="0"/>
        <v>0</v>
      </c>
    </row>
    <row r="15" spans="1:985" s="21" customFormat="1" ht="15.75" customHeight="1" x14ac:dyDescent="0.3">
      <c r="A15" s="28" t="str">
        <f>IF(ISBLANK(G15),"",COUNTA(G$8:G15))</f>
        <v/>
      </c>
      <c r="B15" s="29" t="s">
        <v>20</v>
      </c>
      <c r="C15" s="30" t="s">
        <v>15</v>
      </c>
      <c r="D15" s="31">
        <f>5*D12</f>
        <v>952.5</v>
      </c>
      <c r="E15" s="31">
        <v>0</v>
      </c>
      <c r="F15" s="32">
        <f>D15*E15</f>
        <v>0</v>
      </c>
      <c r="G15" s="33"/>
      <c r="H15" s="33"/>
      <c r="I15" s="34">
        <f t="shared" si="0"/>
        <v>0</v>
      </c>
    </row>
    <row r="16" spans="1:985" s="35" customFormat="1" ht="31.2" x14ac:dyDescent="0.3">
      <c r="A16" s="22">
        <f>IF(ISBLANK(G16),"",COUNTA(G$8:G16))</f>
        <v>3</v>
      </c>
      <c r="B16" s="23" t="s">
        <v>21</v>
      </c>
      <c r="C16" s="24" t="s">
        <v>12</v>
      </c>
      <c r="D16" s="25">
        <f>D12</f>
        <v>190.5</v>
      </c>
      <c r="E16" s="26"/>
      <c r="F16" s="26"/>
      <c r="G16" s="26">
        <v>0</v>
      </c>
      <c r="H16" s="26">
        <f>D16*G16</f>
        <v>0</v>
      </c>
      <c r="I16" s="27">
        <f t="shared" si="0"/>
        <v>0</v>
      </c>
    </row>
    <row r="17" spans="1:9" s="21" customFormat="1" ht="15.6" x14ac:dyDescent="0.3">
      <c r="A17" s="28" t="str">
        <f>IF(ISBLANK(G17),"",COUNTA(G$8:G17))</f>
        <v/>
      </c>
      <c r="B17" s="29" t="s">
        <v>17</v>
      </c>
      <c r="C17" s="30" t="s">
        <v>18</v>
      </c>
      <c r="D17" s="31">
        <f>0.06*1.07*D16</f>
        <v>12.230100000000002</v>
      </c>
      <c r="E17" s="31">
        <v>0</v>
      </c>
      <c r="F17" s="32">
        <f>D17*E17</f>
        <v>0</v>
      </c>
      <c r="G17" s="33"/>
      <c r="H17" s="33"/>
      <c r="I17" s="34">
        <f t="shared" si="0"/>
        <v>0</v>
      </c>
    </row>
    <row r="18" spans="1:9" s="21" customFormat="1" ht="15.75" customHeight="1" x14ac:dyDescent="0.3">
      <c r="A18" s="28" t="str">
        <f>IF(ISBLANK(G18),"",COUNTA(G$8:G18))</f>
        <v/>
      </c>
      <c r="B18" s="29" t="s">
        <v>19</v>
      </c>
      <c r="C18" s="30" t="s">
        <v>22</v>
      </c>
      <c r="D18" s="31">
        <f>0.1*D16</f>
        <v>19.05</v>
      </c>
      <c r="E18" s="31">
        <v>0</v>
      </c>
      <c r="F18" s="32">
        <f>D18*E18</f>
        <v>0</v>
      </c>
      <c r="G18" s="33"/>
      <c r="H18" s="33"/>
      <c r="I18" s="34">
        <f t="shared" si="0"/>
        <v>0</v>
      </c>
    </row>
    <row r="19" spans="1:9" s="21" customFormat="1" ht="15.75" customHeight="1" x14ac:dyDescent="0.3">
      <c r="A19" s="22">
        <f>IF(ISBLANK(G19),"",COUNTA(G$8:G19))</f>
        <v>4</v>
      </c>
      <c r="B19" s="23" t="s">
        <v>23</v>
      </c>
      <c r="C19" s="24" t="s">
        <v>12</v>
      </c>
      <c r="D19" s="25">
        <f>D12</f>
        <v>190.5</v>
      </c>
      <c r="E19" s="26"/>
      <c r="F19" s="26"/>
      <c r="G19" s="26">
        <v>0</v>
      </c>
      <c r="H19" s="26">
        <f>D19*G19</f>
        <v>0</v>
      </c>
      <c r="I19" s="27">
        <f t="shared" si="0"/>
        <v>0</v>
      </c>
    </row>
    <row r="20" spans="1:9" s="35" customFormat="1" ht="15.6" x14ac:dyDescent="0.3">
      <c r="A20" s="28" t="str">
        <f>IF(ISBLANK(G20),"",COUNTA(G$8:G20))</f>
        <v/>
      </c>
      <c r="B20" s="29" t="s">
        <v>24</v>
      </c>
      <c r="C20" s="30" t="s">
        <v>25</v>
      </c>
      <c r="D20" s="31">
        <f>0.15*D19</f>
        <v>28.574999999999999</v>
      </c>
      <c r="E20" s="31">
        <v>0</v>
      </c>
      <c r="F20" s="32">
        <f>D20*E20</f>
        <v>0</v>
      </c>
      <c r="G20" s="33"/>
      <c r="H20" s="33"/>
      <c r="I20" s="34">
        <f t="shared" si="0"/>
        <v>0</v>
      </c>
    </row>
    <row r="21" spans="1:9" s="35" customFormat="1" ht="16.8" x14ac:dyDescent="0.3">
      <c r="A21" s="28" t="str">
        <f>IF(ISBLANK(G21),"",COUNTA(G$8:G21))</f>
        <v/>
      </c>
      <c r="B21" s="29" t="s">
        <v>26</v>
      </c>
      <c r="C21" s="30" t="s">
        <v>12</v>
      </c>
      <c r="D21" s="31">
        <f>1.25*D19</f>
        <v>238.125</v>
      </c>
      <c r="E21" s="31">
        <v>0</v>
      </c>
      <c r="F21" s="32">
        <f>D21*E21</f>
        <v>0</v>
      </c>
      <c r="G21" s="33"/>
      <c r="H21" s="33"/>
      <c r="I21" s="34">
        <f t="shared" si="0"/>
        <v>0</v>
      </c>
    </row>
    <row r="22" spans="1:9" s="21" customFormat="1" ht="31.2" customHeight="1" x14ac:dyDescent="0.3">
      <c r="A22" s="22">
        <f>IF(ISBLANK(G22),"",COUNTA(G$8:G22))</f>
        <v>5</v>
      </c>
      <c r="B22" s="23" t="s">
        <v>27</v>
      </c>
      <c r="C22" s="24" t="s">
        <v>12</v>
      </c>
      <c r="D22" s="25">
        <f>D12</f>
        <v>190.5</v>
      </c>
      <c r="E22" s="26"/>
      <c r="F22" s="26"/>
      <c r="G22" s="26">
        <v>0</v>
      </c>
      <c r="H22" s="26">
        <f t="shared" ref="H22:H26" si="1">D22*G22</f>
        <v>0</v>
      </c>
      <c r="I22" s="27">
        <f t="shared" si="0"/>
        <v>0</v>
      </c>
    </row>
    <row r="23" spans="1:9" s="21" customFormat="1" ht="15.75" customHeight="1" x14ac:dyDescent="0.3">
      <c r="A23" s="28" t="str">
        <f>IF(ISBLANK(G23),"",COUNTA(G$8:G23))</f>
        <v/>
      </c>
      <c r="B23" s="29" t="s">
        <v>28</v>
      </c>
      <c r="C23" s="30" t="s">
        <v>18</v>
      </c>
      <c r="D23" s="37">
        <f>0.08*D22*1.02</f>
        <v>15.5448</v>
      </c>
      <c r="E23" s="31">
        <v>0</v>
      </c>
      <c r="F23" s="32">
        <f>D23*E23</f>
        <v>0</v>
      </c>
      <c r="G23" s="33"/>
      <c r="H23" s="33">
        <f t="shared" si="1"/>
        <v>0</v>
      </c>
      <c r="I23" s="34">
        <f t="shared" si="0"/>
        <v>0</v>
      </c>
    </row>
    <row r="24" spans="1:9" s="35" customFormat="1" ht="15.6" x14ac:dyDescent="0.3">
      <c r="A24" s="22">
        <f>IF(ISBLANK(G24),"",COUNTA(G$8:G24))</f>
        <v>6</v>
      </c>
      <c r="B24" s="38" t="s">
        <v>29</v>
      </c>
      <c r="C24" s="24" t="s">
        <v>18</v>
      </c>
      <c r="D24" s="25">
        <f>D23</f>
        <v>15.5448</v>
      </c>
      <c r="E24" s="26"/>
      <c r="F24" s="26"/>
      <c r="G24" s="26">
        <v>0</v>
      </c>
      <c r="H24" s="26">
        <f t="shared" si="1"/>
        <v>0</v>
      </c>
      <c r="I24" s="27">
        <f t="shared" si="0"/>
        <v>0</v>
      </c>
    </row>
    <row r="25" spans="1:9" s="35" customFormat="1" ht="15.6" x14ac:dyDescent="0.3">
      <c r="A25" s="28"/>
      <c r="B25" s="29" t="s">
        <v>30</v>
      </c>
      <c r="C25" s="30" t="s">
        <v>31</v>
      </c>
      <c r="D25" s="37">
        <f>1.21*D24</f>
        <v>18.809207999999998</v>
      </c>
      <c r="E25" s="31">
        <v>0</v>
      </c>
      <c r="F25" s="32">
        <f>D25*E25</f>
        <v>0</v>
      </c>
      <c r="G25" s="33"/>
      <c r="H25" s="33">
        <f t="shared" si="1"/>
        <v>0</v>
      </c>
      <c r="I25" s="34">
        <f t="shared" si="0"/>
        <v>0</v>
      </c>
    </row>
    <row r="26" spans="1:9" s="35" customFormat="1" ht="15.6" x14ac:dyDescent="0.3">
      <c r="A26" s="28"/>
      <c r="B26" s="29" t="s">
        <v>32</v>
      </c>
      <c r="C26" s="30" t="s">
        <v>31</v>
      </c>
      <c r="D26" s="37">
        <f>0.304*D24</f>
        <v>4.7256191999999997</v>
      </c>
      <c r="E26" s="31">
        <v>0</v>
      </c>
      <c r="F26" s="32">
        <f>D26*E26</f>
        <v>0</v>
      </c>
      <c r="G26" s="33"/>
      <c r="H26" s="33">
        <f t="shared" si="1"/>
        <v>0</v>
      </c>
      <c r="I26" s="34">
        <f t="shared" si="0"/>
        <v>0</v>
      </c>
    </row>
    <row r="27" spans="1:9" s="21" customFormat="1" ht="15.75" customHeight="1" x14ac:dyDescent="0.3">
      <c r="A27" s="22">
        <f>IF(ISBLANK(G27),"",COUNTA(G$8:G27))</f>
        <v>7</v>
      </c>
      <c r="B27" s="23" t="s">
        <v>33</v>
      </c>
      <c r="C27" s="24" t="s">
        <v>12</v>
      </c>
      <c r="D27" s="25">
        <f>D12</f>
        <v>190.5</v>
      </c>
      <c r="E27" s="26"/>
      <c r="F27" s="26"/>
      <c r="G27" s="26">
        <v>0</v>
      </c>
      <c r="H27" s="26">
        <f>D27*G27</f>
        <v>0</v>
      </c>
      <c r="I27" s="27">
        <f t="shared" si="0"/>
        <v>0</v>
      </c>
    </row>
    <row r="28" spans="1:9" s="21" customFormat="1" ht="16.8" x14ac:dyDescent="0.3">
      <c r="A28" s="28" t="str">
        <f>IF(ISBLANK(G28),"",COUNTA(G$8:G28))</f>
        <v/>
      </c>
      <c r="B28" s="29" t="s">
        <v>34</v>
      </c>
      <c r="C28" s="30" t="s">
        <v>12</v>
      </c>
      <c r="D28" s="31">
        <f>1.15*D27</f>
        <v>219.07499999999999</v>
      </c>
      <c r="E28" s="31">
        <v>0</v>
      </c>
      <c r="F28" s="32">
        <f>D28*E28</f>
        <v>0</v>
      </c>
      <c r="G28" s="33"/>
      <c r="H28" s="33"/>
      <c r="I28" s="34">
        <f t="shared" si="0"/>
        <v>0</v>
      </c>
    </row>
    <row r="29" spans="1:9" s="21" customFormat="1" ht="15.75" customHeight="1" x14ac:dyDescent="0.3">
      <c r="A29" s="22">
        <f>IF(ISBLANK(G29),"",COUNTA(G$8:G29))</f>
        <v>8</v>
      </c>
      <c r="B29" s="23" t="s">
        <v>35</v>
      </c>
      <c r="C29" s="24" t="s">
        <v>12</v>
      </c>
      <c r="D29" s="25">
        <f>D12</f>
        <v>190.5</v>
      </c>
      <c r="E29" s="26"/>
      <c r="F29" s="26">
        <f>D29*E29</f>
        <v>0</v>
      </c>
      <c r="G29" s="26">
        <v>0</v>
      </c>
      <c r="H29" s="26">
        <f>D29*G29</f>
        <v>0</v>
      </c>
      <c r="I29" s="27">
        <f t="shared" si="0"/>
        <v>0</v>
      </c>
    </row>
    <row r="30" spans="1:9" s="21" customFormat="1" ht="15.75" customHeight="1" x14ac:dyDescent="0.3">
      <c r="A30" s="28" t="str">
        <f>IF(ISBLANK(G30),"",COUNTA(G$8:G30))</f>
        <v/>
      </c>
      <c r="B30" s="29" t="s">
        <v>36</v>
      </c>
      <c r="C30" s="30" t="s">
        <v>12</v>
      </c>
      <c r="D30" s="31">
        <f>1.15*D29</f>
        <v>219.07499999999999</v>
      </c>
      <c r="E30" s="31">
        <v>0</v>
      </c>
      <c r="F30" s="32">
        <f>D30*E30</f>
        <v>0</v>
      </c>
      <c r="G30" s="33"/>
      <c r="H30" s="33"/>
      <c r="I30" s="34">
        <f t="shared" si="0"/>
        <v>0</v>
      </c>
    </row>
    <row r="31" spans="1:9" s="35" customFormat="1" ht="15.6" x14ac:dyDescent="0.3">
      <c r="A31" s="28" t="str">
        <f>IF(ISBLANK(G31),"",COUNTA(G$8:G31))</f>
        <v/>
      </c>
      <c r="B31" s="29" t="s">
        <v>37</v>
      </c>
      <c r="C31" s="30" t="s">
        <v>38</v>
      </c>
      <c r="D31" s="31">
        <f>0.02*D29</f>
        <v>3.81</v>
      </c>
      <c r="E31" s="31">
        <v>0</v>
      </c>
      <c r="F31" s="32">
        <f>D31*E31</f>
        <v>0</v>
      </c>
      <c r="G31" s="33"/>
      <c r="H31" s="33"/>
      <c r="I31" s="34">
        <f t="shared" si="0"/>
        <v>0</v>
      </c>
    </row>
    <row r="32" spans="1:9" s="21" customFormat="1" ht="15.75" customHeight="1" x14ac:dyDescent="0.3">
      <c r="A32" s="28" t="str">
        <f>IF(ISBLANK(G32),"",COUNTA(G$8:G32))</f>
        <v/>
      </c>
      <c r="B32" s="29" t="s">
        <v>39</v>
      </c>
      <c r="C32" s="30" t="s">
        <v>15</v>
      </c>
      <c r="D32" s="31">
        <f>6*D29</f>
        <v>1143</v>
      </c>
      <c r="E32" s="31">
        <v>0</v>
      </c>
      <c r="F32" s="32">
        <f>D32*E32</f>
        <v>0</v>
      </c>
      <c r="G32" s="33"/>
      <c r="H32" s="33"/>
      <c r="I32" s="34">
        <f t="shared" si="0"/>
        <v>0</v>
      </c>
    </row>
    <row r="33" spans="1:9" s="21" customFormat="1" ht="30" customHeight="1" x14ac:dyDescent="0.3">
      <c r="A33" s="14"/>
      <c r="B33" s="15" t="s">
        <v>40</v>
      </c>
      <c r="C33" s="16"/>
      <c r="D33" s="43"/>
      <c r="E33" s="18"/>
      <c r="F33" s="19" t="str">
        <f>IF(E33="","",#REF!*E33)</f>
        <v/>
      </c>
      <c r="G33" s="18"/>
      <c r="H33" s="18" t="str">
        <f>IF(G33="","",D33*G33)</f>
        <v/>
      </c>
      <c r="I33" s="20"/>
    </row>
    <row r="34" spans="1:9" ht="15.6" x14ac:dyDescent="0.3">
      <c r="A34" s="22">
        <f>IF(ISBLANK(G34),"",COUNTA(G$8:G34))</f>
        <v>9</v>
      </c>
      <c r="B34" s="23" t="s">
        <v>41</v>
      </c>
      <c r="C34" s="24" t="s">
        <v>42</v>
      </c>
      <c r="D34" s="25">
        <f>71.6</f>
        <v>71.599999999999994</v>
      </c>
      <c r="E34" s="26"/>
      <c r="F34" s="26"/>
      <c r="G34" s="26">
        <v>0</v>
      </c>
      <c r="H34" s="26">
        <f>D34*G34</f>
        <v>0</v>
      </c>
      <c r="I34" s="27">
        <f t="shared" ref="I34:I47" si="2">F34+H34</f>
        <v>0</v>
      </c>
    </row>
    <row r="35" spans="1:9" ht="15.6" x14ac:dyDescent="0.3">
      <c r="A35" s="28" t="str">
        <f>IF(ISBLANK(G35),"",COUNTA(G$8:G35))</f>
        <v/>
      </c>
      <c r="B35" s="29" t="s">
        <v>43</v>
      </c>
      <c r="C35" s="30" t="s">
        <v>18</v>
      </c>
      <c r="D35" s="31">
        <f>0.055*D34</f>
        <v>3.9379999999999997</v>
      </c>
      <c r="E35" s="31">
        <v>0</v>
      </c>
      <c r="F35" s="32">
        <f>D35*E35</f>
        <v>0</v>
      </c>
      <c r="G35" s="33"/>
      <c r="H35" s="33"/>
      <c r="I35" s="34">
        <f t="shared" si="2"/>
        <v>0</v>
      </c>
    </row>
    <row r="36" spans="1:9" ht="15.6" x14ac:dyDescent="0.3">
      <c r="A36" s="28" t="str">
        <f>IF(ISBLANK(G36),"",COUNTA(G$8:G36))</f>
        <v/>
      </c>
      <c r="B36" s="29" t="s">
        <v>44</v>
      </c>
      <c r="C36" s="30" t="s">
        <v>15</v>
      </c>
      <c r="D36" s="31">
        <f>5*D34</f>
        <v>358</v>
      </c>
      <c r="E36" s="31">
        <v>0</v>
      </c>
      <c r="F36" s="32">
        <f>D36*E36</f>
        <v>0</v>
      </c>
      <c r="G36" s="33"/>
      <c r="H36" s="33"/>
      <c r="I36" s="34">
        <f t="shared" si="2"/>
        <v>0</v>
      </c>
    </row>
    <row r="37" spans="1:9" ht="15.6" x14ac:dyDescent="0.3">
      <c r="A37" s="22">
        <f>IF(ISBLANK(G37),"",COUNTA(G$8:G37))</f>
        <v>10</v>
      </c>
      <c r="B37" s="23" t="s">
        <v>45</v>
      </c>
      <c r="C37" s="24" t="s">
        <v>42</v>
      </c>
      <c r="D37" s="25">
        <f>D34</f>
        <v>71.599999999999994</v>
      </c>
      <c r="E37" s="26"/>
      <c r="F37" s="26"/>
      <c r="G37" s="26">
        <v>0</v>
      </c>
      <c r="H37" s="26">
        <f>D37*G37</f>
        <v>0</v>
      </c>
      <c r="I37" s="27">
        <f t="shared" si="2"/>
        <v>0</v>
      </c>
    </row>
    <row r="38" spans="1:9" ht="15.6" x14ac:dyDescent="0.3">
      <c r="A38" s="28"/>
      <c r="B38" s="29" t="s">
        <v>46</v>
      </c>
      <c r="C38" s="30" t="s">
        <v>42</v>
      </c>
      <c r="D38" s="31">
        <f>1.05*D37</f>
        <v>75.179999999999993</v>
      </c>
      <c r="E38" s="31">
        <v>0</v>
      </c>
      <c r="F38" s="32">
        <f>D38*E38</f>
        <v>0</v>
      </c>
      <c r="G38" s="33"/>
      <c r="H38" s="33"/>
      <c r="I38" s="34">
        <f t="shared" si="2"/>
        <v>0</v>
      </c>
    </row>
    <row r="39" spans="1:9" ht="15.6" x14ac:dyDescent="0.3">
      <c r="A39" s="28" t="str">
        <f>IF(ISBLANK(G39),"",COUNTA(G$8:G39))</f>
        <v/>
      </c>
      <c r="B39" s="29" t="s">
        <v>47</v>
      </c>
      <c r="C39" s="30" t="s">
        <v>42</v>
      </c>
      <c r="D39" s="31">
        <v>20</v>
      </c>
      <c r="E39" s="31">
        <v>0</v>
      </c>
      <c r="F39" s="32">
        <f>D39*E39</f>
        <v>0</v>
      </c>
      <c r="G39" s="33"/>
      <c r="H39" s="33"/>
      <c r="I39" s="34">
        <f>F39+H39</f>
        <v>0</v>
      </c>
    </row>
    <row r="40" spans="1:9" ht="15.6" x14ac:dyDescent="0.3">
      <c r="A40" s="28" t="str">
        <f>IF(ISBLANK(G40),"",COUNTA(G$8:G40))</f>
        <v/>
      </c>
      <c r="B40" s="29" t="s">
        <v>48</v>
      </c>
      <c r="C40" s="30" t="s">
        <v>38</v>
      </c>
      <c r="D40" s="31">
        <f>0.13*D37</f>
        <v>9.3079999999999998</v>
      </c>
      <c r="E40" s="31">
        <v>0</v>
      </c>
      <c r="F40" s="32">
        <f>D40*E40</f>
        <v>0</v>
      </c>
      <c r="G40" s="33"/>
      <c r="H40" s="33"/>
      <c r="I40" s="34">
        <f t="shared" si="2"/>
        <v>0</v>
      </c>
    </row>
    <row r="41" spans="1:9" ht="14.4" customHeight="1" x14ac:dyDescent="0.3">
      <c r="A41" s="22">
        <f>IF(ISBLANK(G41),"",COUNTA(G$8:G41))</f>
        <v>11</v>
      </c>
      <c r="B41" s="23" t="s">
        <v>33</v>
      </c>
      <c r="C41" s="24" t="s">
        <v>42</v>
      </c>
      <c r="D41" s="25">
        <f>D34</f>
        <v>71.599999999999994</v>
      </c>
      <c r="E41" s="26"/>
      <c r="F41" s="26"/>
      <c r="G41" s="26">
        <v>0</v>
      </c>
      <c r="H41" s="26">
        <f>D41*G41</f>
        <v>0</v>
      </c>
      <c r="I41" s="27">
        <f t="shared" si="2"/>
        <v>0</v>
      </c>
    </row>
    <row r="42" spans="1:9" ht="16.8" x14ac:dyDescent="0.3">
      <c r="A42" s="28" t="str">
        <f>IF(ISBLANK(G42),"",COUNTA(G$8:G42))</f>
        <v/>
      </c>
      <c r="B42" s="29" t="s">
        <v>34</v>
      </c>
      <c r="C42" s="30" t="s">
        <v>12</v>
      </c>
      <c r="D42" s="31">
        <f>0.7*D41</f>
        <v>50.11999999999999</v>
      </c>
      <c r="E42" s="31">
        <v>0</v>
      </c>
      <c r="F42" s="32">
        <f>D42*E42</f>
        <v>0</v>
      </c>
      <c r="G42" s="33"/>
      <c r="H42" s="33"/>
      <c r="I42" s="34">
        <f t="shared" si="2"/>
        <v>0</v>
      </c>
    </row>
    <row r="43" spans="1:9" ht="15.6" x14ac:dyDescent="0.3">
      <c r="A43" s="22">
        <f>IF(ISBLANK(G43),"",COUNTA(G$8:G43))</f>
        <v>12</v>
      </c>
      <c r="B43" s="23" t="s">
        <v>49</v>
      </c>
      <c r="C43" s="24" t="s">
        <v>42</v>
      </c>
      <c r="D43" s="25">
        <f>D34</f>
        <v>71.599999999999994</v>
      </c>
      <c r="E43" s="26"/>
      <c r="F43" s="26"/>
      <c r="G43" s="26">
        <v>0</v>
      </c>
      <c r="H43" s="26">
        <f>D43*G43</f>
        <v>0</v>
      </c>
      <c r="I43" s="27">
        <f t="shared" si="2"/>
        <v>0</v>
      </c>
    </row>
    <row r="44" spans="1:9" ht="16.8" x14ac:dyDescent="0.3">
      <c r="A44" s="28" t="str">
        <f>IF(ISBLANK(G44),"",COUNTA(G$8:G44))</f>
        <v/>
      </c>
      <c r="B44" s="29" t="s">
        <v>36</v>
      </c>
      <c r="C44" s="30" t="s">
        <v>12</v>
      </c>
      <c r="D44" s="31">
        <f>0.77*D43</f>
        <v>55.131999999999998</v>
      </c>
      <c r="E44" s="31">
        <v>0</v>
      </c>
      <c r="F44" s="32">
        <f>D44*E44</f>
        <v>0</v>
      </c>
      <c r="G44" s="33"/>
      <c r="H44" s="33"/>
      <c r="I44" s="34">
        <f t="shared" si="2"/>
        <v>0</v>
      </c>
    </row>
    <row r="45" spans="1:9" ht="15.6" x14ac:dyDescent="0.3">
      <c r="A45" s="28"/>
      <c r="B45" s="29" t="s">
        <v>46</v>
      </c>
      <c r="C45" s="30" t="s">
        <v>42</v>
      </c>
      <c r="D45" s="31">
        <f>1.1*D43</f>
        <v>78.760000000000005</v>
      </c>
      <c r="E45" s="31">
        <v>0</v>
      </c>
      <c r="F45" s="32">
        <f>D45*E45</f>
        <v>0</v>
      </c>
      <c r="G45" s="33"/>
      <c r="H45" s="33"/>
      <c r="I45" s="34">
        <f t="shared" si="2"/>
        <v>0</v>
      </c>
    </row>
    <row r="46" spans="1:9" ht="15.6" x14ac:dyDescent="0.3">
      <c r="A46" s="28" t="str">
        <f>IF(ISBLANK(G46),"",COUNTA(G$8:G46))</f>
        <v/>
      </c>
      <c r="B46" s="29" t="s">
        <v>50</v>
      </c>
      <c r="C46" s="30" t="s">
        <v>25</v>
      </c>
      <c r="D46" s="31">
        <f>0.04*D43</f>
        <v>2.8639999999999999</v>
      </c>
      <c r="E46" s="31">
        <v>0</v>
      </c>
      <c r="F46" s="32">
        <f>D46*E46</f>
        <v>0</v>
      </c>
      <c r="G46" s="33"/>
      <c r="H46" s="33"/>
      <c r="I46" s="34">
        <f t="shared" si="2"/>
        <v>0</v>
      </c>
    </row>
    <row r="47" spans="1:9" ht="16.8" x14ac:dyDescent="0.3">
      <c r="A47" s="28" t="str">
        <f>IF(ISBLANK(G47),"",COUNTA(G$8:G47))</f>
        <v/>
      </c>
      <c r="B47" s="29" t="s">
        <v>51</v>
      </c>
      <c r="C47" s="30" t="s">
        <v>12</v>
      </c>
      <c r="D47" s="31">
        <v>1.5</v>
      </c>
      <c r="E47" s="31">
        <v>0</v>
      </c>
      <c r="F47" s="32">
        <f>D47*E47</f>
        <v>0</v>
      </c>
      <c r="G47" s="33"/>
      <c r="H47" s="33"/>
      <c r="I47" s="34">
        <f t="shared" si="2"/>
        <v>0</v>
      </c>
    </row>
    <row r="48" spans="1:9" s="21" customFormat="1" ht="37.799999999999997" customHeight="1" x14ac:dyDescent="0.3">
      <c r="A48" s="14"/>
      <c r="B48" s="15" t="s">
        <v>52</v>
      </c>
      <c r="C48" s="16"/>
      <c r="D48" s="17"/>
      <c r="E48" s="18"/>
      <c r="F48" s="19" t="str">
        <f>IF(E48="","",#REF!*E48)</f>
        <v/>
      </c>
      <c r="G48" s="18"/>
      <c r="H48" s="18" t="str">
        <f>IF(G48="","",#REF!*G48)</f>
        <v/>
      </c>
      <c r="I48" s="20"/>
    </row>
    <row r="49" spans="1:28" s="21" customFormat="1" ht="31.2" x14ac:dyDescent="0.3">
      <c r="A49" s="22">
        <f>IF(ISBLANK(G49),"",COUNTA(G$8:G49))</f>
        <v>13</v>
      </c>
      <c r="B49" s="23" t="s">
        <v>11</v>
      </c>
      <c r="C49" s="24" t="s">
        <v>12</v>
      </c>
      <c r="D49" s="25">
        <f>73.2-20.96</f>
        <v>52.24</v>
      </c>
      <c r="E49" s="26"/>
      <c r="F49" s="26"/>
      <c r="G49" s="26">
        <v>0</v>
      </c>
      <c r="H49" s="26">
        <f>D48*G49</f>
        <v>0</v>
      </c>
      <c r="I49" s="27">
        <f t="shared" ref="I49:I94" si="3">F49+H49</f>
        <v>0</v>
      </c>
    </row>
    <row r="50" spans="1:28" s="21" customFormat="1" ht="15.75" customHeight="1" x14ac:dyDescent="0.3">
      <c r="A50" s="28" t="str">
        <f>IF(ISBLANK(G50),"",COUNTA(G$8:G50))</f>
        <v/>
      </c>
      <c r="B50" s="29" t="s">
        <v>13</v>
      </c>
      <c r="C50" s="30" t="s">
        <v>12</v>
      </c>
      <c r="D50" s="31">
        <f>D49*1.17</f>
        <v>61.120799999999996</v>
      </c>
      <c r="E50" s="31">
        <v>0</v>
      </c>
      <c r="F50" s="32">
        <f>D49*E50</f>
        <v>0</v>
      </c>
      <c r="G50" s="33"/>
      <c r="H50" s="33"/>
      <c r="I50" s="34">
        <f t="shared" si="3"/>
        <v>0</v>
      </c>
    </row>
    <row r="51" spans="1:28" s="21" customFormat="1" ht="15.75" customHeight="1" x14ac:dyDescent="0.3">
      <c r="A51" s="28" t="str">
        <f>IF(ISBLANK(G51),"",COUNTA(G$8:G51))</f>
        <v/>
      </c>
      <c r="B51" s="29" t="s">
        <v>14</v>
      </c>
      <c r="C51" s="30" t="s">
        <v>15</v>
      </c>
      <c r="D51" s="31">
        <v>7</v>
      </c>
      <c r="E51" s="31">
        <v>0</v>
      </c>
      <c r="F51" s="32">
        <f>D50*E51</f>
        <v>0</v>
      </c>
      <c r="G51" s="33"/>
      <c r="H51" s="33"/>
      <c r="I51" s="34">
        <f t="shared" si="3"/>
        <v>0</v>
      </c>
    </row>
    <row r="52" spans="1:28" s="35" customFormat="1" ht="15.6" customHeight="1" x14ac:dyDescent="0.3">
      <c r="A52" s="22">
        <f>IF(ISBLANK(G52),"",COUNTA(G$8:G52))</f>
        <v>14</v>
      </c>
      <c r="B52" s="23" t="s">
        <v>53</v>
      </c>
      <c r="C52" s="24" t="s">
        <v>12</v>
      </c>
      <c r="D52" s="25">
        <f>D49-D56</f>
        <v>15.440000000000005</v>
      </c>
      <c r="E52" s="26"/>
      <c r="F52" s="26"/>
      <c r="G52" s="26">
        <v>0</v>
      </c>
      <c r="H52" s="26">
        <f>D51*G52</f>
        <v>0</v>
      </c>
      <c r="I52" s="27">
        <f t="shared" si="3"/>
        <v>0</v>
      </c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</row>
    <row r="53" spans="1:28" s="35" customFormat="1" ht="15.6" customHeight="1" x14ac:dyDescent="0.3">
      <c r="A53" s="28"/>
      <c r="B53" s="29" t="s">
        <v>54</v>
      </c>
      <c r="C53" s="30" t="s">
        <v>18</v>
      </c>
      <c r="D53" s="31">
        <f>D52*0.15*1.03</f>
        <v>2.3854800000000007</v>
      </c>
      <c r="E53" s="31">
        <v>0</v>
      </c>
      <c r="F53" s="32">
        <f>D52*E53</f>
        <v>0</v>
      </c>
      <c r="G53" s="33"/>
      <c r="H53" s="33"/>
      <c r="I53" s="34">
        <f t="shared" si="3"/>
        <v>0</v>
      </c>
      <c r="N53" s="102"/>
      <c r="O53" s="102"/>
      <c r="P53" s="102"/>
      <c r="Q53" s="103"/>
      <c r="R53" s="104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</row>
    <row r="54" spans="1:28" s="35" customFormat="1" ht="15.6" x14ac:dyDescent="0.3">
      <c r="A54" s="28" t="str">
        <f>IF(ISBLANK(G54),"",COUNTA(G$8:G54))</f>
        <v/>
      </c>
      <c r="B54" s="29" t="s">
        <v>19</v>
      </c>
      <c r="C54" s="30" t="s">
        <v>15</v>
      </c>
      <c r="D54" s="31">
        <f>0.1*D52</f>
        <v>1.5440000000000005</v>
      </c>
      <c r="E54" s="31">
        <v>0</v>
      </c>
      <c r="F54" s="32">
        <f>D53*E54</f>
        <v>0</v>
      </c>
      <c r="G54" s="33"/>
      <c r="H54" s="33"/>
      <c r="I54" s="34">
        <f t="shared" si="3"/>
        <v>0</v>
      </c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</row>
    <row r="55" spans="1:28" s="21" customFormat="1" ht="15.75" customHeight="1" x14ac:dyDescent="0.3">
      <c r="A55" s="28" t="str">
        <f>IF(ISBLANK(G55),"",COUNTA(G$8:G55))</f>
        <v/>
      </c>
      <c r="B55" s="29" t="s">
        <v>20</v>
      </c>
      <c r="C55" s="30" t="s">
        <v>15</v>
      </c>
      <c r="D55" s="31">
        <f>5*D52</f>
        <v>77.200000000000017</v>
      </c>
      <c r="E55" s="31">
        <v>0</v>
      </c>
      <c r="F55" s="32">
        <f>D54*E55</f>
        <v>0</v>
      </c>
      <c r="G55" s="33"/>
      <c r="H55" s="33"/>
      <c r="I55" s="34">
        <f t="shared" si="3"/>
        <v>0</v>
      </c>
    </row>
    <row r="56" spans="1:28" s="35" customFormat="1" ht="15.6" customHeight="1" x14ac:dyDescent="0.3">
      <c r="A56" s="22">
        <f>IF(ISBLANK(G56),"",COUNTA(G$8:G56))</f>
        <v>15</v>
      </c>
      <c r="B56" s="23" t="s">
        <v>55</v>
      </c>
      <c r="C56" s="24" t="s">
        <v>12</v>
      </c>
      <c r="D56" s="25">
        <f>36.8</f>
        <v>36.799999999999997</v>
      </c>
      <c r="E56" s="26"/>
      <c r="F56" s="26"/>
      <c r="G56" s="26">
        <v>0</v>
      </c>
      <c r="H56" s="26">
        <f>D55*G56</f>
        <v>0</v>
      </c>
      <c r="I56" s="27">
        <f t="shared" si="3"/>
        <v>0</v>
      </c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</row>
    <row r="57" spans="1:28" s="35" customFormat="1" ht="15.6" customHeight="1" x14ac:dyDescent="0.3">
      <c r="A57" s="28"/>
      <c r="B57" s="29" t="s">
        <v>56</v>
      </c>
      <c r="C57" s="30" t="s">
        <v>18</v>
      </c>
      <c r="D57" s="31">
        <f>D56*0.15*1.07</f>
        <v>5.9063999999999997</v>
      </c>
      <c r="E57" s="31">
        <v>0</v>
      </c>
      <c r="F57" s="32">
        <f>D56*E57</f>
        <v>0</v>
      </c>
      <c r="G57" s="33"/>
      <c r="H57" s="33"/>
      <c r="I57" s="34">
        <f t="shared" si="3"/>
        <v>0</v>
      </c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</row>
    <row r="58" spans="1:28" s="35" customFormat="1" ht="15.6" x14ac:dyDescent="0.3">
      <c r="A58" s="28" t="str">
        <f>IF(ISBLANK(G58),"",COUNTA(G$8:G58))</f>
        <v/>
      </c>
      <c r="B58" s="29" t="s">
        <v>19</v>
      </c>
      <c r="C58" s="30" t="s">
        <v>15</v>
      </c>
      <c r="D58" s="31">
        <f>0.06*D56</f>
        <v>2.2079999999999997</v>
      </c>
      <c r="E58" s="31">
        <v>0</v>
      </c>
      <c r="F58" s="32">
        <f>D57*E58</f>
        <v>0</v>
      </c>
      <c r="G58" s="33"/>
      <c r="H58" s="33"/>
      <c r="I58" s="34">
        <f t="shared" si="3"/>
        <v>0</v>
      </c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</row>
    <row r="59" spans="1:28" s="21" customFormat="1" ht="15.75" customHeight="1" x14ac:dyDescent="0.3">
      <c r="A59" s="28" t="str">
        <f>IF(ISBLANK(G59),"",COUNTA(G$8:G59))</f>
        <v/>
      </c>
      <c r="B59" s="29" t="s">
        <v>20</v>
      </c>
      <c r="C59" s="30" t="s">
        <v>15</v>
      </c>
      <c r="D59" s="31">
        <f>5*D56</f>
        <v>184</v>
      </c>
      <c r="E59" s="31">
        <v>0</v>
      </c>
      <c r="F59" s="32">
        <f>D58*E59</f>
        <v>0</v>
      </c>
      <c r="G59" s="33"/>
      <c r="H59" s="33"/>
      <c r="I59" s="34">
        <f t="shared" si="3"/>
        <v>0</v>
      </c>
    </row>
    <row r="60" spans="1:28" s="35" customFormat="1" ht="31.2" x14ac:dyDescent="0.3">
      <c r="A60" s="22">
        <f>IF(ISBLANK(G60),"",COUNTA(G$8:G60))</f>
        <v>16</v>
      </c>
      <c r="B60" s="23" t="s">
        <v>57</v>
      </c>
      <c r="C60" s="24" t="s">
        <v>12</v>
      </c>
      <c r="D60" s="25">
        <f>D49</f>
        <v>52.24</v>
      </c>
      <c r="E60" s="26"/>
      <c r="F60" s="26"/>
      <c r="G60" s="26">
        <v>0</v>
      </c>
      <c r="H60" s="26">
        <f>D59*G60</f>
        <v>0</v>
      </c>
      <c r="I60" s="27">
        <f t="shared" si="3"/>
        <v>0</v>
      </c>
    </row>
    <row r="61" spans="1:28" s="21" customFormat="1" ht="15.6" x14ac:dyDescent="0.3">
      <c r="A61" s="28" t="str">
        <f>IF(ISBLANK(G61),"",COUNTA(G$8:G61))</f>
        <v/>
      </c>
      <c r="B61" s="29" t="s">
        <v>17</v>
      </c>
      <c r="C61" s="30" t="s">
        <v>18</v>
      </c>
      <c r="D61" s="31">
        <f>0.05*1.07*D60</f>
        <v>2.7948400000000002</v>
      </c>
      <c r="E61" s="31">
        <v>0</v>
      </c>
      <c r="F61" s="32">
        <f>D60*E61</f>
        <v>0</v>
      </c>
      <c r="G61" s="33"/>
      <c r="H61" s="33"/>
      <c r="I61" s="34">
        <f t="shared" si="3"/>
        <v>0</v>
      </c>
    </row>
    <row r="62" spans="1:28" s="21" customFormat="1" ht="15.75" customHeight="1" x14ac:dyDescent="0.3">
      <c r="A62" s="28" t="str">
        <f>IF(ISBLANK(G62),"",COUNTA(G$8:G62))</f>
        <v/>
      </c>
      <c r="B62" s="29" t="s">
        <v>19</v>
      </c>
      <c r="C62" s="30" t="s">
        <v>22</v>
      </c>
      <c r="D62" s="31">
        <f>0.1*D60</f>
        <v>5.2240000000000002</v>
      </c>
      <c r="E62" s="31">
        <v>0</v>
      </c>
      <c r="F62" s="32">
        <f>D61*E62</f>
        <v>0</v>
      </c>
      <c r="G62" s="33"/>
      <c r="H62" s="33"/>
      <c r="I62" s="34">
        <f t="shared" si="3"/>
        <v>0</v>
      </c>
    </row>
    <row r="63" spans="1:28" s="21" customFormat="1" ht="15.75" customHeight="1" x14ac:dyDescent="0.3">
      <c r="A63" s="22">
        <f>IF(ISBLANK(G63),"",COUNTA(G$8:G63))</f>
        <v>17</v>
      </c>
      <c r="B63" s="23" t="s">
        <v>23</v>
      </c>
      <c r="C63" s="24" t="s">
        <v>12</v>
      </c>
      <c r="D63" s="25">
        <f>D49</f>
        <v>52.24</v>
      </c>
      <c r="E63" s="26"/>
      <c r="F63" s="26"/>
      <c r="G63" s="26">
        <v>0</v>
      </c>
      <c r="H63" s="26">
        <f>D62*G63</f>
        <v>0</v>
      </c>
      <c r="I63" s="27">
        <f t="shared" si="3"/>
        <v>0</v>
      </c>
    </row>
    <row r="64" spans="1:28" s="35" customFormat="1" ht="15.6" x14ac:dyDescent="0.3">
      <c r="A64" s="28" t="str">
        <f>IF(ISBLANK(G64),"",COUNTA(G$8:G64))</f>
        <v/>
      </c>
      <c r="B64" s="29" t="s">
        <v>24</v>
      </c>
      <c r="C64" s="30" t="s">
        <v>25</v>
      </c>
      <c r="D64" s="31">
        <f>0.15*D63</f>
        <v>7.8360000000000003</v>
      </c>
      <c r="E64" s="31">
        <v>0</v>
      </c>
      <c r="F64" s="32">
        <f>D63*E64</f>
        <v>0</v>
      </c>
      <c r="G64" s="33"/>
      <c r="H64" s="33"/>
      <c r="I64" s="34">
        <f t="shared" si="3"/>
        <v>0</v>
      </c>
    </row>
    <row r="65" spans="1:9" s="35" customFormat="1" ht="16.8" x14ac:dyDescent="0.3">
      <c r="A65" s="28" t="str">
        <f>IF(ISBLANK(G65),"",COUNTA(G$8:G65))</f>
        <v/>
      </c>
      <c r="B65" s="29" t="s">
        <v>26</v>
      </c>
      <c r="C65" s="30" t="s">
        <v>12</v>
      </c>
      <c r="D65" s="31">
        <f>1.25*D63</f>
        <v>65.3</v>
      </c>
      <c r="E65" s="31">
        <v>0</v>
      </c>
      <c r="F65" s="32">
        <f>D64*E65</f>
        <v>0</v>
      </c>
      <c r="G65" s="33"/>
      <c r="H65" s="33"/>
      <c r="I65" s="34">
        <f t="shared" si="3"/>
        <v>0</v>
      </c>
    </row>
    <row r="66" spans="1:9" s="21" customFormat="1" ht="31.2" customHeight="1" x14ac:dyDescent="0.3">
      <c r="A66" s="22">
        <f>IF(ISBLANK(G66),"",COUNTA(G$8:G66))</f>
        <v>18</v>
      </c>
      <c r="B66" s="23" t="s">
        <v>27</v>
      </c>
      <c r="C66" s="24" t="s">
        <v>12</v>
      </c>
      <c r="D66" s="25">
        <f>D49</f>
        <v>52.24</v>
      </c>
      <c r="E66" s="26"/>
      <c r="F66" s="26"/>
      <c r="G66" s="26">
        <v>0</v>
      </c>
      <c r="H66" s="26">
        <f>D65*G66</f>
        <v>0</v>
      </c>
      <c r="I66" s="27">
        <f t="shared" si="3"/>
        <v>0</v>
      </c>
    </row>
    <row r="67" spans="1:9" s="21" customFormat="1" ht="15.75" customHeight="1" x14ac:dyDescent="0.3">
      <c r="A67" s="28" t="str">
        <f>IF(ISBLANK(G67),"",COUNTA(G$8:G67))</f>
        <v/>
      </c>
      <c r="B67" s="29" t="s">
        <v>28</v>
      </c>
      <c r="C67" s="30" t="s">
        <v>18</v>
      </c>
      <c r="D67" s="37">
        <f>0.08*D66*1.02</f>
        <v>4.2627839999999999</v>
      </c>
      <c r="E67" s="31">
        <v>0</v>
      </c>
      <c r="F67" s="32">
        <f>D66*E67</f>
        <v>0</v>
      </c>
      <c r="G67" s="33"/>
      <c r="H67" s="33">
        <f>D66*G67</f>
        <v>0</v>
      </c>
      <c r="I67" s="34">
        <f t="shared" si="3"/>
        <v>0</v>
      </c>
    </row>
    <row r="68" spans="1:9" s="35" customFormat="1" ht="15.6" x14ac:dyDescent="0.3">
      <c r="A68" s="22">
        <f>IF(ISBLANK(G68),"",COUNTA(G$8:G68))</f>
        <v>19</v>
      </c>
      <c r="B68" s="38" t="s">
        <v>29</v>
      </c>
      <c r="C68" s="24" t="s">
        <v>18</v>
      </c>
      <c r="D68" s="25">
        <f>D67</f>
        <v>4.2627839999999999</v>
      </c>
      <c r="E68" s="26"/>
      <c r="F68" s="26"/>
      <c r="G68" s="26">
        <v>0</v>
      </c>
      <c r="H68" s="26">
        <f>D67*G68</f>
        <v>0</v>
      </c>
      <c r="I68" s="27">
        <f t="shared" si="3"/>
        <v>0</v>
      </c>
    </row>
    <row r="69" spans="1:9" s="35" customFormat="1" ht="15.6" x14ac:dyDescent="0.3">
      <c r="A69" s="28"/>
      <c r="B69" s="29" t="s">
        <v>30</v>
      </c>
      <c r="C69" s="30" t="s">
        <v>31</v>
      </c>
      <c r="D69" s="37">
        <f>1.21*D68</f>
        <v>5.15796864</v>
      </c>
      <c r="E69" s="31">
        <v>0</v>
      </c>
      <c r="F69" s="32">
        <f>D68*E69</f>
        <v>0</v>
      </c>
      <c r="G69" s="33"/>
      <c r="H69" s="33">
        <f>D68*G69</f>
        <v>0</v>
      </c>
      <c r="I69" s="34">
        <f t="shared" si="3"/>
        <v>0</v>
      </c>
    </row>
    <row r="70" spans="1:9" s="35" customFormat="1" ht="15.6" x14ac:dyDescent="0.3">
      <c r="A70" s="28"/>
      <c r="B70" s="29" t="s">
        <v>32</v>
      </c>
      <c r="C70" s="30" t="s">
        <v>31</v>
      </c>
      <c r="D70" s="37">
        <f>0.304*D68</f>
        <v>1.2958863359999999</v>
      </c>
      <c r="E70" s="31">
        <v>0</v>
      </c>
      <c r="F70" s="32">
        <f>D69*E70</f>
        <v>0</v>
      </c>
      <c r="G70" s="33"/>
      <c r="H70" s="33">
        <f>D69*G70</f>
        <v>0</v>
      </c>
      <c r="I70" s="34">
        <f t="shared" si="3"/>
        <v>0</v>
      </c>
    </row>
    <row r="71" spans="1:9" s="21" customFormat="1" ht="15.75" customHeight="1" x14ac:dyDescent="0.3">
      <c r="A71" s="22">
        <f>IF(ISBLANK(G71),"",COUNTA(G$8:G71))</f>
        <v>20</v>
      </c>
      <c r="B71" s="23" t="s">
        <v>33</v>
      </c>
      <c r="C71" s="24" t="s">
        <v>12</v>
      </c>
      <c r="D71" s="25">
        <f>D49</f>
        <v>52.24</v>
      </c>
      <c r="E71" s="26"/>
      <c r="F71" s="26"/>
      <c r="G71" s="26">
        <v>0</v>
      </c>
      <c r="H71" s="26">
        <f>D70*G71</f>
        <v>0</v>
      </c>
      <c r="I71" s="27">
        <f t="shared" si="3"/>
        <v>0</v>
      </c>
    </row>
    <row r="72" spans="1:9" s="21" customFormat="1" ht="16.8" x14ac:dyDescent="0.3">
      <c r="A72" s="28" t="str">
        <f>IF(ISBLANK(G72),"",COUNTA(G$8:G72))</f>
        <v/>
      </c>
      <c r="B72" s="29" t="s">
        <v>34</v>
      </c>
      <c r="C72" s="30" t="s">
        <v>12</v>
      </c>
      <c r="D72" s="31">
        <f>1.15*D71</f>
        <v>60.076000000000001</v>
      </c>
      <c r="E72" s="31">
        <v>0</v>
      </c>
      <c r="F72" s="32">
        <f>D71*E72</f>
        <v>0</v>
      </c>
      <c r="G72" s="33"/>
      <c r="H72" s="33"/>
      <c r="I72" s="34">
        <f t="shared" si="3"/>
        <v>0</v>
      </c>
    </row>
    <row r="73" spans="1:9" s="21" customFormat="1" ht="15.75" customHeight="1" x14ac:dyDescent="0.3">
      <c r="A73" s="22">
        <f>IF(ISBLANK(G73),"",COUNTA(G$8:G73))</f>
        <v>21</v>
      </c>
      <c r="B73" s="59" t="s">
        <v>58</v>
      </c>
      <c r="C73" s="24" t="s">
        <v>42</v>
      </c>
      <c r="D73" s="25">
        <f>6+14.5+3.2</f>
        <v>23.7</v>
      </c>
      <c r="E73" s="26"/>
      <c r="F73" s="26"/>
      <c r="G73" s="26">
        <v>0</v>
      </c>
      <c r="H73" s="26">
        <f>D72*G73</f>
        <v>0</v>
      </c>
      <c r="I73" s="27">
        <f>F73+H73</f>
        <v>0</v>
      </c>
    </row>
    <row r="74" spans="1:9" s="35" customFormat="1" ht="15.6" x14ac:dyDescent="0.3">
      <c r="A74" s="28" t="str">
        <f>IF(ISBLANK(G74),"",COUNTA(G$73:G74))</f>
        <v/>
      </c>
      <c r="B74" s="29" t="s">
        <v>59</v>
      </c>
      <c r="C74" s="30" t="s">
        <v>42</v>
      </c>
      <c r="D74" s="31">
        <f>1.1*D73</f>
        <v>26.07</v>
      </c>
      <c r="E74" s="31">
        <v>0</v>
      </c>
      <c r="F74" s="32">
        <f>D73*E74</f>
        <v>0</v>
      </c>
      <c r="G74" s="33"/>
      <c r="H74" s="33"/>
      <c r="I74" s="34">
        <f>F74+H74</f>
        <v>0</v>
      </c>
    </row>
    <row r="75" spans="1:9" s="35" customFormat="1" ht="15.6" x14ac:dyDescent="0.3">
      <c r="A75" s="28" t="str">
        <f>IF(ISBLANK(G75),"",COUNTA(G$73:G75))</f>
        <v/>
      </c>
      <c r="B75" s="29" t="s">
        <v>60</v>
      </c>
      <c r="C75" s="30" t="s">
        <v>15</v>
      </c>
      <c r="D75" s="31">
        <f>5*D73</f>
        <v>118.5</v>
      </c>
      <c r="E75" s="31">
        <v>0</v>
      </c>
      <c r="F75" s="32">
        <f>D74*E75</f>
        <v>0</v>
      </c>
      <c r="G75" s="33"/>
      <c r="H75" s="33"/>
      <c r="I75" s="34">
        <f>F75+H75</f>
        <v>0</v>
      </c>
    </row>
    <row r="76" spans="1:9" s="21" customFormat="1" ht="15.75" customHeight="1" x14ac:dyDescent="0.3">
      <c r="A76" s="22">
        <f>IF(ISBLANK(G76),"",COUNTA(G$8:G76))</f>
        <v>22</v>
      </c>
      <c r="B76" s="23" t="s">
        <v>35</v>
      </c>
      <c r="C76" s="24" t="s">
        <v>12</v>
      </c>
      <c r="D76" s="25">
        <f>D49</f>
        <v>52.24</v>
      </c>
      <c r="E76" s="26"/>
      <c r="F76" s="26">
        <f>D75*E76</f>
        <v>0</v>
      </c>
      <c r="G76" s="26">
        <v>0</v>
      </c>
      <c r="H76" s="26">
        <f>D75*G76</f>
        <v>0</v>
      </c>
      <c r="I76" s="27">
        <f t="shared" si="3"/>
        <v>0</v>
      </c>
    </row>
    <row r="77" spans="1:9" s="21" customFormat="1" ht="15.75" customHeight="1" x14ac:dyDescent="0.3">
      <c r="A77" s="28" t="str">
        <f>IF(ISBLANK(G77),"",COUNTA(G$8:G77))</f>
        <v/>
      </c>
      <c r="B77" s="29" t="s">
        <v>36</v>
      </c>
      <c r="C77" s="30" t="s">
        <v>12</v>
      </c>
      <c r="D77" s="31">
        <f>1.15*D76</f>
        <v>60.076000000000001</v>
      </c>
      <c r="E77" s="31">
        <v>0</v>
      </c>
      <c r="F77" s="32">
        <f>D76*E77</f>
        <v>0</v>
      </c>
      <c r="G77" s="33"/>
      <c r="H77" s="33"/>
      <c r="I77" s="34">
        <f t="shared" si="3"/>
        <v>0</v>
      </c>
    </row>
    <row r="78" spans="1:9" s="35" customFormat="1" ht="15.6" x14ac:dyDescent="0.3">
      <c r="A78" s="28" t="str">
        <f>IF(ISBLANK(G78),"",COUNTA(G$8:G78))</f>
        <v/>
      </c>
      <c r="B78" s="29" t="s">
        <v>37</v>
      </c>
      <c r="C78" s="30" t="s">
        <v>38</v>
      </c>
      <c r="D78" s="31">
        <f>0.02*D76</f>
        <v>1.0448</v>
      </c>
      <c r="E78" s="31">
        <v>0</v>
      </c>
      <c r="F78" s="32">
        <f>D77*E78</f>
        <v>0</v>
      </c>
      <c r="G78" s="33"/>
      <c r="H78" s="33"/>
      <c r="I78" s="34">
        <f t="shared" si="3"/>
        <v>0</v>
      </c>
    </row>
    <row r="79" spans="1:9" s="21" customFormat="1" ht="15.75" customHeight="1" x14ac:dyDescent="0.3">
      <c r="A79" s="28" t="str">
        <f>IF(ISBLANK(G79),"",COUNTA(G$8:G79))</f>
        <v/>
      </c>
      <c r="B79" s="29" t="s">
        <v>39</v>
      </c>
      <c r="C79" s="30" t="s">
        <v>15</v>
      </c>
      <c r="D79" s="31">
        <f>6*D76</f>
        <v>313.44</v>
      </c>
      <c r="E79" s="31">
        <v>0</v>
      </c>
      <c r="F79" s="32">
        <f>D78*E79</f>
        <v>0</v>
      </c>
      <c r="G79" s="33"/>
      <c r="H79" s="33"/>
      <c r="I79" s="34">
        <f t="shared" si="3"/>
        <v>0</v>
      </c>
    </row>
    <row r="80" spans="1:9" ht="15.6" x14ac:dyDescent="0.3">
      <c r="A80" s="22">
        <f>IF(ISBLANK(G80),"",COUNTA(G$8:G80))</f>
        <v>23</v>
      </c>
      <c r="B80" s="23" t="s">
        <v>61</v>
      </c>
      <c r="C80" s="24" t="s">
        <v>62</v>
      </c>
      <c r="D80" s="25">
        <f>D49</f>
        <v>52.24</v>
      </c>
      <c r="E80" s="26"/>
      <c r="F80" s="26"/>
      <c r="G80" s="26">
        <v>0</v>
      </c>
      <c r="H80" s="26">
        <f>D79*G80</f>
        <v>0</v>
      </c>
      <c r="I80" s="27">
        <f t="shared" si="3"/>
        <v>0</v>
      </c>
    </row>
    <row r="81" spans="1:9" ht="27.6" x14ac:dyDescent="0.3">
      <c r="A81" s="28" t="str">
        <f>IF(ISBLANK(G81),"",COUNTA(G$80:G81))</f>
        <v/>
      </c>
      <c r="B81" s="29" t="s">
        <v>63</v>
      </c>
      <c r="C81" s="30" t="s">
        <v>15</v>
      </c>
      <c r="D81" s="31">
        <f>ROUNDUP(6.5*D80,0)</f>
        <v>340</v>
      </c>
      <c r="E81" s="31">
        <v>0</v>
      </c>
      <c r="F81" s="32">
        <f>D80*E81</f>
        <v>0</v>
      </c>
      <c r="G81" s="33"/>
      <c r="H81" s="33"/>
      <c r="I81" s="34">
        <f t="shared" si="3"/>
        <v>0</v>
      </c>
    </row>
    <row r="82" spans="1:9" ht="15.6" x14ac:dyDescent="0.3">
      <c r="A82" s="28" t="str">
        <f>IF(ISBLANK(G82),"",COUNTA(G$80:G82))</f>
        <v/>
      </c>
      <c r="B82" s="29" t="s">
        <v>64</v>
      </c>
      <c r="C82" s="30" t="s">
        <v>15</v>
      </c>
      <c r="D82" s="31">
        <f>D81</f>
        <v>340</v>
      </c>
      <c r="E82" s="31">
        <v>0</v>
      </c>
      <c r="F82" s="32">
        <f>D81*E82</f>
        <v>0</v>
      </c>
      <c r="G82" s="33"/>
      <c r="H82" s="33"/>
      <c r="I82" s="34">
        <f t="shared" si="3"/>
        <v>0</v>
      </c>
    </row>
    <row r="83" spans="1:9" s="21" customFormat="1" ht="15.75" customHeight="1" x14ac:dyDescent="0.3">
      <c r="A83" s="22">
        <f>IF(ISBLANK(G83),"",COUNTA(G$8:G83))</f>
        <v>24</v>
      </c>
      <c r="B83" s="23" t="s">
        <v>65</v>
      </c>
      <c r="C83" s="24" t="s">
        <v>12</v>
      </c>
      <c r="D83" s="25">
        <f>D80</f>
        <v>52.24</v>
      </c>
      <c r="E83" s="26"/>
      <c r="F83" s="26">
        <f>D82*E83</f>
        <v>0</v>
      </c>
      <c r="G83" s="26">
        <v>0</v>
      </c>
      <c r="H83" s="26">
        <f>D82*G83</f>
        <v>0</v>
      </c>
      <c r="I83" s="27">
        <f t="shared" si="3"/>
        <v>0</v>
      </c>
    </row>
    <row r="84" spans="1:9" s="21" customFormat="1" ht="27" customHeight="1" x14ac:dyDescent="0.3">
      <c r="A84" s="28" t="str">
        <f>IF(ISBLANK(G84),"",COUNTA(G$80:G84))</f>
        <v/>
      </c>
      <c r="B84" s="29" t="s">
        <v>66</v>
      </c>
      <c r="C84" s="30" t="s">
        <v>67</v>
      </c>
      <c r="D84" s="31">
        <f>ROUNDUP((((3.2/0.5+1)*14.5)+((2.7/0.5+1)*7.2))*1.1,0)</f>
        <v>169</v>
      </c>
      <c r="E84" s="31">
        <v>0</v>
      </c>
      <c r="F84" s="32">
        <f>D83*E84</f>
        <v>0</v>
      </c>
      <c r="G84" s="33"/>
      <c r="H84" s="33"/>
      <c r="I84" s="34">
        <f t="shared" si="3"/>
        <v>0</v>
      </c>
    </row>
    <row r="85" spans="1:9" s="35" customFormat="1" ht="15.6" x14ac:dyDescent="0.3">
      <c r="A85" s="28" t="str">
        <f>IF(ISBLANK(G85),"",COUNTA(G$80:G85))</f>
        <v/>
      </c>
      <c r="B85" s="29" t="s">
        <v>68</v>
      </c>
      <c r="C85" s="30" t="s">
        <v>15</v>
      </c>
      <c r="D85" s="31">
        <f>12*D83</f>
        <v>626.88</v>
      </c>
      <c r="E85" s="31">
        <v>0</v>
      </c>
      <c r="F85" s="32">
        <f>D84*E85</f>
        <v>0</v>
      </c>
      <c r="G85" s="33"/>
      <c r="H85" s="33"/>
      <c r="I85" s="34">
        <f t="shared" si="3"/>
        <v>0</v>
      </c>
    </row>
    <row r="86" spans="1:9" ht="15.6" x14ac:dyDescent="0.3">
      <c r="A86" s="22">
        <f>IF(ISBLANK(G86),"",COUNTA(G$8:G86))</f>
        <v>25</v>
      </c>
      <c r="B86" s="23" t="s">
        <v>69</v>
      </c>
      <c r="C86" s="24" t="s">
        <v>62</v>
      </c>
      <c r="D86" s="25">
        <f>D80</f>
        <v>52.24</v>
      </c>
      <c r="E86" s="26"/>
      <c r="F86" s="26"/>
      <c r="G86" s="26">
        <v>0</v>
      </c>
      <c r="H86" s="26">
        <f>D85*G86</f>
        <v>0</v>
      </c>
      <c r="I86" s="27">
        <f t="shared" si="3"/>
        <v>0</v>
      </c>
    </row>
    <row r="87" spans="1:9" ht="15.6" x14ac:dyDescent="0.3">
      <c r="A87" s="28" t="str">
        <f>IF(ISBLANK(G87),"",COUNTA(G$80:G87))</f>
        <v/>
      </c>
      <c r="B87" s="29" t="s">
        <v>70</v>
      </c>
      <c r="C87" s="30" t="s">
        <v>18</v>
      </c>
      <c r="D87" s="31">
        <v>0.36</v>
      </c>
      <c r="E87" s="31">
        <v>0</v>
      </c>
      <c r="F87" s="32">
        <f>D86*E87</f>
        <v>0</v>
      </c>
      <c r="G87" s="33"/>
      <c r="H87" s="33"/>
      <c r="I87" s="34">
        <f t="shared" si="3"/>
        <v>0</v>
      </c>
    </row>
    <row r="88" spans="1:9" ht="15.6" x14ac:dyDescent="0.3">
      <c r="A88" s="28" t="str">
        <f>IF(ISBLANK(G88),"",COUNTA(G$80:G88))</f>
        <v/>
      </c>
      <c r="B88" s="29" t="s">
        <v>71</v>
      </c>
      <c r="C88" s="30" t="s">
        <v>15</v>
      </c>
      <c r="D88" s="31">
        <f>ROUNDUP(D86/3.125*1.1,0)</f>
        <v>19</v>
      </c>
      <c r="E88" s="31">
        <v>0</v>
      </c>
      <c r="F88" s="32">
        <f>D87*E88</f>
        <v>0</v>
      </c>
      <c r="G88" s="33"/>
      <c r="H88" s="33"/>
      <c r="I88" s="34">
        <f t="shared" si="3"/>
        <v>0</v>
      </c>
    </row>
    <row r="89" spans="1:9" ht="15.6" x14ac:dyDescent="0.3">
      <c r="A89" s="22">
        <f>IF(ISBLANK(G89),"",COUNTA(G$8:G89))</f>
        <v>26</v>
      </c>
      <c r="B89" s="23" t="s">
        <v>72</v>
      </c>
      <c r="C89" s="24" t="s">
        <v>62</v>
      </c>
      <c r="D89" s="25">
        <f>D80</f>
        <v>52.24</v>
      </c>
      <c r="E89" s="26">
        <v>570</v>
      </c>
      <c r="F89" s="26"/>
      <c r="G89" s="26">
        <v>0</v>
      </c>
      <c r="H89" s="26">
        <f>D88*G89</f>
        <v>0</v>
      </c>
      <c r="I89" s="27">
        <f t="shared" si="3"/>
        <v>0</v>
      </c>
    </row>
    <row r="90" spans="1:9" ht="15.6" x14ac:dyDescent="0.3">
      <c r="A90" s="28" t="str">
        <f>IF(ISBLANK(G90),"",COUNTA(G$80:G90))</f>
        <v/>
      </c>
      <c r="B90" s="29" t="s">
        <v>73</v>
      </c>
      <c r="C90" s="30" t="s">
        <v>62</v>
      </c>
      <c r="D90" s="31">
        <f>ROUNDUP(D89*1.18,0)</f>
        <v>62</v>
      </c>
      <c r="E90" s="31">
        <v>0</v>
      </c>
      <c r="F90" s="32">
        <f>D89*E90</f>
        <v>0</v>
      </c>
      <c r="G90" s="33"/>
      <c r="H90" s="33"/>
      <c r="I90" s="34">
        <f t="shared" si="3"/>
        <v>0</v>
      </c>
    </row>
    <row r="91" spans="1:9" ht="15.6" x14ac:dyDescent="0.3">
      <c r="A91" s="28" t="str">
        <f>IF(ISBLANK(G91),"",COUNTA(G$80:G91))</f>
        <v/>
      </c>
      <c r="B91" s="29" t="s">
        <v>74</v>
      </c>
      <c r="C91" s="30" t="s">
        <v>15</v>
      </c>
      <c r="D91" s="31">
        <f>ROUNDUP(25*D89*1.1,0)</f>
        <v>1437</v>
      </c>
      <c r="E91" s="31">
        <v>0</v>
      </c>
      <c r="F91" s="32">
        <f>D90*E91</f>
        <v>0</v>
      </c>
      <c r="G91" s="33"/>
      <c r="H91" s="33"/>
      <c r="I91" s="34">
        <f t="shared" si="3"/>
        <v>0</v>
      </c>
    </row>
    <row r="92" spans="1:9" ht="15.6" x14ac:dyDescent="0.3">
      <c r="A92" s="28" t="str">
        <f>IF(ISBLANK(G92),"",COUNTA(G$80:G92))</f>
        <v/>
      </c>
      <c r="B92" s="29" t="s">
        <v>75</v>
      </c>
      <c r="C92" s="30" t="s">
        <v>42</v>
      </c>
      <c r="D92" s="31">
        <v>30</v>
      </c>
      <c r="E92" s="31">
        <v>0</v>
      </c>
      <c r="F92" s="32">
        <f>D91*E92</f>
        <v>0</v>
      </c>
      <c r="G92" s="33"/>
      <c r="H92" s="33"/>
      <c r="I92" s="34">
        <f t="shared" si="3"/>
        <v>0</v>
      </c>
    </row>
    <row r="93" spans="1:9" ht="15.6" x14ac:dyDescent="0.3">
      <c r="A93" s="28" t="str">
        <f>IF(ISBLANK(G93),"",COUNTA(G$80:G93))</f>
        <v/>
      </c>
      <c r="B93" s="29" t="s">
        <v>76</v>
      </c>
      <c r="C93" s="30" t="s">
        <v>42</v>
      </c>
      <c r="D93" s="31">
        <v>6</v>
      </c>
      <c r="E93" s="31">
        <v>0</v>
      </c>
      <c r="F93" s="32">
        <f>D92*E93</f>
        <v>0</v>
      </c>
      <c r="G93" s="33"/>
      <c r="H93" s="33"/>
      <c r="I93" s="34">
        <f t="shared" si="3"/>
        <v>0</v>
      </c>
    </row>
    <row r="94" spans="1:9" ht="21.6" customHeight="1" x14ac:dyDescent="0.3">
      <c r="A94" s="98">
        <f>IF(ISBLANK(G94),"",COUNTA(G$8:G94))</f>
        <v>27</v>
      </c>
      <c r="B94" s="44" t="s">
        <v>109</v>
      </c>
      <c r="C94" s="99" t="s">
        <v>77</v>
      </c>
      <c r="D94" s="84">
        <f>19.5</f>
        <v>19.5</v>
      </c>
      <c r="E94" s="100"/>
      <c r="F94" s="100"/>
      <c r="G94" s="100">
        <v>0</v>
      </c>
      <c r="H94" s="100">
        <f>D93*G94</f>
        <v>0</v>
      </c>
      <c r="I94" s="101">
        <f t="shared" si="3"/>
        <v>0</v>
      </c>
    </row>
    <row r="95" spans="1:9" ht="15.6" x14ac:dyDescent="0.3">
      <c r="A95" s="98" t="str">
        <f>IF(ISBLANK(G95),"",COUNTA(G$80:G95))</f>
        <v/>
      </c>
      <c r="B95" s="45"/>
      <c r="C95" s="50"/>
      <c r="D95" s="39"/>
      <c r="E95" s="39"/>
      <c r="F95" s="40"/>
      <c r="G95" s="100"/>
      <c r="H95" s="100"/>
      <c r="I95" s="101"/>
    </row>
    <row r="96" spans="1:9" s="21" customFormat="1" ht="37.799999999999997" customHeight="1" x14ac:dyDescent="0.3">
      <c r="A96" s="14"/>
      <c r="B96" s="15" t="s">
        <v>78</v>
      </c>
      <c r="C96" s="16"/>
      <c r="D96" s="17"/>
      <c r="E96" s="18"/>
      <c r="F96" s="19" t="str">
        <f>IF(E96="","",#REF!*E96)</f>
        <v/>
      </c>
      <c r="G96" s="18"/>
      <c r="H96" s="18" t="str">
        <f>IF(G96="","",D95*G96)</f>
        <v/>
      </c>
      <c r="I96" s="20"/>
    </row>
    <row r="97" spans="1:9" s="21" customFormat="1" ht="31.2" x14ac:dyDescent="0.3">
      <c r="A97" s="22">
        <f>IF(ISBLANK(G97),"",COUNTA(G$8:G97))</f>
        <v>28</v>
      </c>
      <c r="B97" s="23" t="s">
        <v>11</v>
      </c>
      <c r="C97" s="24" t="s">
        <v>12</v>
      </c>
      <c r="D97" s="25">
        <f>53.59+20.96</f>
        <v>74.550000000000011</v>
      </c>
      <c r="E97" s="26"/>
      <c r="F97" s="26"/>
      <c r="G97" s="26">
        <v>0</v>
      </c>
      <c r="H97" s="26">
        <f>D96*G97</f>
        <v>0</v>
      </c>
      <c r="I97" s="27">
        <f t="shared" ref="I97:I116" si="4">F97+H97</f>
        <v>0</v>
      </c>
    </row>
    <row r="98" spans="1:9" s="21" customFormat="1" ht="15.75" customHeight="1" x14ac:dyDescent="0.3">
      <c r="A98" s="28" t="str">
        <f>IF(ISBLANK(G98),"",COUNTA(G$8:G98))</f>
        <v/>
      </c>
      <c r="B98" s="29" t="s">
        <v>13</v>
      </c>
      <c r="C98" s="30" t="s">
        <v>12</v>
      </c>
      <c r="D98" s="31">
        <f>D97*1.17</f>
        <v>87.223500000000001</v>
      </c>
      <c r="E98" s="31">
        <v>0</v>
      </c>
      <c r="F98" s="32">
        <f>D97*E98</f>
        <v>0</v>
      </c>
      <c r="G98" s="33"/>
      <c r="H98" s="33"/>
      <c r="I98" s="34">
        <f t="shared" si="4"/>
        <v>0</v>
      </c>
    </row>
    <row r="99" spans="1:9" s="21" customFormat="1" ht="15.75" customHeight="1" x14ac:dyDescent="0.3">
      <c r="A99" s="28" t="str">
        <f>IF(ISBLANK(G99),"",COUNTA(G$8:G99))</f>
        <v/>
      </c>
      <c r="B99" s="29" t="s">
        <v>14</v>
      </c>
      <c r="C99" s="30" t="s">
        <v>15</v>
      </c>
      <c r="D99" s="31">
        <v>7</v>
      </c>
      <c r="E99" s="31">
        <v>0</v>
      </c>
      <c r="F99" s="32">
        <f>D98*E99</f>
        <v>0</v>
      </c>
      <c r="G99" s="33"/>
      <c r="H99" s="33"/>
      <c r="I99" s="34">
        <f t="shared" si="4"/>
        <v>0</v>
      </c>
    </row>
    <row r="100" spans="1:9" s="35" customFormat="1" ht="15.6" customHeight="1" x14ac:dyDescent="0.3">
      <c r="A100" s="22">
        <f>IF(ISBLANK(G100),"",COUNTA(G$8:G100))</f>
        <v>29</v>
      </c>
      <c r="B100" s="23" t="s">
        <v>53</v>
      </c>
      <c r="C100" s="24" t="s">
        <v>12</v>
      </c>
      <c r="D100" s="25">
        <f>D97</f>
        <v>74.550000000000011</v>
      </c>
      <c r="E100" s="26"/>
      <c r="F100" s="26"/>
      <c r="G100" s="26">
        <v>0</v>
      </c>
      <c r="H100" s="26">
        <f>D99*G100</f>
        <v>0</v>
      </c>
      <c r="I100" s="27">
        <f t="shared" si="4"/>
        <v>0</v>
      </c>
    </row>
    <row r="101" spans="1:9" s="35" customFormat="1" ht="15.6" customHeight="1" x14ac:dyDescent="0.3">
      <c r="A101" s="28"/>
      <c r="B101" s="29" t="s">
        <v>54</v>
      </c>
      <c r="C101" s="30" t="s">
        <v>18</v>
      </c>
      <c r="D101" s="31">
        <f>D100*0.15*1.03</f>
        <v>11.517975000000002</v>
      </c>
      <c r="E101" s="31">
        <v>0</v>
      </c>
      <c r="F101" s="32">
        <f>D100*E101</f>
        <v>0</v>
      </c>
      <c r="G101" s="33"/>
      <c r="H101" s="33"/>
      <c r="I101" s="34">
        <f t="shared" si="4"/>
        <v>0</v>
      </c>
    </row>
    <row r="102" spans="1:9" s="35" customFormat="1" ht="15.6" x14ac:dyDescent="0.3">
      <c r="A102" s="28" t="str">
        <f>IF(ISBLANK(G102),"",COUNTA(G$8:G102))</f>
        <v/>
      </c>
      <c r="B102" s="29" t="s">
        <v>19</v>
      </c>
      <c r="C102" s="30" t="s">
        <v>15</v>
      </c>
      <c r="D102" s="31">
        <f>0.1*D100</f>
        <v>7.4550000000000018</v>
      </c>
      <c r="E102" s="31">
        <v>0</v>
      </c>
      <c r="F102" s="32">
        <f>D101*E102</f>
        <v>0</v>
      </c>
      <c r="G102" s="33"/>
      <c r="H102" s="33"/>
      <c r="I102" s="34">
        <f t="shared" si="4"/>
        <v>0</v>
      </c>
    </row>
    <row r="103" spans="1:9" s="21" customFormat="1" ht="15.75" customHeight="1" x14ac:dyDescent="0.3">
      <c r="A103" s="28" t="str">
        <f>IF(ISBLANK(G103),"",COUNTA(G$8:G103))</f>
        <v/>
      </c>
      <c r="B103" s="29" t="s">
        <v>20</v>
      </c>
      <c r="C103" s="30" t="s">
        <v>15</v>
      </c>
      <c r="D103" s="31">
        <f>5*D100</f>
        <v>372.75000000000006</v>
      </c>
      <c r="E103" s="31">
        <v>0</v>
      </c>
      <c r="F103" s="32">
        <f>D102*E103</f>
        <v>0</v>
      </c>
      <c r="G103" s="33"/>
      <c r="H103" s="33"/>
      <c r="I103" s="34">
        <f t="shared" si="4"/>
        <v>0</v>
      </c>
    </row>
    <row r="104" spans="1:9" s="35" customFormat="1" ht="31.2" x14ac:dyDescent="0.3">
      <c r="A104" s="22">
        <f>IF(ISBLANK(G104),"",COUNTA(G$8:G104))</f>
        <v>30</v>
      </c>
      <c r="B104" s="23" t="s">
        <v>57</v>
      </c>
      <c r="C104" s="24" t="s">
        <v>12</v>
      </c>
      <c r="D104" s="25">
        <f>D97</f>
        <v>74.550000000000011</v>
      </c>
      <c r="E104" s="26"/>
      <c r="F104" s="26"/>
      <c r="G104" s="26">
        <v>0</v>
      </c>
      <c r="H104" s="26">
        <f>D103*G104</f>
        <v>0</v>
      </c>
      <c r="I104" s="27">
        <f t="shared" si="4"/>
        <v>0</v>
      </c>
    </row>
    <row r="105" spans="1:9" s="21" customFormat="1" ht="15.6" x14ac:dyDescent="0.3">
      <c r="A105" s="28" t="str">
        <f>IF(ISBLANK(G105),"",COUNTA(G$8:G105))</f>
        <v/>
      </c>
      <c r="B105" s="29" t="s">
        <v>17</v>
      </c>
      <c r="C105" s="30" t="s">
        <v>18</v>
      </c>
      <c r="D105" s="31">
        <f>0.05*1.07*D104</f>
        <v>3.9884250000000012</v>
      </c>
      <c r="E105" s="31">
        <v>0</v>
      </c>
      <c r="F105" s="32">
        <f>D104*E105</f>
        <v>0</v>
      </c>
      <c r="G105" s="33"/>
      <c r="H105" s="33"/>
      <c r="I105" s="34">
        <f t="shared" si="4"/>
        <v>0</v>
      </c>
    </row>
    <row r="106" spans="1:9" s="21" customFormat="1" ht="15.75" customHeight="1" x14ac:dyDescent="0.3">
      <c r="A106" s="28" t="str">
        <f>IF(ISBLANK(G106),"",COUNTA(G$8:G106))</f>
        <v/>
      </c>
      <c r="B106" s="29" t="s">
        <v>19</v>
      </c>
      <c r="C106" s="30" t="s">
        <v>22</v>
      </c>
      <c r="D106" s="31">
        <f>0.1*D104</f>
        <v>7.4550000000000018</v>
      </c>
      <c r="E106" s="31">
        <v>0</v>
      </c>
      <c r="F106" s="32">
        <f>D105*E106</f>
        <v>0</v>
      </c>
      <c r="G106" s="33"/>
      <c r="H106" s="33"/>
      <c r="I106" s="34">
        <f t="shared" si="4"/>
        <v>0</v>
      </c>
    </row>
    <row r="107" spans="1:9" s="21" customFormat="1" ht="15.75" customHeight="1" x14ac:dyDescent="0.3">
      <c r="A107" s="22">
        <f>IF(ISBLANK(G107),"",COUNTA(G$8:G107))</f>
        <v>31</v>
      </c>
      <c r="B107" s="23" t="s">
        <v>23</v>
      </c>
      <c r="C107" s="24" t="s">
        <v>12</v>
      </c>
      <c r="D107" s="25">
        <f>D97</f>
        <v>74.550000000000011</v>
      </c>
      <c r="E107" s="26"/>
      <c r="F107" s="26"/>
      <c r="G107" s="26">
        <v>0</v>
      </c>
      <c r="H107" s="26">
        <f>D106*G107</f>
        <v>0</v>
      </c>
      <c r="I107" s="27">
        <f t="shared" si="4"/>
        <v>0</v>
      </c>
    </row>
    <row r="108" spans="1:9" s="35" customFormat="1" ht="15.6" x14ac:dyDescent="0.3">
      <c r="A108" s="28" t="str">
        <f>IF(ISBLANK(G108),"",COUNTA(G$8:G108))</f>
        <v/>
      </c>
      <c r="B108" s="29" t="s">
        <v>24</v>
      </c>
      <c r="C108" s="30" t="s">
        <v>25</v>
      </c>
      <c r="D108" s="31">
        <f>0.15*D107</f>
        <v>11.182500000000001</v>
      </c>
      <c r="E108" s="31">
        <v>0</v>
      </c>
      <c r="F108" s="32">
        <f>D107*E108</f>
        <v>0</v>
      </c>
      <c r="G108" s="33"/>
      <c r="H108" s="33"/>
      <c r="I108" s="34">
        <f t="shared" si="4"/>
        <v>0</v>
      </c>
    </row>
    <row r="109" spans="1:9" s="35" customFormat="1" ht="16.8" x14ac:dyDescent="0.3">
      <c r="A109" s="28" t="str">
        <f>IF(ISBLANK(G109),"",COUNTA(G$8:G109))</f>
        <v/>
      </c>
      <c r="B109" s="29" t="s">
        <v>26</v>
      </c>
      <c r="C109" s="30" t="s">
        <v>12</v>
      </c>
      <c r="D109" s="31">
        <f>1.25*D107</f>
        <v>93.187500000000014</v>
      </c>
      <c r="E109" s="31">
        <v>0</v>
      </c>
      <c r="F109" s="32">
        <f>D108*E109</f>
        <v>0</v>
      </c>
      <c r="G109" s="33"/>
      <c r="H109" s="33"/>
      <c r="I109" s="34">
        <f t="shared" si="4"/>
        <v>0</v>
      </c>
    </row>
    <row r="110" spans="1:9" s="21" customFormat="1" ht="31.2" customHeight="1" x14ac:dyDescent="0.3">
      <c r="A110" s="22">
        <f>IF(ISBLANK(G110),"",COUNTA(G$8:G110))</f>
        <v>32</v>
      </c>
      <c r="B110" s="23" t="s">
        <v>27</v>
      </c>
      <c r="C110" s="24" t="s">
        <v>12</v>
      </c>
      <c r="D110" s="25">
        <f>D97</f>
        <v>74.550000000000011</v>
      </c>
      <c r="E110" s="26"/>
      <c r="F110" s="26"/>
      <c r="G110" s="26">
        <v>0</v>
      </c>
      <c r="H110" s="26">
        <f>D109*G110</f>
        <v>0</v>
      </c>
      <c r="I110" s="27">
        <f t="shared" si="4"/>
        <v>0</v>
      </c>
    </row>
    <row r="111" spans="1:9" s="21" customFormat="1" ht="15.75" customHeight="1" x14ac:dyDescent="0.3">
      <c r="A111" s="28" t="str">
        <f>IF(ISBLANK(G111),"",COUNTA(G$8:G111))</f>
        <v/>
      </c>
      <c r="B111" s="29" t="s">
        <v>28</v>
      </c>
      <c r="C111" s="30" t="s">
        <v>18</v>
      </c>
      <c r="D111" s="37">
        <f>0.08*D110*1.02</f>
        <v>6.0832800000000011</v>
      </c>
      <c r="E111" s="31">
        <v>0</v>
      </c>
      <c r="F111" s="32">
        <f>D110*E111</f>
        <v>0</v>
      </c>
      <c r="G111" s="33"/>
      <c r="H111" s="33">
        <f>D110*G111</f>
        <v>0</v>
      </c>
      <c r="I111" s="34">
        <f t="shared" si="4"/>
        <v>0</v>
      </c>
    </row>
    <row r="112" spans="1:9" s="35" customFormat="1" ht="15.6" x14ac:dyDescent="0.3">
      <c r="A112" s="22">
        <f>IF(ISBLANK(G112),"",COUNTA(G$8:G112))</f>
        <v>33</v>
      </c>
      <c r="B112" s="38" t="s">
        <v>29</v>
      </c>
      <c r="C112" s="24" t="s">
        <v>18</v>
      </c>
      <c r="D112" s="25">
        <f>D111</f>
        <v>6.0832800000000011</v>
      </c>
      <c r="E112" s="26"/>
      <c r="F112" s="26"/>
      <c r="G112" s="26">
        <v>0</v>
      </c>
      <c r="H112" s="26">
        <f>D111*G112</f>
        <v>0</v>
      </c>
      <c r="I112" s="27">
        <f t="shared" si="4"/>
        <v>0</v>
      </c>
    </row>
    <row r="113" spans="1:9" s="35" customFormat="1" ht="15.6" x14ac:dyDescent="0.3">
      <c r="A113" s="28"/>
      <c r="B113" s="29" t="s">
        <v>30</v>
      </c>
      <c r="C113" s="30" t="s">
        <v>31</v>
      </c>
      <c r="D113" s="37">
        <f>1.21*D112</f>
        <v>7.3607688000000016</v>
      </c>
      <c r="E113" s="31">
        <v>0</v>
      </c>
      <c r="F113" s="32">
        <f>D112*E113</f>
        <v>0</v>
      </c>
      <c r="G113" s="33"/>
      <c r="H113" s="33">
        <f>D112*G113</f>
        <v>0</v>
      </c>
      <c r="I113" s="34">
        <f t="shared" si="4"/>
        <v>0</v>
      </c>
    </row>
    <row r="114" spans="1:9" s="35" customFormat="1" ht="15.6" x14ac:dyDescent="0.3">
      <c r="A114" s="28"/>
      <c r="B114" s="29" t="s">
        <v>32</v>
      </c>
      <c r="C114" s="30" t="s">
        <v>31</v>
      </c>
      <c r="D114" s="37">
        <f>0.304*D112</f>
        <v>1.8493171200000003</v>
      </c>
      <c r="E114" s="31">
        <v>0</v>
      </c>
      <c r="F114" s="32">
        <f>D113*E114</f>
        <v>0</v>
      </c>
      <c r="G114" s="33"/>
      <c r="H114" s="33">
        <f>D113*G114</f>
        <v>0</v>
      </c>
      <c r="I114" s="34">
        <f t="shared" si="4"/>
        <v>0</v>
      </c>
    </row>
    <row r="115" spans="1:9" s="21" customFormat="1" ht="15.75" customHeight="1" x14ac:dyDescent="0.3">
      <c r="A115" s="22">
        <f>IF(ISBLANK(G115),"",COUNTA(G$8:G115))</f>
        <v>34</v>
      </c>
      <c r="B115" s="23" t="s">
        <v>33</v>
      </c>
      <c r="C115" s="24" t="s">
        <v>12</v>
      </c>
      <c r="D115" s="25">
        <f>D97</f>
        <v>74.550000000000011</v>
      </c>
      <c r="E115" s="26"/>
      <c r="F115" s="26"/>
      <c r="G115" s="26">
        <v>0</v>
      </c>
      <c r="H115" s="26">
        <f>D114*G115</f>
        <v>0</v>
      </c>
      <c r="I115" s="27">
        <f t="shared" si="4"/>
        <v>0</v>
      </c>
    </row>
    <row r="116" spans="1:9" s="21" customFormat="1" ht="16.8" x14ac:dyDescent="0.3">
      <c r="A116" s="28" t="str">
        <f>IF(ISBLANK(G116),"",COUNTA(G$8:G116))</f>
        <v/>
      </c>
      <c r="B116" s="29" t="s">
        <v>34</v>
      </c>
      <c r="C116" s="30" t="s">
        <v>12</v>
      </c>
      <c r="D116" s="31">
        <f>1.15*D115</f>
        <v>85.732500000000002</v>
      </c>
      <c r="E116" s="31">
        <v>0</v>
      </c>
      <c r="F116" s="32">
        <f>D115*E116</f>
        <v>0</v>
      </c>
      <c r="G116" s="33"/>
      <c r="H116" s="33"/>
      <c r="I116" s="34">
        <f t="shared" si="4"/>
        <v>0</v>
      </c>
    </row>
    <row r="117" spans="1:9" s="21" customFormat="1" ht="15.75" customHeight="1" x14ac:dyDescent="0.3">
      <c r="A117" s="22">
        <f>IF(ISBLANK(G117),"",COUNTA(G$8:G117))</f>
        <v>35</v>
      </c>
      <c r="B117" s="59" t="s">
        <v>58</v>
      </c>
      <c r="C117" s="24" t="s">
        <v>42</v>
      </c>
      <c r="D117" s="25">
        <f>8*2+10.5</f>
        <v>26.5</v>
      </c>
      <c r="E117" s="26"/>
      <c r="F117" s="26"/>
      <c r="G117" s="26">
        <v>0</v>
      </c>
      <c r="H117" s="26">
        <f>D116*G117</f>
        <v>0</v>
      </c>
      <c r="I117" s="27">
        <f>F117+H117</f>
        <v>0</v>
      </c>
    </row>
    <row r="118" spans="1:9" s="35" customFormat="1" ht="15.6" x14ac:dyDescent="0.3">
      <c r="A118" s="28" t="str">
        <f>IF(ISBLANK(G118),"",COUNTA(G$73:G118))</f>
        <v/>
      </c>
      <c r="B118" s="29" t="s">
        <v>59</v>
      </c>
      <c r="C118" s="30" t="s">
        <v>42</v>
      </c>
      <c r="D118" s="31">
        <f>1.1*D117</f>
        <v>29.150000000000002</v>
      </c>
      <c r="E118" s="31">
        <v>0</v>
      </c>
      <c r="F118" s="32">
        <f>D117*E118</f>
        <v>0</v>
      </c>
      <c r="G118" s="33"/>
      <c r="H118" s="33"/>
      <c r="I118" s="34">
        <f>F118+H118</f>
        <v>0</v>
      </c>
    </row>
    <row r="119" spans="1:9" s="35" customFormat="1" ht="15.6" x14ac:dyDescent="0.3">
      <c r="A119" s="28" t="str">
        <f>IF(ISBLANK(G119),"",COUNTA(G$73:G119))</f>
        <v/>
      </c>
      <c r="B119" s="29" t="s">
        <v>60</v>
      </c>
      <c r="C119" s="30" t="s">
        <v>15</v>
      </c>
      <c r="D119" s="31">
        <f>5*D117</f>
        <v>132.5</v>
      </c>
      <c r="E119" s="31">
        <v>0</v>
      </c>
      <c r="F119" s="32">
        <f>D118*E119</f>
        <v>0</v>
      </c>
      <c r="G119" s="33"/>
      <c r="H119" s="33"/>
      <c r="I119" s="34">
        <f>F119+H119</f>
        <v>0</v>
      </c>
    </row>
    <row r="120" spans="1:9" s="21" customFormat="1" ht="15.75" customHeight="1" x14ac:dyDescent="0.3">
      <c r="A120" s="22">
        <f>IF(ISBLANK(G120),"",COUNTA(G$8:G120))</f>
        <v>36</v>
      </c>
      <c r="B120" s="23" t="s">
        <v>35</v>
      </c>
      <c r="C120" s="24" t="s">
        <v>12</v>
      </c>
      <c r="D120" s="25">
        <f>D97</f>
        <v>74.550000000000011</v>
      </c>
      <c r="E120" s="26"/>
      <c r="F120" s="26">
        <f>D119*E120</f>
        <v>0</v>
      </c>
      <c r="G120" s="26">
        <v>0</v>
      </c>
      <c r="H120" s="26">
        <f>D119*G120</f>
        <v>0</v>
      </c>
      <c r="I120" s="27">
        <f t="shared" ref="I120:I123" si="5">F120+H120</f>
        <v>0</v>
      </c>
    </row>
    <row r="121" spans="1:9" s="21" customFormat="1" ht="15.75" customHeight="1" x14ac:dyDescent="0.3">
      <c r="A121" s="28" t="str">
        <f>IF(ISBLANK(G121),"",COUNTA(G$8:G121))</f>
        <v/>
      </c>
      <c r="B121" s="29" t="s">
        <v>36</v>
      </c>
      <c r="C121" s="30" t="s">
        <v>12</v>
      </c>
      <c r="D121" s="31">
        <f>1.15*D120</f>
        <v>85.732500000000002</v>
      </c>
      <c r="E121" s="31">
        <v>0</v>
      </c>
      <c r="F121" s="32">
        <f>D120*E121</f>
        <v>0</v>
      </c>
      <c r="G121" s="33"/>
      <c r="H121" s="33"/>
      <c r="I121" s="34">
        <f t="shared" si="5"/>
        <v>0</v>
      </c>
    </row>
    <row r="122" spans="1:9" s="35" customFormat="1" ht="15.6" x14ac:dyDescent="0.3">
      <c r="A122" s="28" t="str">
        <f>IF(ISBLANK(G122),"",COUNTA(G$8:G122))</f>
        <v/>
      </c>
      <c r="B122" s="29" t="s">
        <v>37</v>
      </c>
      <c r="C122" s="30" t="s">
        <v>38</v>
      </c>
      <c r="D122" s="31">
        <f>0.02*D120</f>
        <v>1.4910000000000003</v>
      </c>
      <c r="E122" s="31">
        <v>0</v>
      </c>
      <c r="F122" s="32">
        <f>D121*E122</f>
        <v>0</v>
      </c>
      <c r="G122" s="33"/>
      <c r="H122" s="33"/>
      <c r="I122" s="34">
        <f t="shared" si="5"/>
        <v>0</v>
      </c>
    </row>
    <row r="123" spans="1:9" s="21" customFormat="1" ht="15.75" customHeight="1" x14ac:dyDescent="0.3">
      <c r="A123" s="28" t="str">
        <f>IF(ISBLANK(G123),"",COUNTA(G$8:G123))</f>
        <v/>
      </c>
      <c r="B123" s="29" t="s">
        <v>39</v>
      </c>
      <c r="C123" s="30" t="s">
        <v>15</v>
      </c>
      <c r="D123" s="31">
        <f>6*D120</f>
        <v>447.30000000000007</v>
      </c>
      <c r="E123" s="31">
        <v>0</v>
      </c>
      <c r="F123" s="32">
        <f>D122*E123</f>
        <v>0</v>
      </c>
      <c r="G123" s="33"/>
      <c r="H123" s="33"/>
      <c r="I123" s="34">
        <f t="shared" si="5"/>
        <v>0</v>
      </c>
    </row>
    <row r="124" spans="1:9" ht="15.6" x14ac:dyDescent="0.3">
      <c r="A124" s="28"/>
      <c r="B124" s="46" t="s">
        <v>73</v>
      </c>
      <c r="C124" s="47" t="s">
        <v>62</v>
      </c>
      <c r="D124" s="48">
        <f>20.96</f>
        <v>20.96</v>
      </c>
      <c r="E124" s="41"/>
      <c r="F124" s="32"/>
      <c r="G124" s="33"/>
      <c r="H124" s="33"/>
      <c r="I124" s="34"/>
    </row>
    <row r="125" spans="1:9" ht="15.6" x14ac:dyDescent="0.3">
      <c r="A125" s="22">
        <f>IF(ISBLANK(G125),"",COUNTA(G$8:G125))</f>
        <v>37</v>
      </c>
      <c r="B125" s="23" t="s">
        <v>61</v>
      </c>
      <c r="C125" s="24" t="s">
        <v>62</v>
      </c>
      <c r="D125" s="25">
        <f>20.96</f>
        <v>20.96</v>
      </c>
      <c r="E125" s="26"/>
      <c r="F125" s="26"/>
      <c r="G125" s="26">
        <v>0</v>
      </c>
      <c r="H125" s="26">
        <f>D124*G125</f>
        <v>0</v>
      </c>
      <c r="I125" s="27">
        <f t="shared" ref="I125:I138" si="6">F125+H125</f>
        <v>0</v>
      </c>
    </row>
    <row r="126" spans="1:9" ht="27.6" x14ac:dyDescent="0.3">
      <c r="A126" s="28" t="str">
        <f>IF(ISBLANK(G126),"",COUNTA(G$80:G126))</f>
        <v/>
      </c>
      <c r="B126" s="29" t="s">
        <v>63</v>
      </c>
      <c r="C126" s="30" t="s">
        <v>15</v>
      </c>
      <c r="D126" s="31">
        <f>ROUNDUP(6.5*D125,0)</f>
        <v>137</v>
      </c>
      <c r="E126" s="31">
        <v>0</v>
      </c>
      <c r="F126" s="32">
        <f>D125*E126</f>
        <v>0</v>
      </c>
      <c r="G126" s="33"/>
      <c r="H126" s="33"/>
      <c r="I126" s="34">
        <f t="shared" si="6"/>
        <v>0</v>
      </c>
    </row>
    <row r="127" spans="1:9" ht="15.6" x14ac:dyDescent="0.3">
      <c r="A127" s="28" t="str">
        <f>IF(ISBLANK(G127),"",COUNTA(G$80:G127))</f>
        <v/>
      </c>
      <c r="B127" s="29" t="s">
        <v>64</v>
      </c>
      <c r="C127" s="30" t="s">
        <v>15</v>
      </c>
      <c r="D127" s="31">
        <f>D126</f>
        <v>137</v>
      </c>
      <c r="E127" s="31">
        <v>0</v>
      </c>
      <c r="F127" s="32">
        <f>D126*E127</f>
        <v>0</v>
      </c>
      <c r="G127" s="33"/>
      <c r="H127" s="33"/>
      <c r="I127" s="34">
        <f t="shared" si="6"/>
        <v>0</v>
      </c>
    </row>
    <row r="128" spans="1:9" s="21" customFormat="1" ht="15.75" customHeight="1" x14ac:dyDescent="0.3">
      <c r="A128" s="22">
        <f>IF(ISBLANK(G128),"",COUNTA(G$8:G128))</f>
        <v>38</v>
      </c>
      <c r="B128" s="23" t="s">
        <v>65</v>
      </c>
      <c r="C128" s="24" t="s">
        <v>12</v>
      </c>
      <c r="D128" s="25">
        <f>D125</f>
        <v>20.96</v>
      </c>
      <c r="E128" s="26"/>
      <c r="F128" s="26">
        <f>D127*E128</f>
        <v>0</v>
      </c>
      <c r="G128" s="26">
        <v>0</v>
      </c>
      <c r="H128" s="26">
        <f>D127*G128</f>
        <v>0</v>
      </c>
      <c r="I128" s="27">
        <f t="shared" si="6"/>
        <v>0</v>
      </c>
    </row>
    <row r="129" spans="1:9" s="21" customFormat="1" ht="27" customHeight="1" x14ac:dyDescent="0.3">
      <c r="A129" s="28" t="str">
        <f>IF(ISBLANK(G129),"",COUNTA(G$80:G129))</f>
        <v/>
      </c>
      <c r="B129" s="29" t="s">
        <v>66</v>
      </c>
      <c r="C129" s="30" t="s">
        <v>67</v>
      </c>
      <c r="D129" s="31">
        <f>ROUNDUP((((3.2/0.5+1)*14.5)+((2.7/0.5+1)*7.2))*1.1,0)</f>
        <v>169</v>
      </c>
      <c r="E129" s="31">
        <v>0</v>
      </c>
      <c r="F129" s="32">
        <f>D128*E129</f>
        <v>0</v>
      </c>
      <c r="G129" s="33"/>
      <c r="H129" s="33"/>
      <c r="I129" s="34">
        <f t="shared" si="6"/>
        <v>0</v>
      </c>
    </row>
    <row r="130" spans="1:9" s="35" customFormat="1" ht="15.6" x14ac:dyDescent="0.3">
      <c r="A130" s="28" t="str">
        <f>IF(ISBLANK(G130),"",COUNTA(G$80:G130))</f>
        <v/>
      </c>
      <c r="B130" s="29" t="s">
        <v>68</v>
      </c>
      <c r="C130" s="30" t="s">
        <v>15</v>
      </c>
      <c r="D130" s="31">
        <f>12*D128</f>
        <v>251.52</v>
      </c>
      <c r="E130" s="31">
        <v>0</v>
      </c>
      <c r="F130" s="32">
        <f>D129*E130</f>
        <v>0</v>
      </c>
      <c r="G130" s="33"/>
      <c r="H130" s="33"/>
      <c r="I130" s="34">
        <f t="shared" si="6"/>
        <v>0</v>
      </c>
    </row>
    <row r="131" spans="1:9" ht="15.6" x14ac:dyDescent="0.3">
      <c r="A131" s="22">
        <f>IF(ISBLANK(G131),"",COUNTA(G$8:G131))</f>
        <v>39</v>
      </c>
      <c r="B131" s="23" t="s">
        <v>69</v>
      </c>
      <c r="C131" s="24" t="s">
        <v>62</v>
      </c>
      <c r="D131" s="25">
        <f>D125</f>
        <v>20.96</v>
      </c>
      <c r="E131" s="26"/>
      <c r="F131" s="26"/>
      <c r="G131" s="26">
        <v>0</v>
      </c>
      <c r="H131" s="26">
        <f>D130*G131</f>
        <v>0</v>
      </c>
      <c r="I131" s="27">
        <f t="shared" si="6"/>
        <v>0</v>
      </c>
    </row>
    <row r="132" spans="1:9" ht="15.6" x14ac:dyDescent="0.3">
      <c r="A132" s="28" t="str">
        <f>IF(ISBLANK(G132),"",COUNTA(G$80:G132))</f>
        <v/>
      </c>
      <c r="B132" s="29" t="s">
        <v>70</v>
      </c>
      <c r="C132" s="30" t="s">
        <v>18</v>
      </c>
      <c r="D132" s="31">
        <v>0.36</v>
      </c>
      <c r="E132" s="31">
        <v>0</v>
      </c>
      <c r="F132" s="32">
        <f>D131*E132</f>
        <v>0</v>
      </c>
      <c r="G132" s="33"/>
      <c r="H132" s="33"/>
      <c r="I132" s="34">
        <f t="shared" si="6"/>
        <v>0</v>
      </c>
    </row>
    <row r="133" spans="1:9" ht="15.6" x14ac:dyDescent="0.3">
      <c r="A133" s="28" t="str">
        <f>IF(ISBLANK(G133),"",COUNTA(G$80:G133))</f>
        <v/>
      </c>
      <c r="B133" s="29" t="s">
        <v>71</v>
      </c>
      <c r="C133" s="30" t="s">
        <v>15</v>
      </c>
      <c r="D133" s="31">
        <f>ROUNDUP(D131/3.125*1.1,0)</f>
        <v>8</v>
      </c>
      <c r="E133" s="31">
        <v>0</v>
      </c>
      <c r="F133" s="32">
        <f>D132*E133</f>
        <v>0</v>
      </c>
      <c r="G133" s="33"/>
      <c r="H133" s="33"/>
      <c r="I133" s="34">
        <f t="shared" si="6"/>
        <v>0</v>
      </c>
    </row>
    <row r="134" spans="1:9" ht="15.6" x14ac:dyDescent="0.3">
      <c r="A134" s="22">
        <f>IF(ISBLANK(G134),"",COUNTA(G$8:G134))</f>
        <v>40</v>
      </c>
      <c r="B134" s="23" t="s">
        <v>72</v>
      </c>
      <c r="C134" s="24" t="s">
        <v>62</v>
      </c>
      <c r="D134" s="25">
        <f>D125</f>
        <v>20.96</v>
      </c>
      <c r="E134" s="26"/>
      <c r="F134" s="26"/>
      <c r="G134" s="26">
        <v>0</v>
      </c>
      <c r="H134" s="26">
        <f>D133*G134</f>
        <v>0</v>
      </c>
      <c r="I134" s="27">
        <f t="shared" si="6"/>
        <v>0</v>
      </c>
    </row>
    <row r="135" spans="1:9" ht="15.6" x14ac:dyDescent="0.3">
      <c r="A135" s="28" t="str">
        <f>IF(ISBLANK(G135),"",COUNTA(G$80:G135))</f>
        <v/>
      </c>
      <c r="B135" s="29" t="s">
        <v>73</v>
      </c>
      <c r="C135" s="30" t="s">
        <v>62</v>
      </c>
      <c r="D135" s="31">
        <f>ROUNDUP(D134*1.18,0)</f>
        <v>25</v>
      </c>
      <c r="E135" s="31">
        <v>0</v>
      </c>
      <c r="F135" s="32">
        <f>D134*E135</f>
        <v>0</v>
      </c>
      <c r="G135" s="33"/>
      <c r="H135" s="33"/>
      <c r="I135" s="34">
        <f t="shared" si="6"/>
        <v>0</v>
      </c>
    </row>
    <row r="136" spans="1:9" ht="15.6" x14ac:dyDescent="0.3">
      <c r="A136" s="28" t="str">
        <f>IF(ISBLANK(G136),"",COUNTA(G$80:G136))</f>
        <v/>
      </c>
      <c r="B136" s="29" t="s">
        <v>74</v>
      </c>
      <c r="C136" s="30" t="s">
        <v>15</v>
      </c>
      <c r="D136" s="31">
        <f>ROUNDUP(25*D134*1.1,0)</f>
        <v>577</v>
      </c>
      <c r="E136" s="31">
        <v>0</v>
      </c>
      <c r="F136" s="32">
        <f>D135*E136</f>
        <v>0</v>
      </c>
      <c r="G136" s="33"/>
      <c r="H136" s="33"/>
      <c r="I136" s="34">
        <f t="shared" si="6"/>
        <v>0</v>
      </c>
    </row>
    <row r="137" spans="1:9" ht="15.6" x14ac:dyDescent="0.3">
      <c r="A137" s="28" t="str">
        <f>IF(ISBLANK(G137),"",COUNTA(G$80:G137))</f>
        <v/>
      </c>
      <c r="B137" s="29" t="s">
        <v>75</v>
      </c>
      <c r="C137" s="30" t="s">
        <v>42</v>
      </c>
      <c r="D137" s="31">
        <v>30</v>
      </c>
      <c r="E137" s="31">
        <v>0</v>
      </c>
      <c r="F137" s="32">
        <f>D136*E137</f>
        <v>0</v>
      </c>
      <c r="G137" s="33"/>
      <c r="H137" s="33"/>
      <c r="I137" s="34">
        <f t="shared" si="6"/>
        <v>0</v>
      </c>
    </row>
    <row r="138" spans="1:9" ht="15.6" x14ac:dyDescent="0.3">
      <c r="A138" s="28" t="str">
        <f>IF(ISBLANK(G138),"",COUNTA(G$80:G138))</f>
        <v/>
      </c>
      <c r="B138" s="29" t="s">
        <v>76</v>
      </c>
      <c r="C138" s="30" t="s">
        <v>42</v>
      </c>
      <c r="D138" s="31">
        <v>6</v>
      </c>
      <c r="E138" s="31">
        <v>0</v>
      </c>
      <c r="F138" s="32">
        <f>D137*E138</f>
        <v>0</v>
      </c>
      <c r="G138" s="33"/>
      <c r="H138" s="33"/>
      <c r="I138" s="34">
        <f t="shared" si="6"/>
        <v>0</v>
      </c>
    </row>
    <row r="139" spans="1:9" ht="15.6" x14ac:dyDescent="0.3">
      <c r="A139" s="28"/>
      <c r="B139" s="46" t="s">
        <v>79</v>
      </c>
      <c r="C139" s="47" t="s">
        <v>62</v>
      </c>
      <c r="D139" s="49">
        <f>53.59</f>
        <v>53.59</v>
      </c>
      <c r="E139" s="41"/>
      <c r="F139" s="32"/>
      <c r="G139" s="33"/>
      <c r="H139" s="33"/>
      <c r="I139" s="34"/>
    </row>
    <row r="140" spans="1:9" s="21" customFormat="1" ht="15.75" customHeight="1" x14ac:dyDescent="0.3">
      <c r="A140" s="22">
        <f>IF(ISBLANK(G140),"",COUNTA(G$8:G140))</f>
        <v>41</v>
      </c>
      <c r="B140" s="23" t="s">
        <v>80</v>
      </c>
      <c r="C140" s="24" t="s">
        <v>12</v>
      </c>
      <c r="D140" s="25">
        <f>53.59</f>
        <v>53.59</v>
      </c>
      <c r="E140" s="26"/>
      <c r="F140" s="26">
        <f>D139*E140</f>
        <v>0</v>
      </c>
      <c r="G140" s="26">
        <v>0</v>
      </c>
      <c r="H140" s="26">
        <f>D139*G140</f>
        <v>0</v>
      </c>
      <c r="I140" s="27">
        <f t="shared" ref="I140:I150" si="7">F140+H140</f>
        <v>0</v>
      </c>
    </row>
    <row r="141" spans="1:9" s="21" customFormat="1" ht="15.75" customHeight="1" x14ac:dyDescent="0.3">
      <c r="A141" s="28" t="str">
        <f>IF(ISBLANK(G141),"",COUNTA(G$140:G141))</f>
        <v/>
      </c>
      <c r="B141" s="29" t="s">
        <v>81</v>
      </c>
      <c r="C141" s="30" t="s">
        <v>12</v>
      </c>
      <c r="D141" s="31">
        <f>43.65*1.1</f>
        <v>48.015000000000001</v>
      </c>
      <c r="E141" s="31">
        <v>0</v>
      </c>
      <c r="F141" s="32">
        <f>D140*E141</f>
        <v>0</v>
      </c>
      <c r="G141" s="33"/>
      <c r="H141" s="33"/>
      <c r="I141" s="34">
        <f t="shared" si="7"/>
        <v>0</v>
      </c>
    </row>
    <row r="142" spans="1:9" s="21" customFormat="1" ht="15.75" customHeight="1" x14ac:dyDescent="0.3">
      <c r="A142" s="28" t="str">
        <f>IF(ISBLANK(G142),"",COUNTA(G$140:G142))</f>
        <v/>
      </c>
      <c r="B142" s="29" t="s">
        <v>39</v>
      </c>
      <c r="C142" s="63" t="s">
        <v>15</v>
      </c>
      <c r="D142" s="31">
        <f>6*D140</f>
        <v>321.54000000000002</v>
      </c>
      <c r="E142" s="31">
        <v>0</v>
      </c>
      <c r="F142" s="32">
        <f>D141*E142</f>
        <v>0</v>
      </c>
      <c r="G142" s="33"/>
      <c r="H142" s="33"/>
      <c r="I142" s="34">
        <f t="shared" si="7"/>
        <v>0</v>
      </c>
    </row>
    <row r="143" spans="1:9" s="21" customFormat="1" ht="15.75" customHeight="1" x14ac:dyDescent="0.3">
      <c r="A143" s="22">
        <f>IF(ISBLANK(G143),"",COUNTA(G$8:G143))</f>
        <v>42</v>
      </c>
      <c r="B143" s="23" t="s">
        <v>33</v>
      </c>
      <c r="C143" s="24" t="s">
        <v>12</v>
      </c>
      <c r="D143" s="25">
        <f>D140</f>
        <v>53.59</v>
      </c>
      <c r="E143" s="26"/>
      <c r="F143" s="26"/>
      <c r="G143" s="26">
        <v>0</v>
      </c>
      <c r="H143" s="26">
        <f>D142*G143</f>
        <v>0</v>
      </c>
      <c r="I143" s="27">
        <f t="shared" si="7"/>
        <v>0</v>
      </c>
    </row>
    <row r="144" spans="1:9" s="21" customFormat="1" ht="16.8" x14ac:dyDescent="0.3">
      <c r="A144" s="28" t="str">
        <f>IF(ISBLANK(G144),"",COUNTA(G$140:G144))</f>
        <v/>
      </c>
      <c r="B144" s="29" t="s">
        <v>34</v>
      </c>
      <c r="C144" s="30" t="s">
        <v>12</v>
      </c>
      <c r="D144" s="31">
        <f>1.15*D143</f>
        <v>61.628500000000003</v>
      </c>
      <c r="E144" s="31">
        <v>0</v>
      </c>
      <c r="F144" s="32">
        <f>D143*E144</f>
        <v>0</v>
      </c>
      <c r="G144" s="33"/>
      <c r="H144" s="33"/>
      <c r="I144" s="34">
        <f t="shared" si="7"/>
        <v>0</v>
      </c>
    </row>
    <row r="145" spans="1:9" s="21" customFormat="1" ht="15.75" customHeight="1" x14ac:dyDescent="0.3">
      <c r="A145" s="22">
        <f>IF(ISBLANK(G145),"",COUNTA(G$8:G145))</f>
        <v>43</v>
      </c>
      <c r="B145" s="23" t="s">
        <v>82</v>
      </c>
      <c r="C145" s="24" t="s">
        <v>67</v>
      </c>
      <c r="D145" s="25">
        <v>11</v>
      </c>
      <c r="E145" s="26"/>
      <c r="F145" s="26"/>
      <c r="G145" s="26">
        <v>0</v>
      </c>
      <c r="H145" s="26">
        <f>D144*G145</f>
        <v>0</v>
      </c>
      <c r="I145" s="27">
        <f t="shared" si="7"/>
        <v>0</v>
      </c>
    </row>
    <row r="146" spans="1:9" s="21" customFormat="1" ht="15.6" x14ac:dyDescent="0.3">
      <c r="A146" s="28" t="str">
        <f>IF(ISBLANK(G146),"",COUNTA(G$140:G146))</f>
        <v/>
      </c>
      <c r="B146" s="29" t="s">
        <v>83</v>
      </c>
      <c r="C146" s="30" t="s">
        <v>67</v>
      </c>
      <c r="D146" s="31">
        <f>ROUNDUP(D145*1.05,1)</f>
        <v>11.6</v>
      </c>
      <c r="E146" s="31">
        <v>0</v>
      </c>
      <c r="F146" s="32">
        <f>D145*E146</f>
        <v>0</v>
      </c>
      <c r="G146" s="33"/>
      <c r="H146" s="33"/>
      <c r="I146" s="34">
        <f t="shared" si="7"/>
        <v>0</v>
      </c>
    </row>
    <row r="147" spans="1:9" s="21" customFormat="1" ht="15.75" customHeight="1" x14ac:dyDescent="0.3">
      <c r="A147" s="22">
        <f>IF(ISBLANK(G147),"",COUNTA(G$8:G147))</f>
        <v>44</v>
      </c>
      <c r="B147" s="23" t="s">
        <v>84</v>
      </c>
      <c r="C147" s="24" t="s">
        <v>12</v>
      </c>
      <c r="D147" s="25">
        <f>D140</f>
        <v>53.59</v>
      </c>
      <c r="E147" s="26"/>
      <c r="F147" s="26"/>
      <c r="G147" s="26">
        <v>0</v>
      </c>
      <c r="H147" s="26">
        <f>D146*G147</f>
        <v>0</v>
      </c>
      <c r="I147" s="27">
        <f t="shared" si="7"/>
        <v>0</v>
      </c>
    </row>
    <row r="148" spans="1:9" s="21" customFormat="1" ht="15.6" x14ac:dyDescent="0.3">
      <c r="A148" s="28" t="str">
        <f>IF(ISBLANK(G148),"",COUNTA(G$140:G148))</f>
        <v/>
      </c>
      <c r="B148" s="29" t="s">
        <v>85</v>
      </c>
      <c r="C148" s="30" t="s">
        <v>86</v>
      </c>
      <c r="D148" s="31">
        <f>D147*0.3*1.3*1.6</f>
        <v>33.440160000000006</v>
      </c>
      <c r="E148" s="31">
        <v>0</v>
      </c>
      <c r="F148" s="32">
        <f>D147*E148</f>
        <v>0</v>
      </c>
      <c r="G148" s="33"/>
      <c r="H148" s="33"/>
      <c r="I148" s="34">
        <f t="shared" si="7"/>
        <v>0</v>
      </c>
    </row>
    <row r="149" spans="1:9" s="21" customFormat="1" ht="15.75" customHeight="1" x14ac:dyDescent="0.3">
      <c r="A149" s="22">
        <f>IF(ISBLANK(G149),"",COUNTA(G$8:G149))</f>
        <v>45</v>
      </c>
      <c r="B149" s="23" t="s">
        <v>87</v>
      </c>
      <c r="C149" s="24" t="s">
        <v>12</v>
      </c>
      <c r="D149" s="25">
        <f>D140</f>
        <v>53.59</v>
      </c>
      <c r="E149" s="26"/>
      <c r="F149" s="26"/>
      <c r="G149" s="26">
        <v>0</v>
      </c>
      <c r="H149" s="26">
        <f>D148*G149</f>
        <v>0</v>
      </c>
      <c r="I149" s="27">
        <f t="shared" si="7"/>
        <v>0</v>
      </c>
    </row>
    <row r="150" spans="1:9" s="21" customFormat="1" ht="15.6" x14ac:dyDescent="0.3">
      <c r="A150" s="28" t="str">
        <f>IF(ISBLANK(G150),"",COUNTA(G$140:G150))</f>
        <v/>
      </c>
      <c r="B150" s="29" t="s">
        <v>88</v>
      </c>
      <c r="C150" s="30" t="s">
        <v>62</v>
      </c>
      <c r="D150" s="31">
        <f>D149*1.03</f>
        <v>55.197700000000005</v>
      </c>
      <c r="E150" s="31">
        <v>0</v>
      </c>
      <c r="F150" s="32">
        <f>D149*E150</f>
        <v>0</v>
      </c>
      <c r="G150" s="33"/>
      <c r="H150" s="33"/>
      <c r="I150" s="34">
        <f t="shared" si="7"/>
        <v>0</v>
      </c>
    </row>
    <row r="151" spans="1:9" s="21" customFormat="1" ht="30" customHeight="1" x14ac:dyDescent="0.3">
      <c r="A151" s="14"/>
      <c r="B151" s="15" t="s">
        <v>89</v>
      </c>
      <c r="C151" s="16"/>
      <c r="D151" s="43"/>
      <c r="E151" s="18"/>
      <c r="F151" s="19" t="str">
        <f>IF(E151="","",#REF!*E151)</f>
        <v/>
      </c>
      <c r="G151" s="18"/>
      <c r="H151" s="18" t="str">
        <f>IF(G151="","",D150*G151)</f>
        <v/>
      </c>
      <c r="I151" s="20"/>
    </row>
    <row r="152" spans="1:9" ht="15.6" x14ac:dyDescent="0.3">
      <c r="A152" s="22">
        <f>IF(ISBLANK(G152),"",COUNTA(G$8:G152))</f>
        <v>46</v>
      </c>
      <c r="B152" s="23" t="s">
        <v>90</v>
      </c>
      <c r="C152" s="24" t="s">
        <v>42</v>
      </c>
      <c r="D152" s="25">
        <f>73.7</f>
        <v>73.7</v>
      </c>
      <c r="E152" s="26"/>
      <c r="F152" s="26"/>
      <c r="G152" s="26">
        <v>0</v>
      </c>
      <c r="H152" s="26">
        <f>D151*G152</f>
        <v>0</v>
      </c>
      <c r="I152" s="27">
        <f t="shared" ref="I152:I156" si="8">F152+H152</f>
        <v>0</v>
      </c>
    </row>
    <row r="153" spans="1:9" ht="15.6" x14ac:dyDescent="0.3">
      <c r="A153" s="28" t="str">
        <f>IF(ISBLANK(G153),"",COUNTA(G$8:G153))</f>
        <v/>
      </c>
      <c r="B153" s="29" t="s">
        <v>43</v>
      </c>
      <c r="C153" s="30" t="s">
        <v>18</v>
      </c>
      <c r="D153" s="31">
        <f>0.055*D152</f>
        <v>4.0535000000000005</v>
      </c>
      <c r="E153" s="31">
        <v>0</v>
      </c>
      <c r="F153" s="32">
        <f>D152*E153</f>
        <v>0</v>
      </c>
      <c r="G153" s="33"/>
      <c r="H153" s="33"/>
      <c r="I153" s="34">
        <f t="shared" si="8"/>
        <v>0</v>
      </c>
    </row>
    <row r="154" spans="1:9" ht="15.6" x14ac:dyDescent="0.3">
      <c r="A154" s="28" t="str">
        <f>IF(ISBLANK(G154),"",COUNTA(G$8:G154))</f>
        <v/>
      </c>
      <c r="B154" s="29" t="s">
        <v>44</v>
      </c>
      <c r="C154" s="30" t="s">
        <v>15</v>
      </c>
      <c r="D154" s="31">
        <f>5*D152</f>
        <v>368.5</v>
      </c>
      <c r="E154" s="31">
        <v>0</v>
      </c>
      <c r="F154" s="32">
        <f>D153*E154</f>
        <v>0</v>
      </c>
      <c r="G154" s="33"/>
      <c r="H154" s="33"/>
      <c r="I154" s="34">
        <f t="shared" si="8"/>
        <v>0</v>
      </c>
    </row>
    <row r="155" spans="1:9" ht="15.6" x14ac:dyDescent="0.3">
      <c r="A155" s="22">
        <f>IF(ISBLANK(G155),"",COUNTA(G$8:G155))</f>
        <v>47</v>
      </c>
      <c r="B155" s="23" t="s">
        <v>45</v>
      </c>
      <c r="C155" s="24" t="s">
        <v>42</v>
      </c>
      <c r="D155" s="25">
        <f>D152</f>
        <v>73.7</v>
      </c>
      <c r="E155" s="26"/>
      <c r="F155" s="26"/>
      <c r="G155" s="26">
        <v>0</v>
      </c>
      <c r="H155" s="26">
        <f>D154*G155</f>
        <v>0</v>
      </c>
      <c r="I155" s="27">
        <f t="shared" si="8"/>
        <v>0</v>
      </c>
    </row>
    <row r="156" spans="1:9" ht="15.6" x14ac:dyDescent="0.3">
      <c r="A156" s="28"/>
      <c r="B156" s="29" t="s">
        <v>46</v>
      </c>
      <c r="C156" s="30" t="s">
        <v>42</v>
      </c>
      <c r="D156" s="31">
        <f>1.05*D155</f>
        <v>77.385000000000005</v>
      </c>
      <c r="E156" s="31">
        <v>0</v>
      </c>
      <c r="F156" s="32">
        <f>D155*E156</f>
        <v>0</v>
      </c>
      <c r="G156" s="33"/>
      <c r="H156" s="33"/>
      <c r="I156" s="34">
        <f t="shared" si="8"/>
        <v>0</v>
      </c>
    </row>
    <row r="157" spans="1:9" ht="15.6" x14ac:dyDescent="0.3">
      <c r="A157" s="28" t="str">
        <f>IF(ISBLANK(G157),"",COUNTA(G$8:G157))</f>
        <v/>
      </c>
      <c r="B157" s="29" t="s">
        <v>47</v>
      </c>
      <c r="C157" s="30" t="s">
        <v>42</v>
      </c>
      <c r="D157" s="31">
        <f>0.6*D155</f>
        <v>44.22</v>
      </c>
      <c r="E157" s="31">
        <v>0</v>
      </c>
      <c r="F157" s="32">
        <f>D156*E157</f>
        <v>0</v>
      </c>
      <c r="G157" s="33"/>
      <c r="H157" s="33"/>
      <c r="I157" s="34">
        <f>F157+H157</f>
        <v>0</v>
      </c>
    </row>
    <row r="158" spans="1:9" ht="15.6" x14ac:dyDescent="0.3">
      <c r="A158" s="28" t="str">
        <f>IF(ISBLANK(G158),"",COUNTA(G$8:G158))</f>
        <v/>
      </c>
      <c r="B158" s="29" t="s">
        <v>48</v>
      </c>
      <c r="C158" s="30" t="s">
        <v>38</v>
      </c>
      <c r="D158" s="31">
        <f>0.13*D155</f>
        <v>9.5810000000000013</v>
      </c>
      <c r="E158" s="31">
        <v>0</v>
      </c>
      <c r="F158" s="32">
        <f>D157*E158</f>
        <v>0</v>
      </c>
      <c r="G158" s="33"/>
      <c r="H158" s="33"/>
      <c r="I158" s="34">
        <f t="shared" ref="I158:I165" si="9">F158+H158</f>
        <v>0</v>
      </c>
    </row>
    <row r="159" spans="1:9" ht="14.4" customHeight="1" x14ac:dyDescent="0.3">
      <c r="A159" s="22">
        <f>IF(ISBLANK(G159),"",COUNTA(G$8:G159))</f>
        <v>48</v>
      </c>
      <c r="B159" s="23" t="s">
        <v>91</v>
      </c>
      <c r="C159" s="24" t="s">
        <v>42</v>
      </c>
      <c r="D159" s="25">
        <f>D152</f>
        <v>73.7</v>
      </c>
      <c r="E159" s="26"/>
      <c r="F159" s="26"/>
      <c r="G159" s="26">
        <v>0</v>
      </c>
      <c r="H159" s="26">
        <f>D158*G159</f>
        <v>0</v>
      </c>
      <c r="I159" s="27">
        <f t="shared" si="9"/>
        <v>0</v>
      </c>
    </row>
    <row r="160" spans="1:9" ht="16.8" x14ac:dyDescent="0.3">
      <c r="A160" s="28" t="str">
        <f>IF(ISBLANK(G160),"",COUNTA(G$8:G160))</f>
        <v/>
      </c>
      <c r="B160" s="29" t="s">
        <v>34</v>
      </c>
      <c r="C160" s="30" t="s">
        <v>12</v>
      </c>
      <c r="D160" s="31">
        <f>0.7*D159</f>
        <v>51.589999999999996</v>
      </c>
      <c r="E160" s="31">
        <v>0</v>
      </c>
      <c r="F160" s="32">
        <f>D159*E160</f>
        <v>0</v>
      </c>
      <c r="G160" s="33"/>
      <c r="H160" s="33"/>
      <c r="I160" s="34">
        <f t="shared" si="9"/>
        <v>0</v>
      </c>
    </row>
    <row r="161" spans="1:13" ht="15.6" x14ac:dyDescent="0.3">
      <c r="A161" s="22">
        <f>IF(ISBLANK(G161),"",COUNTA(G$8:G161))</f>
        <v>49</v>
      </c>
      <c r="B161" s="23" t="s">
        <v>49</v>
      </c>
      <c r="C161" s="24" t="s">
        <v>42</v>
      </c>
      <c r="D161" s="25">
        <f>D152</f>
        <v>73.7</v>
      </c>
      <c r="E161" s="26"/>
      <c r="F161" s="26"/>
      <c r="G161" s="26">
        <v>0</v>
      </c>
      <c r="H161" s="26">
        <f>D160*G161</f>
        <v>0</v>
      </c>
      <c r="I161" s="27">
        <f t="shared" si="9"/>
        <v>0</v>
      </c>
    </row>
    <row r="162" spans="1:13" ht="16.8" x14ac:dyDescent="0.3">
      <c r="A162" s="28" t="str">
        <f>IF(ISBLANK(G162),"",COUNTA(G$8:G162))</f>
        <v/>
      </c>
      <c r="B162" s="29" t="s">
        <v>36</v>
      </c>
      <c r="C162" s="30" t="s">
        <v>12</v>
      </c>
      <c r="D162" s="31">
        <f>0.77*D161</f>
        <v>56.749000000000002</v>
      </c>
      <c r="E162" s="31">
        <v>0</v>
      </c>
      <c r="F162" s="32">
        <f>D161*E162</f>
        <v>0</v>
      </c>
      <c r="G162" s="33"/>
      <c r="H162" s="33"/>
      <c r="I162" s="34">
        <f t="shared" si="9"/>
        <v>0</v>
      </c>
    </row>
    <row r="163" spans="1:13" ht="15.6" x14ac:dyDescent="0.3">
      <c r="A163" s="28"/>
      <c r="B163" s="29" t="s">
        <v>46</v>
      </c>
      <c r="C163" s="30" t="s">
        <v>42</v>
      </c>
      <c r="D163" s="31">
        <f>1.1*D161</f>
        <v>81.070000000000007</v>
      </c>
      <c r="E163" s="31">
        <v>0</v>
      </c>
      <c r="F163" s="32">
        <f>D162*E163</f>
        <v>0</v>
      </c>
      <c r="G163" s="33"/>
      <c r="H163" s="33"/>
      <c r="I163" s="34">
        <f t="shared" si="9"/>
        <v>0</v>
      </c>
    </row>
    <row r="164" spans="1:13" ht="15.6" x14ac:dyDescent="0.3">
      <c r="A164" s="28" t="str">
        <f>IF(ISBLANK(G164),"",COUNTA(G$8:G164))</f>
        <v/>
      </c>
      <c r="B164" s="29" t="s">
        <v>50</v>
      </c>
      <c r="C164" s="30" t="s">
        <v>25</v>
      </c>
      <c r="D164" s="31">
        <f>0.04*D161</f>
        <v>2.948</v>
      </c>
      <c r="E164" s="31">
        <v>0</v>
      </c>
      <c r="F164" s="32">
        <f>D163*E164</f>
        <v>0</v>
      </c>
      <c r="G164" s="33"/>
      <c r="H164" s="33"/>
      <c r="I164" s="34">
        <f t="shared" si="9"/>
        <v>0</v>
      </c>
    </row>
    <row r="165" spans="1:13" ht="16.8" x14ac:dyDescent="0.3">
      <c r="A165" s="28" t="str">
        <f>IF(ISBLANK(G165),"",COUNTA(G$8:G165))</f>
        <v/>
      </c>
      <c r="B165" s="29" t="s">
        <v>51</v>
      </c>
      <c r="C165" s="30" t="s">
        <v>12</v>
      </c>
      <c r="D165" s="31">
        <v>1.5</v>
      </c>
      <c r="E165" s="31">
        <v>0</v>
      </c>
      <c r="F165" s="32">
        <f>D164*E165</f>
        <v>0</v>
      </c>
      <c r="G165" s="33"/>
      <c r="H165" s="33"/>
      <c r="I165" s="34">
        <f t="shared" si="9"/>
        <v>0</v>
      </c>
    </row>
    <row r="166" spans="1:13" s="21" customFormat="1" ht="30" customHeight="1" x14ac:dyDescent="0.3">
      <c r="A166" s="51"/>
      <c r="B166" s="52" t="s">
        <v>92</v>
      </c>
      <c r="C166" s="53"/>
      <c r="D166" s="54"/>
      <c r="E166" s="55"/>
      <c r="F166" s="56" t="str">
        <f>IF(E166="","",#REF!*E166)</f>
        <v/>
      </c>
      <c r="G166" s="55"/>
      <c r="H166" s="55" t="str">
        <f>IF(G166="","",D165*G166)</f>
        <v/>
      </c>
      <c r="I166" s="57"/>
      <c r="M166" s="58"/>
    </row>
    <row r="167" spans="1:13" s="62" customFormat="1" ht="15.6" x14ac:dyDescent="0.3">
      <c r="A167" s="22">
        <f>IF(ISBLANK(G167),"",COUNTA(G$8:G167))</f>
        <v>50</v>
      </c>
      <c r="B167" s="23" t="s">
        <v>93</v>
      </c>
      <c r="C167" s="24" t="s">
        <v>15</v>
      </c>
      <c r="D167" s="25">
        <v>4</v>
      </c>
      <c r="E167" s="26"/>
      <c r="F167" s="26"/>
      <c r="G167" s="26">
        <v>0</v>
      </c>
      <c r="H167" s="26" t="e">
        <f>#REF!*G167</f>
        <v>#REF!</v>
      </c>
      <c r="I167" s="27" t="e">
        <f t="shared" ref="I167:I172" si="10">F167+H167</f>
        <v>#REF!</v>
      </c>
    </row>
    <row r="168" spans="1:13" s="62" customFormat="1" ht="15.6" x14ac:dyDescent="0.3">
      <c r="A168" s="28" t="str">
        <f>IF(ISBLANK(G168),"",COUNTA(G$8:G168))</f>
        <v/>
      </c>
      <c r="B168" s="29" t="s">
        <v>94</v>
      </c>
      <c r="C168" s="63" t="s">
        <v>15</v>
      </c>
      <c r="D168" s="31">
        <v>3</v>
      </c>
      <c r="E168" s="31">
        <v>0</v>
      </c>
      <c r="F168" s="32">
        <f>D166*E168</f>
        <v>0</v>
      </c>
      <c r="G168" s="33"/>
      <c r="H168" s="33"/>
      <c r="I168" s="34">
        <f t="shared" si="10"/>
        <v>0</v>
      </c>
    </row>
    <row r="169" spans="1:13" s="62" customFormat="1" ht="15.6" x14ac:dyDescent="0.3">
      <c r="A169" s="28" t="str">
        <f>IF(ISBLANK(G169),"",COUNTA(G$8:G169))</f>
        <v/>
      </c>
      <c r="B169" s="29" t="s">
        <v>95</v>
      </c>
      <c r="C169" s="63" t="s">
        <v>15</v>
      </c>
      <c r="D169" s="31">
        <v>1</v>
      </c>
      <c r="E169" s="31">
        <v>0</v>
      </c>
      <c r="F169" s="32">
        <f>D167*E169</f>
        <v>0</v>
      </c>
      <c r="G169" s="33"/>
      <c r="H169" s="33"/>
      <c r="I169" s="34">
        <f t="shared" si="10"/>
        <v>0</v>
      </c>
    </row>
    <row r="170" spans="1:13" s="62" customFormat="1" ht="15.6" x14ac:dyDescent="0.3">
      <c r="A170" s="22">
        <f>IF(ISBLANK(G170),"",COUNTA(G$8:G170))</f>
        <v>51</v>
      </c>
      <c r="B170" s="23" t="s">
        <v>96</v>
      </c>
      <c r="C170" s="24" t="s">
        <v>15</v>
      </c>
      <c r="D170" s="25">
        <v>8</v>
      </c>
      <c r="E170" s="26"/>
      <c r="F170" s="26"/>
      <c r="G170" s="26">
        <v>0</v>
      </c>
      <c r="H170" s="26">
        <f>D168*G170</f>
        <v>0</v>
      </c>
      <c r="I170" s="27">
        <f t="shared" si="10"/>
        <v>0</v>
      </c>
    </row>
    <row r="171" spans="1:13" s="62" customFormat="1" ht="15.6" x14ac:dyDescent="0.3">
      <c r="A171" s="28" t="str">
        <f>IF(ISBLANK(G171),"",COUNTA(G$8:G171))</f>
        <v/>
      </c>
      <c r="B171" s="29" t="s">
        <v>97</v>
      </c>
      <c r="C171" s="63" t="s">
        <v>15</v>
      </c>
      <c r="D171" s="31">
        <f>1*D170</f>
        <v>8</v>
      </c>
      <c r="E171" s="31">
        <v>0</v>
      </c>
      <c r="F171" s="32">
        <f>D169*E171</f>
        <v>0</v>
      </c>
      <c r="G171" s="33"/>
      <c r="H171" s="33"/>
      <c r="I171" s="34">
        <f t="shared" si="10"/>
        <v>0</v>
      </c>
    </row>
    <row r="172" spans="1:13" s="62" customFormat="1" ht="15.6" x14ac:dyDescent="0.3">
      <c r="A172" s="22">
        <f>IF(ISBLANK(G172),"",COUNTA(G$8:G172))</f>
        <v>52</v>
      </c>
      <c r="B172" s="23" t="s">
        <v>99</v>
      </c>
      <c r="C172" s="24" t="s">
        <v>100</v>
      </c>
      <c r="D172" s="25">
        <v>2</v>
      </c>
      <c r="E172" s="26"/>
      <c r="F172" s="26"/>
      <c r="G172" s="26">
        <v>0</v>
      </c>
      <c r="H172" s="26">
        <f>D170*G172</f>
        <v>0</v>
      </c>
      <c r="I172" s="27">
        <f t="shared" si="10"/>
        <v>0</v>
      </c>
    </row>
    <row r="173" spans="1:13" ht="15.6" x14ac:dyDescent="0.3">
      <c r="A173" s="70"/>
      <c r="B173" s="70"/>
      <c r="C173" s="70"/>
      <c r="D173" s="70"/>
      <c r="E173" s="71"/>
      <c r="F173" s="32"/>
      <c r="G173" s="42"/>
      <c r="H173" s="72"/>
      <c r="I173" s="34"/>
    </row>
    <row r="174" spans="1:13" ht="15" thickBot="1" x14ac:dyDescent="0.35">
      <c r="A174" s="73"/>
      <c r="B174" s="74"/>
      <c r="C174" s="74"/>
      <c r="D174" s="74"/>
      <c r="E174" s="75"/>
      <c r="F174" s="74"/>
      <c r="G174" s="75"/>
      <c r="H174" s="74"/>
      <c r="I174" s="76"/>
    </row>
    <row r="175" spans="1:13" ht="16.2" thickBot="1" x14ac:dyDescent="0.35">
      <c r="A175" s="77"/>
      <c r="B175" s="78" t="s">
        <v>108</v>
      </c>
      <c r="C175" s="78"/>
      <c r="D175" s="78"/>
      <c r="E175" s="79"/>
      <c r="F175" s="80">
        <f>SUM(F9:F174)</f>
        <v>0</v>
      </c>
      <c r="G175" s="81"/>
      <c r="H175" s="80" t="e">
        <f>SUM(H9:H174)</f>
        <v>#REF!</v>
      </c>
      <c r="I175" s="82" t="e">
        <f>SUM(I9:I174)</f>
        <v>#REF!</v>
      </c>
    </row>
    <row r="210" spans="1:15" x14ac:dyDescent="0.3">
      <c r="D210" s="37"/>
    </row>
    <row r="211" spans="1:15" ht="15.6" x14ac:dyDescent="0.3">
      <c r="D211" s="17"/>
    </row>
    <row r="212" spans="1:15" s="62" customFormat="1" ht="15.6" x14ac:dyDescent="0.3">
      <c r="A212" s="28"/>
      <c r="B212" s="83"/>
      <c r="C212" s="63"/>
      <c r="D212" s="84" t="e">
        <f>[1]Фасад!#REF!</f>
        <v>#REF!</v>
      </c>
      <c r="E212" s="31"/>
      <c r="F212" s="32"/>
      <c r="G212" s="33"/>
      <c r="H212" s="33"/>
      <c r="I212" s="34"/>
    </row>
    <row r="213" spans="1:15" s="21" customFormat="1" ht="21" customHeight="1" x14ac:dyDescent="0.3">
      <c r="A213" s="14"/>
      <c r="B213" s="64" t="s">
        <v>101</v>
      </c>
      <c r="C213" s="16"/>
      <c r="D213" s="31" t="e">
        <f>ROUND(D212*1.1/2.5/1.25,)</f>
        <v>#REF!</v>
      </c>
      <c r="E213" s="18"/>
      <c r="F213" s="19" t="str">
        <f>IF(E213="","",#REF!*E213)</f>
        <v/>
      </c>
      <c r="G213" s="18"/>
      <c r="H213" s="18"/>
      <c r="I213" s="20"/>
    </row>
    <row r="214" spans="1:15" s="21" customFormat="1" ht="30" customHeight="1" x14ac:dyDescent="0.3">
      <c r="A214" s="22">
        <f>IF(ISBLANK(G214),"",COUNTA(G$8:G214))</f>
        <v>53</v>
      </c>
      <c r="B214" s="23" t="s">
        <v>102</v>
      </c>
      <c r="C214" s="24" t="s">
        <v>103</v>
      </c>
      <c r="D214" s="31" t="e">
        <f>D212*1.1</f>
        <v>#REF!</v>
      </c>
      <c r="E214" s="26"/>
      <c r="F214" s="26"/>
      <c r="G214" s="26">
        <f>50*1.2</f>
        <v>60</v>
      </c>
      <c r="H214" s="26" t="e">
        <f>D212*G214</f>
        <v>#REF!</v>
      </c>
      <c r="I214" s="27" t="e">
        <f>F214+H214</f>
        <v>#REF!</v>
      </c>
    </row>
    <row r="215" spans="1:15" s="62" customFormat="1" ht="15.6" x14ac:dyDescent="0.3">
      <c r="A215" s="28" t="str">
        <f>IF(ISBLANK(G215),"",COUNTA(G$213:G215))</f>
        <v/>
      </c>
      <c r="B215" s="29" t="s">
        <v>104</v>
      </c>
      <c r="C215" s="30" t="s">
        <v>15</v>
      </c>
      <c r="D215" s="61">
        <f>2*30</f>
        <v>60</v>
      </c>
      <c r="E215" s="85">
        <f>430</f>
        <v>430</v>
      </c>
      <c r="F215" s="32" t="e">
        <f>D213*E215</f>
        <v>#REF!</v>
      </c>
      <c r="G215" s="33"/>
      <c r="H215" s="33"/>
      <c r="I215" s="34" t="e">
        <f>F215+H215</f>
        <v>#REF!</v>
      </c>
    </row>
    <row r="216" spans="1:15" s="62" customFormat="1" ht="15.6" x14ac:dyDescent="0.3">
      <c r="A216" s="28" t="str">
        <f>IF(ISBLANK(G216),"",COUNTA(G$213:G216))</f>
        <v/>
      </c>
      <c r="B216" s="29" t="s">
        <v>105</v>
      </c>
      <c r="C216" s="30" t="s">
        <v>103</v>
      </c>
      <c r="D216" s="61" t="e">
        <f>ROUNDUP(((D24+#REF!+[2]Тераси!#REF!)*2.494+ДЦ!D147)*1.1,0)</f>
        <v>#REF!</v>
      </c>
      <c r="E216" s="85">
        <f>8.85</f>
        <v>8.85</v>
      </c>
      <c r="F216" s="32" t="e">
        <f>D214*E216</f>
        <v>#REF!</v>
      </c>
      <c r="G216" s="33"/>
      <c r="H216" s="33"/>
      <c r="I216" s="34" t="e">
        <f>F216+H216</f>
        <v>#REF!</v>
      </c>
    </row>
    <row r="217" spans="1:15" s="36" customFormat="1" ht="15.6" x14ac:dyDescent="0.3">
      <c r="A217" s="28">
        <f>IF(ISBLANK(G217),"",COUNTA(G$9:G217))</f>
        <v>54</v>
      </c>
      <c r="B217" s="65" t="s">
        <v>106</v>
      </c>
      <c r="C217" s="60" t="s">
        <v>107</v>
      </c>
      <c r="D217" s="70"/>
      <c r="E217" s="33"/>
      <c r="F217" s="33"/>
      <c r="G217" s="86">
        <v>850</v>
      </c>
      <c r="H217" s="33">
        <f>D215*G217</f>
        <v>51000</v>
      </c>
      <c r="I217" s="34">
        <f t="shared" ref="I217" si="11">F217+H217</f>
        <v>51000</v>
      </c>
      <c r="N217" s="66"/>
    </row>
    <row r="218" spans="1:15" ht="21.6" customHeight="1" thickBot="1" x14ac:dyDescent="0.35">
      <c r="A218" s="28">
        <f>IF(ISBLANK(G218),"",COUNTA(G$9:G218))</f>
        <v>55</v>
      </c>
      <c r="B218" s="65" t="s">
        <v>98</v>
      </c>
      <c r="C218" s="60" t="s">
        <v>31</v>
      </c>
      <c r="D218" s="87"/>
      <c r="E218" s="33"/>
      <c r="F218" s="33"/>
      <c r="G218" s="33">
        <v>800</v>
      </c>
      <c r="H218" s="33" t="e">
        <f>G218*D216</f>
        <v>#REF!</v>
      </c>
      <c r="I218" s="34" t="e">
        <f>H218+F218</f>
        <v>#REF!</v>
      </c>
      <c r="J218" s="67"/>
      <c r="K218" s="68"/>
      <c r="L218" s="68"/>
      <c r="M218" s="69"/>
      <c r="N218" s="36"/>
      <c r="O218" s="66"/>
    </row>
    <row r="219" spans="1:15" ht="15.6" x14ac:dyDescent="0.3">
      <c r="A219" s="70"/>
      <c r="B219" s="70"/>
      <c r="C219" s="70"/>
      <c r="D219" s="94"/>
      <c r="E219" s="71"/>
      <c r="F219" s="32"/>
      <c r="G219" s="42"/>
      <c r="H219" s="72"/>
      <c r="I219" s="34"/>
    </row>
    <row r="220" spans="1:15" ht="15" thickBot="1" x14ac:dyDescent="0.35">
      <c r="A220" s="87"/>
      <c r="B220" s="87"/>
      <c r="C220" s="87"/>
      <c r="E220" s="88"/>
      <c r="F220" s="89"/>
      <c r="G220" s="90"/>
      <c r="H220" s="90"/>
      <c r="I220" s="91"/>
    </row>
    <row r="221" spans="1:15" ht="15.6" x14ac:dyDescent="0.3">
      <c r="A221" s="92"/>
      <c r="B221" s="93" t="s">
        <v>108</v>
      </c>
      <c r="C221" s="93"/>
      <c r="E221" s="95"/>
      <c r="F221" s="96" t="e">
        <f>SUM(F9:F220)</f>
        <v>#REF!</v>
      </c>
      <c r="G221" s="96"/>
      <c r="H221" s="96" t="e">
        <f>SUM(H8:H220)</f>
        <v>#REF!</v>
      </c>
      <c r="I221" s="97" t="e">
        <f>SUM(I9:I220)</f>
        <v>#REF!</v>
      </c>
    </row>
  </sheetData>
  <autoFilter ref="A7:AKW208" xr:uid="{B6B7BAA6-14E8-4291-82C9-33FDB10A9DD0}"/>
  <mergeCells count="10">
    <mergeCell ref="A1:I1"/>
    <mergeCell ref="A2:I2"/>
    <mergeCell ref="A3:I3"/>
    <mergeCell ref="A5:A6"/>
    <mergeCell ref="B5:B6"/>
    <mergeCell ref="C5:C6"/>
    <mergeCell ref="D5:D6"/>
    <mergeCell ref="E5:F5"/>
    <mergeCell ref="G5:H5"/>
    <mergeCell ref="I5:I6"/>
  </mergeCells>
  <conditionalFormatting sqref="B10">
    <cfRule type="duplicateValues" dxfId="56" priority="54"/>
  </conditionalFormatting>
  <conditionalFormatting sqref="B20">
    <cfRule type="duplicateValues" dxfId="55" priority="53"/>
  </conditionalFormatting>
  <conditionalFormatting sqref="B28">
    <cfRule type="duplicateValues" dxfId="54" priority="52"/>
  </conditionalFormatting>
  <conditionalFormatting sqref="B30">
    <cfRule type="duplicateValues" dxfId="53" priority="51"/>
  </conditionalFormatting>
  <conditionalFormatting sqref="B35">
    <cfRule type="duplicateValues" dxfId="52" priority="50"/>
  </conditionalFormatting>
  <conditionalFormatting sqref="B42">
    <cfRule type="duplicateValues" dxfId="51" priority="49"/>
  </conditionalFormatting>
  <conditionalFormatting sqref="B168:B169">
    <cfRule type="duplicateValues" dxfId="50" priority="48"/>
  </conditionalFormatting>
  <conditionalFormatting sqref="B171">
    <cfRule type="duplicateValues" dxfId="49" priority="47"/>
  </conditionalFormatting>
  <conditionalFormatting sqref="B17">
    <cfRule type="duplicateValues" dxfId="48" priority="46"/>
  </conditionalFormatting>
  <conditionalFormatting sqref="B44">
    <cfRule type="duplicateValues" dxfId="47" priority="45"/>
  </conditionalFormatting>
  <conditionalFormatting sqref="B24:B26">
    <cfRule type="duplicateValues" dxfId="46" priority="55"/>
  </conditionalFormatting>
  <conditionalFormatting sqref="B38:B39">
    <cfRule type="duplicateValues" dxfId="45" priority="56"/>
  </conditionalFormatting>
  <conditionalFormatting sqref="B45">
    <cfRule type="duplicateValues" dxfId="44" priority="44"/>
  </conditionalFormatting>
  <conditionalFormatting sqref="B50">
    <cfRule type="duplicateValues" dxfId="43" priority="41"/>
  </conditionalFormatting>
  <conditionalFormatting sqref="B64">
    <cfRule type="duplicateValues" dxfId="42" priority="40"/>
  </conditionalFormatting>
  <conditionalFormatting sqref="B72">
    <cfRule type="duplicateValues" dxfId="41" priority="39"/>
  </conditionalFormatting>
  <conditionalFormatting sqref="B77">
    <cfRule type="duplicateValues" dxfId="40" priority="38"/>
  </conditionalFormatting>
  <conditionalFormatting sqref="B153">
    <cfRule type="duplicateValues" dxfId="39" priority="37"/>
  </conditionalFormatting>
  <conditionalFormatting sqref="B160">
    <cfRule type="duplicateValues" dxfId="38" priority="36"/>
  </conditionalFormatting>
  <conditionalFormatting sqref="B61">
    <cfRule type="duplicateValues" dxfId="37" priority="35"/>
  </conditionalFormatting>
  <conditionalFormatting sqref="B162">
    <cfRule type="duplicateValues" dxfId="36" priority="34"/>
  </conditionalFormatting>
  <conditionalFormatting sqref="B68:B70">
    <cfRule type="duplicateValues" dxfId="35" priority="42"/>
  </conditionalFormatting>
  <conditionalFormatting sqref="B156:B157">
    <cfRule type="duplicateValues" dxfId="34" priority="43"/>
  </conditionalFormatting>
  <conditionalFormatting sqref="B163">
    <cfRule type="duplicateValues" dxfId="33" priority="33"/>
  </conditionalFormatting>
  <conditionalFormatting sqref="B74">
    <cfRule type="duplicateValues" dxfId="32" priority="32"/>
  </conditionalFormatting>
  <conditionalFormatting sqref="B90:B93">
    <cfRule type="duplicateValues" dxfId="31" priority="30"/>
  </conditionalFormatting>
  <conditionalFormatting sqref="B87:B88">
    <cfRule type="duplicateValues" dxfId="30" priority="29"/>
  </conditionalFormatting>
  <conditionalFormatting sqref="B85">
    <cfRule type="duplicateValues" dxfId="29" priority="28"/>
  </conditionalFormatting>
  <conditionalFormatting sqref="B84">
    <cfRule type="duplicateValues" dxfId="28" priority="31"/>
  </conditionalFormatting>
  <conditionalFormatting sqref="B98">
    <cfRule type="duplicateValues" dxfId="27" priority="26"/>
  </conditionalFormatting>
  <conditionalFormatting sqref="B108">
    <cfRule type="duplicateValues" dxfId="26" priority="25"/>
  </conditionalFormatting>
  <conditionalFormatting sqref="B116">
    <cfRule type="duplicateValues" dxfId="25" priority="24"/>
  </conditionalFormatting>
  <conditionalFormatting sqref="B121">
    <cfRule type="duplicateValues" dxfId="24" priority="23"/>
  </conditionalFormatting>
  <conditionalFormatting sqref="B105">
    <cfRule type="duplicateValues" dxfId="23" priority="22"/>
  </conditionalFormatting>
  <conditionalFormatting sqref="B112:B114">
    <cfRule type="duplicateValues" dxfId="22" priority="27"/>
  </conditionalFormatting>
  <conditionalFormatting sqref="B118">
    <cfRule type="duplicateValues" dxfId="21" priority="21"/>
  </conditionalFormatting>
  <conditionalFormatting sqref="B135:B139">
    <cfRule type="duplicateValues" dxfId="20" priority="19"/>
  </conditionalFormatting>
  <conditionalFormatting sqref="B132:B133">
    <cfRule type="duplicateValues" dxfId="19" priority="18"/>
  </conditionalFormatting>
  <conditionalFormatting sqref="B130">
    <cfRule type="duplicateValues" dxfId="18" priority="17"/>
  </conditionalFormatting>
  <conditionalFormatting sqref="B129">
    <cfRule type="duplicateValues" dxfId="17" priority="20"/>
  </conditionalFormatting>
  <conditionalFormatting sqref="Q53">
    <cfRule type="duplicateValues" dxfId="16" priority="16"/>
  </conditionalFormatting>
  <conditionalFormatting sqref="B101">
    <cfRule type="duplicateValues" dxfId="15" priority="15"/>
  </conditionalFormatting>
  <conditionalFormatting sqref="B102:B103">
    <cfRule type="duplicateValues" dxfId="14" priority="14"/>
  </conditionalFormatting>
  <conditionalFormatting sqref="B141">
    <cfRule type="duplicateValues" dxfId="13" priority="13"/>
  </conditionalFormatting>
  <conditionalFormatting sqref="B144">
    <cfRule type="duplicateValues" dxfId="12" priority="12"/>
  </conditionalFormatting>
  <conditionalFormatting sqref="B148">
    <cfRule type="duplicateValues" dxfId="11" priority="11"/>
  </conditionalFormatting>
  <conditionalFormatting sqref="B150">
    <cfRule type="duplicateValues" dxfId="10" priority="10"/>
  </conditionalFormatting>
  <conditionalFormatting sqref="B124">
    <cfRule type="duplicateValues" dxfId="9" priority="9"/>
  </conditionalFormatting>
  <conditionalFormatting sqref="B53">
    <cfRule type="duplicateValues" dxfId="8" priority="8"/>
  </conditionalFormatting>
  <conditionalFormatting sqref="C124">
    <cfRule type="duplicateValues" dxfId="7" priority="7"/>
  </conditionalFormatting>
  <conditionalFormatting sqref="C139">
    <cfRule type="duplicateValues" dxfId="6" priority="6"/>
  </conditionalFormatting>
  <conditionalFormatting sqref="B13">
    <cfRule type="duplicateValues" dxfId="5" priority="5"/>
  </conditionalFormatting>
  <conditionalFormatting sqref="B146">
    <cfRule type="duplicateValues" dxfId="4" priority="4"/>
  </conditionalFormatting>
  <conditionalFormatting sqref="B95">
    <cfRule type="duplicateValues" dxfId="3" priority="57"/>
  </conditionalFormatting>
  <conditionalFormatting sqref="B57">
    <cfRule type="duplicateValues" dxfId="2" priority="3"/>
  </conditionalFormatting>
  <conditionalFormatting sqref="D124">
    <cfRule type="duplicateValues" dxfId="1" priority="2"/>
  </conditionalFormatting>
  <conditionalFormatting sqref="D139">
    <cfRule type="duplicateValues" dxfId="0" priority="1"/>
  </conditionalFormatting>
  <pageMargins left="0.31496062992125984" right="0.11811023622047245" top="0.35433070866141736" bottom="0.35433070866141736" header="0.31496062992125984" footer="0.11811023622047245"/>
  <pageSetup paperSize="9" scale="61" fitToHeight="0" orientation="landscape" horizontalDpi="4294967293" verticalDpi="0" r:id="rId1"/>
  <headerFooter>
    <oddFooter>&amp;C-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ДЦ</vt:lpstr>
      <vt:lpstr>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cp:lastPrinted>2023-04-12T08:34:44Z</cp:lastPrinted>
  <dcterms:created xsi:type="dcterms:W3CDTF">2023-04-12T07:20:55Z</dcterms:created>
  <dcterms:modified xsi:type="dcterms:W3CDTF">2023-04-12T13:35:17Z</dcterms:modified>
</cp:coreProperties>
</file>