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690"/>
  </bookViews>
  <sheets>
    <sheet name="Штукатурка Baumit 25мм" sheetId="1" r:id="rId1"/>
  </sheets>
  <definedNames>
    <definedName name="_FilterDatabase" localSheetId="0" hidden="1">'Штукатурка Baumit 25мм'!$A$5:$K$7</definedName>
    <definedName name="_xlnm._FilterDatabase" localSheetId="0" hidden="1">'Штукатурка Baumit 25мм'!$A$9:$XEL$70</definedName>
    <definedName name="Print_Area" localSheetId="0">'Штукатурка Baumit 25мм'!$A$1:$K$6</definedName>
    <definedName name="Print_Titles" localSheetId="0">'Штукатурка Baumit 25мм'!$5:$5</definedName>
    <definedName name="_xlnm.Print_Area" localSheetId="0">'Штукатурка Baumit 25мм'!$A$1:$K$77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/>
  <c r="J60"/>
  <c r="J59"/>
  <c r="J48"/>
  <c r="J47"/>
  <c r="J46"/>
  <c r="J32"/>
  <c r="J31"/>
  <c r="J30"/>
  <c r="J16"/>
  <c r="J15"/>
  <c r="J14"/>
  <c r="D62"/>
  <c r="I62" s="1"/>
  <c r="D56"/>
  <c r="D49"/>
  <c r="D50" s="1"/>
  <c r="D42"/>
  <c r="F42" s="1"/>
  <c r="D33"/>
  <c r="D24"/>
  <c r="D28" s="1"/>
  <c r="D17"/>
  <c r="I17" s="1"/>
  <c r="D10"/>
  <c r="D11" s="1"/>
  <c r="I15" s="1"/>
  <c r="K71"/>
  <c r="F71"/>
  <c r="A71"/>
  <c r="A70"/>
  <c r="A69"/>
  <c r="J68"/>
  <c r="F68"/>
  <c r="A68"/>
  <c r="J67"/>
  <c r="J66"/>
  <c r="J65"/>
  <c r="J64"/>
  <c r="I64"/>
  <c r="J63"/>
  <c r="J62"/>
  <c r="J58"/>
  <c r="F58"/>
  <c r="A58"/>
  <c r="J57"/>
  <c r="J56"/>
  <c r="D57"/>
  <c r="I60" s="1"/>
  <c r="K60" s="1"/>
  <c r="J55"/>
  <c r="F55"/>
  <c r="A55"/>
  <c r="J54"/>
  <c r="J53"/>
  <c r="J52"/>
  <c r="J51"/>
  <c r="I51"/>
  <c r="J50"/>
  <c r="J49"/>
  <c r="J45"/>
  <c r="K45" s="1"/>
  <c r="J44"/>
  <c r="F44"/>
  <c r="A44"/>
  <c r="J43"/>
  <c r="J42"/>
  <c r="K41"/>
  <c r="F41"/>
  <c r="K40"/>
  <c r="F40"/>
  <c r="A40"/>
  <c r="M39"/>
  <c r="J39"/>
  <c r="F39"/>
  <c r="A39"/>
  <c r="J38"/>
  <c r="J37"/>
  <c r="J36"/>
  <c r="J35"/>
  <c r="I35"/>
  <c r="J34"/>
  <c r="J33"/>
  <c r="J29"/>
  <c r="F29"/>
  <c r="A29"/>
  <c r="J28"/>
  <c r="J27"/>
  <c r="J26"/>
  <c r="J25"/>
  <c r="J24"/>
  <c r="J23"/>
  <c r="F23"/>
  <c r="A23"/>
  <c r="J22"/>
  <c r="J21"/>
  <c r="J20"/>
  <c r="J19"/>
  <c r="I19"/>
  <c r="J18"/>
  <c r="J17"/>
  <c r="J13"/>
  <c r="K13" s="1"/>
  <c r="J12"/>
  <c r="F12"/>
  <c r="A12"/>
  <c r="J11"/>
  <c r="E57"/>
  <c r="J10"/>
  <c r="K9"/>
  <c r="F9"/>
  <c r="K8"/>
  <c r="F8"/>
  <c r="A8"/>
  <c r="A7"/>
  <c r="K4"/>
  <c r="K19" l="1"/>
  <c r="I14"/>
  <c r="I16" s="1"/>
  <c r="K16" s="1"/>
  <c r="I59"/>
  <c r="I61" s="1"/>
  <c r="K61" s="1"/>
  <c r="I31"/>
  <c r="K31" s="1"/>
  <c r="I30"/>
  <c r="I32" s="1"/>
  <c r="K32" s="1"/>
  <c r="K64"/>
  <c r="K14"/>
  <c r="K15"/>
  <c r="A10"/>
  <c r="K17"/>
  <c r="I24"/>
  <c r="K24" s="1"/>
  <c r="K62"/>
  <c r="D25"/>
  <c r="F25" s="1"/>
  <c r="K35"/>
  <c r="I50"/>
  <c r="K50" s="1"/>
  <c r="I55"/>
  <c r="K55" s="1"/>
  <c r="I42"/>
  <c r="K42" s="1"/>
  <c r="F49"/>
  <c r="I49"/>
  <c r="K49" s="1"/>
  <c r="D63"/>
  <c r="I65" s="1"/>
  <c r="D43"/>
  <c r="F24"/>
  <c r="K51"/>
  <c r="I28"/>
  <c r="K28" s="1"/>
  <c r="I29"/>
  <c r="K29" s="1"/>
  <c r="I12"/>
  <c r="K12" s="1"/>
  <c r="I11"/>
  <c r="K11" s="1"/>
  <c r="F11"/>
  <c r="I58"/>
  <c r="K58" s="1"/>
  <c r="I57"/>
  <c r="K57" s="1"/>
  <c r="F57"/>
  <c r="F33"/>
  <c r="E43"/>
  <c r="F50" s="1"/>
  <c r="A11"/>
  <c r="D18"/>
  <c r="I33"/>
  <c r="K33" s="1"/>
  <c r="F62"/>
  <c r="F10"/>
  <c r="F17"/>
  <c r="E34"/>
  <c r="I52"/>
  <c r="F56"/>
  <c r="I10"/>
  <c r="K10" s="1"/>
  <c r="D34"/>
  <c r="I56"/>
  <c r="K56" s="1"/>
  <c r="K59" l="1"/>
  <c r="I25"/>
  <c r="I26" s="1"/>
  <c r="K26" s="1"/>
  <c r="K30"/>
  <c r="I44"/>
  <c r="K44" s="1"/>
  <c r="I46"/>
  <c r="I47"/>
  <c r="K47" s="1"/>
  <c r="A50"/>
  <c r="I63"/>
  <c r="K63" s="1"/>
  <c r="F63"/>
  <c r="I68"/>
  <c r="K68" s="1"/>
  <c r="F43"/>
  <c r="I43"/>
  <c r="K43" s="1"/>
  <c r="A42"/>
  <c r="A56"/>
  <c r="A43"/>
  <c r="A33"/>
  <c r="I27"/>
  <c r="K27" s="1"/>
  <c r="A25"/>
  <c r="A24"/>
  <c r="A28"/>
  <c r="I67"/>
  <c r="K67" s="1"/>
  <c r="I66"/>
  <c r="K66" s="1"/>
  <c r="F28"/>
  <c r="A63"/>
  <c r="I36"/>
  <c r="A34"/>
  <c r="F34"/>
  <c r="I39"/>
  <c r="K39" s="1"/>
  <c r="I34"/>
  <c r="K34" s="1"/>
  <c r="I23"/>
  <c r="K23" s="1"/>
  <c r="I18"/>
  <c r="K18" s="1"/>
  <c r="F18"/>
  <c r="I20"/>
  <c r="A18"/>
  <c r="K52"/>
  <c r="I53"/>
  <c r="K53" s="1"/>
  <c r="I54"/>
  <c r="K54" s="1"/>
  <c r="A17"/>
  <c r="A62"/>
  <c r="A57"/>
  <c r="K65"/>
  <c r="A49"/>
  <c r="K25"/>
  <c r="I48" l="1"/>
  <c r="K48" s="1"/>
  <c r="K46"/>
  <c r="F73"/>
  <c r="I21"/>
  <c r="K21" s="1"/>
  <c r="I22"/>
  <c r="K22" s="1"/>
  <c r="K20"/>
  <c r="I38"/>
  <c r="K38" s="1"/>
  <c r="I37"/>
  <c r="K37" s="1"/>
  <c r="K36"/>
  <c r="K73" l="1"/>
  <c r="K74" s="1"/>
  <c r="K7"/>
</calcChain>
</file>

<file path=xl/sharedStrings.xml><?xml version="1.0" encoding="utf-8"?>
<sst xmlns="http://schemas.openxmlformats.org/spreadsheetml/2006/main" count="166" uniqueCount="42">
  <si>
    <t>Штукатурні роботи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</si>
  <si>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</si>
  <si>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</si>
  <si>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</si>
  <si>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</si>
  <si>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</si>
  <si>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</si>
  <si>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 xml:space="preserve">Найменування матеріалів                                             </t>
  </si>
  <si>
    <t>1-й поверх</t>
  </si>
  <si>
    <t>м.п.</t>
  </si>
  <si>
    <t>Інтер'єрна сануюча вапняна штукатурна суміш Baumit KlimaWhite, 25 кг</t>
  </si>
  <si>
    <t>кг</t>
  </si>
  <si>
    <t xml:space="preserve">Грунтування поверхні стін </t>
  </si>
  <si>
    <r>
      <rPr>
        <b/>
        <sz val="11"/>
        <color theme="1"/>
        <rFont val="Times New Roman"/>
        <family val="1"/>
        <charset val="204"/>
      </rPr>
      <t>м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</si>
  <si>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Грунтувальна суміш Baumit MultiPrimer, 10 кг</t>
  </si>
  <si>
    <t>л</t>
  </si>
  <si>
    <t>Набивання штукатурної сітки</t>
  </si>
  <si>
    <t>м2</t>
  </si>
  <si>
    <t>Склосітка Baumit StarTex</t>
  </si>
  <si>
    <r>
      <t>м</t>
    </r>
    <r>
      <rPr>
        <vertAlign val="superscript"/>
        <sz val="11"/>
        <color rgb="FF080000"/>
        <rFont val="Times New Roman"/>
        <family val="1"/>
        <charset val="204"/>
      </rPr>
      <t>2</t>
    </r>
  </si>
  <si>
    <t>Дюбель 6х40 100шт.</t>
  </si>
  <si>
    <t>упак.</t>
  </si>
  <si>
    <t>Шайба збільшена М6x16 мм 15 шт Expert Fix М6 (уп-15 шт.)</t>
  </si>
  <si>
    <t>шт.</t>
  </si>
  <si>
    <t>Маяк штукатурний 10x3000 мм</t>
  </si>
  <si>
    <t>шт</t>
  </si>
  <si>
    <t>враховано нанесення в 1 шар 25 мм (max)</t>
  </si>
  <si>
    <t>Терка пластмасова з помаранчевою губкою, 130х270 мм Favorit</t>
  </si>
  <si>
    <t>Грунтування відкосів</t>
  </si>
  <si>
    <t xml:space="preserve">Оштукатурювання відкосів гіпсовою штукатуркою механізованим способом </t>
  </si>
  <si>
    <t>Кутник перфорований алюмінієвий 23х23 мм 3 м</t>
  </si>
  <si>
    <t>Профіль ПВХ привіконний 2,4 м Еко б/сітки (JS Technologies)</t>
  </si>
  <si>
    <t>Грунтування стін в с/в</t>
  </si>
  <si>
    <t>Штукатурна цементно-вапняна суміш Baumit MPI 25 для внутрішніх робіт, 25 кг</t>
  </si>
  <si>
    <t>Грунтування відкосів в с/в</t>
  </si>
  <si>
    <t xml:space="preserve">Оштукатурювання відкосів с/в механізованим способом </t>
  </si>
  <si>
    <t>2-й поверх</t>
  </si>
  <si>
    <t xml:space="preserve">Разом по роботах </t>
  </si>
  <si>
    <t>Разом по матеріалах</t>
  </si>
  <si>
    <t>ВСЬОГО за договірною ціною</t>
  </si>
  <si>
    <t>Оштукатурювання стін механізованим способом гіпсовою штукатуркою по маякам з набиванням сітки</t>
  </si>
  <si>
    <t>Оштукатурювання стін с/в механізованим способом по маякам  з набиванням сітки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</si>
</sst>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6"/>
      <color rgb="FF080000"/>
      <name val="Arial"/>
      <family val="2"/>
      <charset val="204"/>
    </font>
    <font>
      <sz val="12"/>
      <color rgb="FF08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b/>
      <sz val="15"/>
      <color rgb="FFD1282E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rgb="FF0070C0"/>
      <name val="Times New Roman"/>
      <family val="1"/>
      <charset val="204"/>
    </font>
    <font>
      <b/>
      <sz val="10"/>
      <color rgb="FFD1282E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rgb="FF08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rgb="FFF2F2F2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5F5F5F"/>
      </bottom>
      <diagonal/>
    </border>
    <border>
      <left/>
      <right/>
      <top style="thin">
        <color indexed="64"/>
      </top>
      <bottom style="thin">
        <color rgb="FF5F5F5F"/>
      </bottom>
      <diagonal/>
    </border>
    <border>
      <left/>
      <right style="thin">
        <color rgb="FF5F5F5F"/>
      </right>
      <top style="thin">
        <color indexed="64"/>
      </top>
      <bottom style="thin">
        <color rgb="FF5F5F5F"/>
      </bottom>
      <diagonal/>
    </border>
    <border>
      <left/>
      <right style="thin">
        <color auto="1"/>
      </right>
      <top style="thin">
        <color indexed="64"/>
      </top>
      <bottom style="thin">
        <color rgb="FF5F5F5F"/>
      </bottom>
      <diagonal/>
    </border>
    <border>
      <left style="thin">
        <color indexed="64"/>
      </left>
      <right/>
      <top style="thin">
        <color rgb="FF5F5F5F"/>
      </top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/>
      <top/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indexed="64"/>
      </right>
      <top style="thin">
        <color rgb="FF5F5F5F"/>
      </top>
      <bottom style="thin">
        <color rgb="FF5F5F5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95">
    <xf numFmtId="0" fontId="0" fillId="0" borderId="0" xfId="0"/>
    <xf numFmtId="0" fontId="3" fillId="0" borderId="0" xfId="0" applyFont="1" applyBorder="1" applyAlignment="1"/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NumberFormat="1" applyFont="1" applyAlignment="1"/>
    <xf numFmtId="0" fontId="10" fillId="0" borderId="0" xfId="0" applyFont="1" applyBorder="1" applyAlignment="1">
      <alignment horizontal="left"/>
    </xf>
    <xf numFmtId="14" fontId="4" fillId="0" borderId="0" xfId="0" applyNumberFormat="1" applyFont="1" applyBorder="1" applyAlignment="1"/>
    <xf numFmtId="0" fontId="4" fillId="0" borderId="0" xfId="0" applyFont="1" applyBorder="1" applyAlignment="1"/>
    <xf numFmtId="0" fontId="11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/>
    <xf numFmtId="0" fontId="4" fillId="0" borderId="0" xfId="0" applyFont="1" applyBorder="1" applyAlignment="1" applyProtection="1"/>
    <xf numFmtId="0" fontId="11" fillId="0" borderId="0" xfId="0" applyFont="1" applyBorder="1" applyAlignment="1" applyProtection="1">
      <alignment wrapText="1"/>
    </xf>
    <xf numFmtId="14" fontId="6" fillId="0" borderId="0" xfId="0" applyNumberFormat="1" applyFont="1" applyBorder="1" applyAlignment="1">
      <alignment horizontal="left" indent="2"/>
    </xf>
    <xf numFmtId="0" fontId="7" fillId="0" borderId="0" xfId="0" applyFont="1" applyBorder="1" applyAlignment="1">
      <alignment horizontal="left" vertical="center"/>
    </xf>
    <xf numFmtId="0" fontId="12" fillId="4" borderId="1" xfId="1" applyFont="1" applyFill="1" applyBorder="1" applyAlignment="1" applyProtection="1">
      <alignment horizontal="center" vertical="center" wrapText="1"/>
      <protection hidden="1"/>
    </xf>
    <xf numFmtId="0" fontId="12" fillId="4" borderId="2" xfId="1" applyFont="1" applyFill="1" applyBorder="1" applyAlignment="1" applyProtection="1">
      <alignment horizontal="center" vertical="center" wrapText="1"/>
      <protection hidden="1"/>
    </xf>
    <xf numFmtId="0" fontId="10" fillId="4" borderId="2" xfId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4" fontId="4" fillId="0" borderId="3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4" xfId="0" applyNumberFormat="1" applyFont="1" applyFill="1" applyBorder="1" applyAlignment="1"/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14" fillId="0" borderId="0" xfId="1" applyFont="1" applyFill="1" applyBorder="1" applyAlignment="1" applyProtection="1"/>
    <xf numFmtId="4" fontId="15" fillId="0" borderId="3" xfId="1" applyNumberFormat="1" applyFont="1" applyFill="1" applyBorder="1" applyAlignment="1" applyProtection="1">
      <alignment horizontal="left" vertical="center"/>
    </xf>
    <xf numFmtId="3" fontId="16" fillId="0" borderId="0" xfId="1" applyNumberFormat="1" applyFont="1" applyFill="1" applyBorder="1" applyAlignment="1" applyProtection="1">
      <alignment horizontal="left"/>
    </xf>
    <xf numFmtId="4" fontId="14" fillId="0" borderId="0" xfId="1" applyNumberFormat="1" applyFont="1" applyFill="1" applyBorder="1" applyAlignment="1" applyProtection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4" fontId="17" fillId="0" borderId="0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18" fillId="0" borderId="4" xfId="1" applyNumberFormat="1" applyFont="1" applyFill="1" applyBorder="1" applyAlignment="1" applyProtection="1"/>
    <xf numFmtId="0" fontId="3" fillId="0" borderId="0" xfId="0" applyFont="1" applyFill="1" applyAlignment="1"/>
    <xf numFmtId="0" fontId="19" fillId="0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4" fontId="20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2" xfId="0" applyNumberFormat="1" applyFont="1" applyBorder="1" applyAlignment="1">
      <alignment horizontal="left" vertical="center" wrapText="1"/>
    </xf>
    <xf numFmtId="4" fontId="21" fillId="0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0" fontId="25" fillId="6" borderId="0" xfId="0" applyFont="1" applyFill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4" fontId="26" fillId="5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vertical="center"/>
    </xf>
    <xf numFmtId="4" fontId="22" fillId="5" borderId="2" xfId="0" applyNumberFormat="1" applyFont="1" applyFill="1" applyBorder="1" applyAlignment="1">
      <alignment vertical="center"/>
    </xf>
    <xf numFmtId="4" fontId="6" fillId="5" borderId="2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3" fillId="7" borderId="2" xfId="0" applyNumberFormat="1" applyFont="1" applyFill="1" applyBorder="1" applyAlignment="1">
      <alignment horizontal="center" vertical="center" wrapText="1"/>
    </xf>
    <xf numFmtId="4" fontId="27" fillId="0" borderId="3" xfId="1" applyNumberFormat="1" applyFont="1" applyFill="1" applyBorder="1" applyAlignment="1" applyProtection="1">
      <alignment horizontal="left" wrapText="1" indent="3"/>
    </xf>
    <xf numFmtId="4" fontId="27" fillId="0" borderId="0" xfId="1" applyNumberFormat="1" applyFont="1" applyFill="1" applyBorder="1" applyAlignment="1" applyProtection="1"/>
    <xf numFmtId="4" fontId="28" fillId="0" borderId="0" xfId="1" applyNumberFormat="1" applyFont="1" applyFill="1" applyBorder="1" applyAlignment="1" applyProtection="1"/>
    <xf numFmtId="4" fontId="27" fillId="0" borderId="0" xfId="1" applyNumberFormat="1" applyFont="1" applyFill="1" applyBorder="1" applyAlignment="1" applyProtection="1">
      <alignment horizontal="left" indent="3"/>
    </xf>
    <xf numFmtId="4" fontId="12" fillId="0" borderId="0" xfId="1" applyNumberFormat="1" applyFont="1" applyFill="1" applyBorder="1" applyAlignment="1" applyProtection="1"/>
    <xf numFmtId="4" fontId="27" fillId="0" borderId="4" xfId="1" applyNumberFormat="1" applyFont="1" applyFill="1" applyBorder="1" applyAlignment="1" applyProtection="1"/>
    <xf numFmtId="0" fontId="29" fillId="8" borderId="6" xfId="1" applyFont="1" applyFill="1" applyBorder="1" applyAlignment="1" applyProtection="1"/>
    <xf numFmtId="4" fontId="29" fillId="8" borderId="6" xfId="1" applyNumberFormat="1" applyFont="1" applyFill="1" applyBorder="1" applyAlignment="1" applyProtection="1"/>
    <xf numFmtId="4" fontId="30" fillId="8" borderId="7" xfId="1" applyNumberFormat="1" applyFont="1" applyFill="1" applyBorder="1" applyAlignment="1" applyProtection="1"/>
    <xf numFmtId="4" fontId="29" fillId="8" borderId="8" xfId="1" applyNumberFormat="1" applyFont="1" applyFill="1" applyBorder="1" applyAlignment="1" applyProtection="1"/>
    <xf numFmtId="4" fontId="12" fillId="8" borderId="6" xfId="1" applyNumberFormat="1" applyFont="1" applyFill="1" applyBorder="1" applyAlignment="1" applyProtection="1"/>
    <xf numFmtId="0" fontId="31" fillId="4" borderId="9" xfId="2" applyFont="1" applyFill="1" applyBorder="1"/>
    <xf numFmtId="0" fontId="31" fillId="4" borderId="10" xfId="2" applyFont="1" applyFill="1" applyBorder="1"/>
    <xf numFmtId="4" fontId="31" fillId="4" borderId="10" xfId="2" applyNumberFormat="1" applyFont="1" applyFill="1" applyBorder="1"/>
    <xf numFmtId="4" fontId="31" fillId="4" borderId="11" xfId="2" applyNumberFormat="1" applyFont="1" applyFill="1" applyBorder="1"/>
    <xf numFmtId="4" fontId="32" fillId="4" borderId="12" xfId="2" applyNumberFormat="1" applyFont="1" applyFill="1" applyBorder="1"/>
    <xf numFmtId="4" fontId="31" fillId="4" borderId="13" xfId="2" applyNumberFormat="1" applyFont="1" applyFill="1" applyBorder="1"/>
    <xf numFmtId="0" fontId="33" fillId="7" borderId="0" xfId="0" applyFont="1" applyFill="1" applyAlignme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left"/>
    </xf>
    <xf numFmtId="4" fontId="6" fillId="0" borderId="2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top" wrapText="1" readingOrder="1"/>
    </xf>
    <xf numFmtId="0" fontId="9" fillId="3" borderId="0" xfId="0" applyFont="1" applyFill="1" applyBorder="1" applyAlignment="1">
      <alignment horizontal="center" wrapText="1" readingOrder="1"/>
    </xf>
    <xf numFmtId="0" fontId="29" fillId="8" borderId="5" xfId="1" applyFont="1" applyFill="1" applyBorder="1" applyAlignment="1" applyProtection="1">
      <alignment horizontal="left"/>
    </xf>
    <xf numFmtId="0" fontId="29" fillId="8" borderId="6" xfId="1" applyFont="1" applyFill="1" applyBorder="1" applyAlignment="1" applyProtection="1">
      <alignment horizontal="left"/>
    </xf>
  </cellXfs>
  <cellStyles count="3">
    <cellStyle name="20% - Акцент1" xfId="2" builtinId="30"/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2:ALP76"/>
  <sheetViews>
    <sheetView showGridLines="0" tabSelected="1" topLeftCell="A46" workbookViewId="0">
      <selection activeCell="G75" sqref="G75"/>
    </sheetView>
  </sheetViews>
  <sheetFormatPr defaultRowHeight="12.75" outlineLevelCol="1"/>
  <cols>
    <col min="1" max="1" width="4.7109375" style="5" customWidth="1"/>
    <col min="2" max="2" width="58.140625" style="2" customWidth="1"/>
    <col min="3" max="3" width="10.5703125" style="2" customWidth="1"/>
    <col min="4" max="4" width="13.42578125" style="2" customWidth="1"/>
    <col min="5" max="5" width="12" style="2" customWidth="1"/>
    <col min="6" max="6" width="18.28515625" style="2" customWidth="1" outlineLevel="1"/>
    <col min="7" max="7" width="57.7109375" style="2" customWidth="1" outlineLevel="1"/>
    <col min="8" max="8" width="8" style="2" customWidth="1" outlineLevel="1"/>
    <col min="9" max="10" width="11.28515625" style="2" customWidth="1" outlineLevel="1"/>
    <col min="11" max="11" width="18.28515625" style="2" customWidth="1" outlineLevel="1"/>
    <col min="12" max="12" width="2.42578125" style="2" customWidth="1"/>
    <col min="13" max="13" width="86.28515625" style="3" customWidth="1"/>
    <col min="14" max="232" width="8.85546875" style="2"/>
    <col min="233" max="233" width="19.7109375" style="2" customWidth="1"/>
    <col min="234" max="234" width="30" style="2" customWidth="1"/>
    <col min="235" max="235" width="8.85546875" style="2"/>
    <col min="236" max="236" width="9.140625" style="2" customWidth="1"/>
    <col min="237" max="237" width="19.42578125" style="2" customWidth="1"/>
    <col min="238" max="238" width="10.85546875" style="2" customWidth="1"/>
    <col min="239" max="239" width="13.85546875" style="2" customWidth="1"/>
    <col min="240" max="240" width="11.140625" style="2" customWidth="1"/>
    <col min="241" max="241" width="16.7109375" style="2" bestFit="1" customWidth="1"/>
    <col min="242" max="242" width="16.42578125" style="2" customWidth="1"/>
    <col min="243" max="244" width="10.28515625" style="2" customWidth="1"/>
    <col min="245" max="245" width="13.140625" style="2" customWidth="1"/>
    <col min="246" max="488" width="8.85546875" style="2"/>
    <col min="489" max="489" width="19.7109375" style="2" customWidth="1"/>
    <col min="490" max="490" width="30" style="2" customWidth="1"/>
    <col min="491" max="491" width="8.85546875" style="2"/>
    <col min="492" max="492" width="9.140625" style="2" customWidth="1"/>
    <col min="493" max="493" width="19.42578125" style="2" customWidth="1"/>
    <col min="494" max="494" width="10.85546875" style="2" customWidth="1"/>
    <col min="495" max="495" width="13.85546875" style="2" customWidth="1"/>
    <col min="496" max="496" width="11.140625" style="2" customWidth="1"/>
    <col min="497" max="497" width="16.7109375" style="2" bestFit="1" customWidth="1"/>
    <col min="498" max="498" width="16.42578125" style="2" customWidth="1"/>
    <col min="499" max="500" width="10.28515625" style="2" customWidth="1"/>
    <col min="501" max="501" width="13.140625" style="2" customWidth="1"/>
    <col min="502" max="744" width="8.85546875" style="2"/>
    <col min="745" max="745" width="19.7109375" style="2" customWidth="1"/>
    <col min="746" max="746" width="30" style="2" customWidth="1"/>
    <col min="747" max="747" width="8.85546875" style="2"/>
    <col min="748" max="748" width="9.140625" style="2" customWidth="1"/>
    <col min="749" max="749" width="19.42578125" style="2" customWidth="1"/>
    <col min="750" max="750" width="10.85546875" style="2" customWidth="1"/>
    <col min="751" max="751" width="13.85546875" style="2" customWidth="1"/>
    <col min="752" max="752" width="11.140625" style="2" customWidth="1"/>
    <col min="753" max="753" width="16.7109375" style="2" bestFit="1" customWidth="1"/>
    <col min="754" max="754" width="16.42578125" style="2" customWidth="1"/>
    <col min="755" max="756" width="10.28515625" style="2" customWidth="1"/>
    <col min="757" max="757" width="13.140625" style="2" customWidth="1"/>
    <col min="758" max="1000" width="8.85546875" style="2"/>
    <col min="1001" max="1001" width="19.7109375" style="2" customWidth="1"/>
    <col min="1002" max="1002" width="30" style="2" customWidth="1"/>
    <col min="1003" max="1003" width="8.85546875" style="2"/>
    <col min="1004" max="1004" width="9.140625" style="2" customWidth="1"/>
    <col min="1005" max="1005" width="19.42578125" style="2" customWidth="1"/>
    <col min="1006" max="1006" width="10.85546875" style="2" customWidth="1"/>
    <col min="1007" max="1007" width="13.85546875" style="2" customWidth="1"/>
    <col min="1008" max="1008" width="11.140625" style="2" customWidth="1"/>
    <col min="1009" max="1009" width="16.7109375" style="2" bestFit="1" customWidth="1"/>
    <col min="1010" max="1010" width="16.42578125" style="2" customWidth="1"/>
    <col min="1011" max="1012" width="10.28515625" style="2" customWidth="1"/>
    <col min="1013" max="1013" width="13.140625" style="2" customWidth="1"/>
    <col min="1014" max="1256" width="8.85546875" style="2"/>
    <col min="1257" max="1257" width="19.7109375" style="2" customWidth="1"/>
    <col min="1258" max="1258" width="30" style="2" customWidth="1"/>
    <col min="1259" max="1259" width="8.85546875" style="2"/>
    <col min="1260" max="1260" width="9.140625" style="2" customWidth="1"/>
    <col min="1261" max="1261" width="19.42578125" style="2" customWidth="1"/>
    <col min="1262" max="1262" width="10.85546875" style="2" customWidth="1"/>
    <col min="1263" max="1263" width="13.85546875" style="2" customWidth="1"/>
    <col min="1264" max="1264" width="11.140625" style="2" customWidth="1"/>
    <col min="1265" max="1265" width="16.7109375" style="2" bestFit="1" customWidth="1"/>
    <col min="1266" max="1266" width="16.42578125" style="2" customWidth="1"/>
    <col min="1267" max="1268" width="10.28515625" style="2" customWidth="1"/>
    <col min="1269" max="1269" width="13.140625" style="2" customWidth="1"/>
    <col min="1270" max="1512" width="8.85546875" style="2"/>
    <col min="1513" max="1513" width="19.7109375" style="2" customWidth="1"/>
    <col min="1514" max="1514" width="30" style="2" customWidth="1"/>
    <col min="1515" max="1515" width="8.85546875" style="2"/>
    <col min="1516" max="1516" width="9.140625" style="2" customWidth="1"/>
    <col min="1517" max="1517" width="19.42578125" style="2" customWidth="1"/>
    <col min="1518" max="1518" width="10.85546875" style="2" customWidth="1"/>
    <col min="1519" max="1519" width="13.85546875" style="2" customWidth="1"/>
    <col min="1520" max="1520" width="11.140625" style="2" customWidth="1"/>
    <col min="1521" max="1521" width="16.7109375" style="2" bestFit="1" customWidth="1"/>
    <col min="1522" max="1522" width="16.42578125" style="2" customWidth="1"/>
    <col min="1523" max="1524" width="10.28515625" style="2" customWidth="1"/>
    <col min="1525" max="1525" width="13.140625" style="2" customWidth="1"/>
    <col min="1526" max="1768" width="8.85546875" style="2"/>
    <col min="1769" max="1769" width="19.7109375" style="2" customWidth="1"/>
    <col min="1770" max="1770" width="30" style="2" customWidth="1"/>
    <col min="1771" max="1771" width="8.85546875" style="2"/>
    <col min="1772" max="1772" width="9.140625" style="2" customWidth="1"/>
    <col min="1773" max="1773" width="19.42578125" style="2" customWidth="1"/>
    <col min="1774" max="1774" width="10.85546875" style="2" customWidth="1"/>
    <col min="1775" max="1775" width="13.85546875" style="2" customWidth="1"/>
    <col min="1776" max="1776" width="11.140625" style="2" customWidth="1"/>
    <col min="1777" max="1777" width="16.7109375" style="2" bestFit="1" customWidth="1"/>
    <col min="1778" max="1778" width="16.42578125" style="2" customWidth="1"/>
    <col min="1779" max="1780" width="10.28515625" style="2" customWidth="1"/>
    <col min="1781" max="1781" width="13.140625" style="2" customWidth="1"/>
    <col min="1782" max="2024" width="8.85546875" style="2"/>
    <col min="2025" max="2025" width="19.7109375" style="2" customWidth="1"/>
    <col min="2026" max="2026" width="30" style="2" customWidth="1"/>
    <col min="2027" max="2027" width="8.85546875" style="2"/>
    <col min="2028" max="2028" width="9.140625" style="2" customWidth="1"/>
    <col min="2029" max="2029" width="19.42578125" style="2" customWidth="1"/>
    <col min="2030" max="2030" width="10.85546875" style="2" customWidth="1"/>
    <col min="2031" max="2031" width="13.85546875" style="2" customWidth="1"/>
    <col min="2032" max="2032" width="11.140625" style="2" customWidth="1"/>
    <col min="2033" max="2033" width="16.7109375" style="2" bestFit="1" customWidth="1"/>
    <col min="2034" max="2034" width="16.42578125" style="2" customWidth="1"/>
    <col min="2035" max="2036" width="10.28515625" style="2" customWidth="1"/>
    <col min="2037" max="2037" width="13.140625" style="2" customWidth="1"/>
    <col min="2038" max="2280" width="8.85546875" style="2"/>
    <col min="2281" max="2281" width="19.7109375" style="2" customWidth="1"/>
    <col min="2282" max="2282" width="30" style="2" customWidth="1"/>
    <col min="2283" max="2283" width="8.85546875" style="2"/>
    <col min="2284" max="2284" width="9.140625" style="2" customWidth="1"/>
    <col min="2285" max="2285" width="19.42578125" style="2" customWidth="1"/>
    <col min="2286" max="2286" width="10.85546875" style="2" customWidth="1"/>
    <col min="2287" max="2287" width="13.85546875" style="2" customWidth="1"/>
    <col min="2288" max="2288" width="11.140625" style="2" customWidth="1"/>
    <col min="2289" max="2289" width="16.7109375" style="2" bestFit="1" customWidth="1"/>
    <col min="2290" max="2290" width="16.42578125" style="2" customWidth="1"/>
    <col min="2291" max="2292" width="10.28515625" style="2" customWidth="1"/>
    <col min="2293" max="2293" width="13.140625" style="2" customWidth="1"/>
    <col min="2294" max="2536" width="8.85546875" style="2"/>
    <col min="2537" max="2537" width="19.7109375" style="2" customWidth="1"/>
    <col min="2538" max="2538" width="30" style="2" customWidth="1"/>
    <col min="2539" max="2539" width="8.85546875" style="2"/>
    <col min="2540" max="2540" width="9.140625" style="2" customWidth="1"/>
    <col min="2541" max="2541" width="19.42578125" style="2" customWidth="1"/>
    <col min="2542" max="2542" width="10.85546875" style="2" customWidth="1"/>
    <col min="2543" max="2543" width="13.85546875" style="2" customWidth="1"/>
    <col min="2544" max="2544" width="11.140625" style="2" customWidth="1"/>
    <col min="2545" max="2545" width="16.7109375" style="2" bestFit="1" customWidth="1"/>
    <col min="2546" max="2546" width="16.42578125" style="2" customWidth="1"/>
    <col min="2547" max="2548" width="10.28515625" style="2" customWidth="1"/>
    <col min="2549" max="2549" width="13.140625" style="2" customWidth="1"/>
    <col min="2550" max="2792" width="8.85546875" style="2"/>
    <col min="2793" max="2793" width="19.7109375" style="2" customWidth="1"/>
    <col min="2794" max="2794" width="30" style="2" customWidth="1"/>
    <col min="2795" max="2795" width="8.85546875" style="2"/>
    <col min="2796" max="2796" width="9.140625" style="2" customWidth="1"/>
    <col min="2797" max="2797" width="19.42578125" style="2" customWidth="1"/>
    <col min="2798" max="2798" width="10.85546875" style="2" customWidth="1"/>
    <col min="2799" max="2799" width="13.85546875" style="2" customWidth="1"/>
    <col min="2800" max="2800" width="11.140625" style="2" customWidth="1"/>
    <col min="2801" max="2801" width="16.7109375" style="2" bestFit="1" customWidth="1"/>
    <col min="2802" max="2802" width="16.42578125" style="2" customWidth="1"/>
    <col min="2803" max="2804" width="10.28515625" style="2" customWidth="1"/>
    <col min="2805" max="2805" width="13.140625" style="2" customWidth="1"/>
    <col min="2806" max="3048" width="8.85546875" style="2"/>
    <col min="3049" max="3049" width="19.7109375" style="2" customWidth="1"/>
    <col min="3050" max="3050" width="30" style="2" customWidth="1"/>
    <col min="3051" max="3051" width="8.85546875" style="2"/>
    <col min="3052" max="3052" width="9.140625" style="2" customWidth="1"/>
    <col min="3053" max="3053" width="19.42578125" style="2" customWidth="1"/>
    <col min="3054" max="3054" width="10.85546875" style="2" customWidth="1"/>
    <col min="3055" max="3055" width="13.85546875" style="2" customWidth="1"/>
    <col min="3056" max="3056" width="11.140625" style="2" customWidth="1"/>
    <col min="3057" max="3057" width="16.7109375" style="2" bestFit="1" customWidth="1"/>
    <col min="3058" max="3058" width="16.42578125" style="2" customWidth="1"/>
    <col min="3059" max="3060" width="10.28515625" style="2" customWidth="1"/>
    <col min="3061" max="3061" width="13.140625" style="2" customWidth="1"/>
    <col min="3062" max="3304" width="8.85546875" style="2"/>
    <col min="3305" max="3305" width="19.7109375" style="2" customWidth="1"/>
    <col min="3306" max="3306" width="30" style="2" customWidth="1"/>
    <col min="3307" max="3307" width="8.85546875" style="2"/>
    <col min="3308" max="3308" width="9.140625" style="2" customWidth="1"/>
    <col min="3309" max="3309" width="19.42578125" style="2" customWidth="1"/>
    <col min="3310" max="3310" width="10.85546875" style="2" customWidth="1"/>
    <col min="3311" max="3311" width="13.85546875" style="2" customWidth="1"/>
    <col min="3312" max="3312" width="11.140625" style="2" customWidth="1"/>
    <col min="3313" max="3313" width="16.7109375" style="2" bestFit="1" customWidth="1"/>
    <col min="3314" max="3314" width="16.42578125" style="2" customWidth="1"/>
    <col min="3315" max="3316" width="10.28515625" style="2" customWidth="1"/>
    <col min="3317" max="3317" width="13.140625" style="2" customWidth="1"/>
    <col min="3318" max="3560" width="8.85546875" style="2"/>
    <col min="3561" max="3561" width="19.7109375" style="2" customWidth="1"/>
    <col min="3562" max="3562" width="30" style="2" customWidth="1"/>
    <col min="3563" max="3563" width="8.85546875" style="2"/>
    <col min="3564" max="3564" width="9.140625" style="2" customWidth="1"/>
    <col min="3565" max="3565" width="19.42578125" style="2" customWidth="1"/>
    <col min="3566" max="3566" width="10.85546875" style="2" customWidth="1"/>
    <col min="3567" max="3567" width="13.85546875" style="2" customWidth="1"/>
    <col min="3568" max="3568" width="11.140625" style="2" customWidth="1"/>
    <col min="3569" max="3569" width="16.7109375" style="2" bestFit="1" customWidth="1"/>
    <col min="3570" max="3570" width="16.42578125" style="2" customWidth="1"/>
    <col min="3571" max="3572" width="10.28515625" style="2" customWidth="1"/>
    <col min="3573" max="3573" width="13.140625" style="2" customWidth="1"/>
    <col min="3574" max="3816" width="8.85546875" style="2"/>
    <col min="3817" max="3817" width="19.7109375" style="2" customWidth="1"/>
    <col min="3818" max="3818" width="30" style="2" customWidth="1"/>
    <col min="3819" max="3819" width="8.85546875" style="2"/>
    <col min="3820" max="3820" width="9.140625" style="2" customWidth="1"/>
    <col min="3821" max="3821" width="19.42578125" style="2" customWidth="1"/>
    <col min="3822" max="3822" width="10.85546875" style="2" customWidth="1"/>
    <col min="3823" max="3823" width="13.85546875" style="2" customWidth="1"/>
    <col min="3824" max="3824" width="11.140625" style="2" customWidth="1"/>
    <col min="3825" max="3825" width="16.7109375" style="2" bestFit="1" customWidth="1"/>
    <col min="3826" max="3826" width="16.42578125" style="2" customWidth="1"/>
    <col min="3827" max="3828" width="10.28515625" style="2" customWidth="1"/>
    <col min="3829" max="3829" width="13.140625" style="2" customWidth="1"/>
    <col min="3830" max="4072" width="8.85546875" style="2"/>
    <col min="4073" max="4073" width="19.7109375" style="2" customWidth="1"/>
    <col min="4074" max="4074" width="30" style="2" customWidth="1"/>
    <col min="4075" max="4075" width="8.85546875" style="2"/>
    <col min="4076" max="4076" width="9.140625" style="2" customWidth="1"/>
    <col min="4077" max="4077" width="19.42578125" style="2" customWidth="1"/>
    <col min="4078" max="4078" width="10.85546875" style="2" customWidth="1"/>
    <col min="4079" max="4079" width="13.85546875" style="2" customWidth="1"/>
    <col min="4080" max="4080" width="11.140625" style="2" customWidth="1"/>
    <col min="4081" max="4081" width="16.7109375" style="2" bestFit="1" customWidth="1"/>
    <col min="4082" max="4082" width="16.42578125" style="2" customWidth="1"/>
    <col min="4083" max="4084" width="10.28515625" style="2" customWidth="1"/>
    <col min="4085" max="4085" width="13.140625" style="2" customWidth="1"/>
    <col min="4086" max="4328" width="8.85546875" style="2"/>
    <col min="4329" max="4329" width="19.7109375" style="2" customWidth="1"/>
    <col min="4330" max="4330" width="30" style="2" customWidth="1"/>
    <col min="4331" max="4331" width="8.85546875" style="2"/>
    <col min="4332" max="4332" width="9.140625" style="2" customWidth="1"/>
    <col min="4333" max="4333" width="19.42578125" style="2" customWidth="1"/>
    <col min="4334" max="4334" width="10.85546875" style="2" customWidth="1"/>
    <col min="4335" max="4335" width="13.85546875" style="2" customWidth="1"/>
    <col min="4336" max="4336" width="11.140625" style="2" customWidth="1"/>
    <col min="4337" max="4337" width="16.7109375" style="2" bestFit="1" customWidth="1"/>
    <col min="4338" max="4338" width="16.42578125" style="2" customWidth="1"/>
    <col min="4339" max="4340" width="10.28515625" style="2" customWidth="1"/>
    <col min="4341" max="4341" width="13.140625" style="2" customWidth="1"/>
    <col min="4342" max="4584" width="8.85546875" style="2"/>
    <col min="4585" max="4585" width="19.7109375" style="2" customWidth="1"/>
    <col min="4586" max="4586" width="30" style="2" customWidth="1"/>
    <col min="4587" max="4587" width="8.85546875" style="2"/>
    <col min="4588" max="4588" width="9.140625" style="2" customWidth="1"/>
    <col min="4589" max="4589" width="19.42578125" style="2" customWidth="1"/>
    <col min="4590" max="4590" width="10.85546875" style="2" customWidth="1"/>
    <col min="4591" max="4591" width="13.85546875" style="2" customWidth="1"/>
    <col min="4592" max="4592" width="11.140625" style="2" customWidth="1"/>
    <col min="4593" max="4593" width="16.7109375" style="2" bestFit="1" customWidth="1"/>
    <col min="4594" max="4594" width="16.42578125" style="2" customWidth="1"/>
    <col min="4595" max="4596" width="10.28515625" style="2" customWidth="1"/>
    <col min="4597" max="4597" width="13.140625" style="2" customWidth="1"/>
    <col min="4598" max="4840" width="8.85546875" style="2"/>
    <col min="4841" max="4841" width="19.7109375" style="2" customWidth="1"/>
    <col min="4842" max="4842" width="30" style="2" customWidth="1"/>
    <col min="4843" max="4843" width="8.85546875" style="2"/>
    <col min="4844" max="4844" width="9.140625" style="2" customWidth="1"/>
    <col min="4845" max="4845" width="19.42578125" style="2" customWidth="1"/>
    <col min="4846" max="4846" width="10.85546875" style="2" customWidth="1"/>
    <col min="4847" max="4847" width="13.85546875" style="2" customWidth="1"/>
    <col min="4848" max="4848" width="11.140625" style="2" customWidth="1"/>
    <col min="4849" max="4849" width="16.7109375" style="2" bestFit="1" customWidth="1"/>
    <col min="4850" max="4850" width="16.42578125" style="2" customWidth="1"/>
    <col min="4851" max="4852" width="10.28515625" style="2" customWidth="1"/>
    <col min="4853" max="4853" width="13.140625" style="2" customWidth="1"/>
    <col min="4854" max="5096" width="8.85546875" style="2"/>
    <col min="5097" max="5097" width="19.7109375" style="2" customWidth="1"/>
    <col min="5098" max="5098" width="30" style="2" customWidth="1"/>
    <col min="5099" max="5099" width="8.85546875" style="2"/>
    <col min="5100" max="5100" width="9.140625" style="2" customWidth="1"/>
    <col min="5101" max="5101" width="19.42578125" style="2" customWidth="1"/>
    <col min="5102" max="5102" width="10.85546875" style="2" customWidth="1"/>
    <col min="5103" max="5103" width="13.85546875" style="2" customWidth="1"/>
    <col min="5104" max="5104" width="11.140625" style="2" customWidth="1"/>
    <col min="5105" max="5105" width="16.7109375" style="2" bestFit="1" customWidth="1"/>
    <col min="5106" max="5106" width="16.42578125" style="2" customWidth="1"/>
    <col min="5107" max="5108" width="10.28515625" style="2" customWidth="1"/>
    <col min="5109" max="5109" width="13.140625" style="2" customWidth="1"/>
    <col min="5110" max="5352" width="8.85546875" style="2"/>
    <col min="5353" max="5353" width="19.7109375" style="2" customWidth="1"/>
    <col min="5354" max="5354" width="30" style="2" customWidth="1"/>
    <col min="5355" max="5355" width="8.85546875" style="2"/>
    <col min="5356" max="5356" width="9.140625" style="2" customWidth="1"/>
    <col min="5357" max="5357" width="19.42578125" style="2" customWidth="1"/>
    <col min="5358" max="5358" width="10.85546875" style="2" customWidth="1"/>
    <col min="5359" max="5359" width="13.85546875" style="2" customWidth="1"/>
    <col min="5360" max="5360" width="11.140625" style="2" customWidth="1"/>
    <col min="5361" max="5361" width="16.7109375" style="2" bestFit="1" customWidth="1"/>
    <col min="5362" max="5362" width="16.42578125" style="2" customWidth="1"/>
    <col min="5363" max="5364" width="10.28515625" style="2" customWidth="1"/>
    <col min="5365" max="5365" width="13.140625" style="2" customWidth="1"/>
    <col min="5366" max="5608" width="8.85546875" style="2"/>
    <col min="5609" max="5609" width="19.7109375" style="2" customWidth="1"/>
    <col min="5610" max="5610" width="30" style="2" customWidth="1"/>
    <col min="5611" max="5611" width="8.85546875" style="2"/>
    <col min="5612" max="5612" width="9.140625" style="2" customWidth="1"/>
    <col min="5613" max="5613" width="19.42578125" style="2" customWidth="1"/>
    <col min="5614" max="5614" width="10.85546875" style="2" customWidth="1"/>
    <col min="5615" max="5615" width="13.85546875" style="2" customWidth="1"/>
    <col min="5616" max="5616" width="11.140625" style="2" customWidth="1"/>
    <col min="5617" max="5617" width="16.7109375" style="2" bestFit="1" customWidth="1"/>
    <col min="5618" max="5618" width="16.42578125" style="2" customWidth="1"/>
    <col min="5619" max="5620" width="10.28515625" style="2" customWidth="1"/>
    <col min="5621" max="5621" width="13.140625" style="2" customWidth="1"/>
    <col min="5622" max="5864" width="8.85546875" style="2"/>
    <col min="5865" max="5865" width="19.7109375" style="2" customWidth="1"/>
    <col min="5866" max="5866" width="30" style="2" customWidth="1"/>
    <col min="5867" max="5867" width="8.85546875" style="2"/>
    <col min="5868" max="5868" width="9.140625" style="2" customWidth="1"/>
    <col min="5869" max="5869" width="19.42578125" style="2" customWidth="1"/>
    <col min="5870" max="5870" width="10.85546875" style="2" customWidth="1"/>
    <col min="5871" max="5871" width="13.85546875" style="2" customWidth="1"/>
    <col min="5872" max="5872" width="11.140625" style="2" customWidth="1"/>
    <col min="5873" max="5873" width="16.7109375" style="2" bestFit="1" customWidth="1"/>
    <col min="5874" max="5874" width="16.42578125" style="2" customWidth="1"/>
    <col min="5875" max="5876" width="10.28515625" style="2" customWidth="1"/>
    <col min="5877" max="5877" width="13.140625" style="2" customWidth="1"/>
    <col min="5878" max="6120" width="8.85546875" style="2"/>
    <col min="6121" max="6121" width="19.7109375" style="2" customWidth="1"/>
    <col min="6122" max="6122" width="30" style="2" customWidth="1"/>
    <col min="6123" max="6123" width="8.85546875" style="2"/>
    <col min="6124" max="6124" width="9.140625" style="2" customWidth="1"/>
    <col min="6125" max="6125" width="19.42578125" style="2" customWidth="1"/>
    <col min="6126" max="6126" width="10.85546875" style="2" customWidth="1"/>
    <col min="6127" max="6127" width="13.85546875" style="2" customWidth="1"/>
    <col min="6128" max="6128" width="11.140625" style="2" customWidth="1"/>
    <col min="6129" max="6129" width="16.7109375" style="2" bestFit="1" customWidth="1"/>
    <col min="6130" max="6130" width="16.42578125" style="2" customWidth="1"/>
    <col min="6131" max="6132" width="10.28515625" style="2" customWidth="1"/>
    <col min="6133" max="6133" width="13.140625" style="2" customWidth="1"/>
    <col min="6134" max="6376" width="8.85546875" style="2"/>
    <col min="6377" max="6377" width="19.7109375" style="2" customWidth="1"/>
    <col min="6378" max="6378" width="30" style="2" customWidth="1"/>
    <col min="6379" max="6379" width="8.85546875" style="2"/>
    <col min="6380" max="6380" width="9.140625" style="2" customWidth="1"/>
    <col min="6381" max="6381" width="19.42578125" style="2" customWidth="1"/>
    <col min="6382" max="6382" width="10.85546875" style="2" customWidth="1"/>
    <col min="6383" max="6383" width="13.85546875" style="2" customWidth="1"/>
    <col min="6384" max="6384" width="11.140625" style="2" customWidth="1"/>
    <col min="6385" max="6385" width="16.7109375" style="2" bestFit="1" customWidth="1"/>
    <col min="6386" max="6386" width="16.42578125" style="2" customWidth="1"/>
    <col min="6387" max="6388" width="10.28515625" style="2" customWidth="1"/>
    <col min="6389" max="6389" width="13.140625" style="2" customWidth="1"/>
    <col min="6390" max="6632" width="8.85546875" style="2"/>
    <col min="6633" max="6633" width="19.7109375" style="2" customWidth="1"/>
    <col min="6634" max="6634" width="30" style="2" customWidth="1"/>
    <col min="6635" max="6635" width="8.85546875" style="2"/>
    <col min="6636" max="6636" width="9.140625" style="2" customWidth="1"/>
    <col min="6637" max="6637" width="19.42578125" style="2" customWidth="1"/>
    <col min="6638" max="6638" width="10.85546875" style="2" customWidth="1"/>
    <col min="6639" max="6639" width="13.85546875" style="2" customWidth="1"/>
    <col min="6640" max="6640" width="11.140625" style="2" customWidth="1"/>
    <col min="6641" max="6641" width="16.7109375" style="2" bestFit="1" customWidth="1"/>
    <col min="6642" max="6642" width="16.42578125" style="2" customWidth="1"/>
    <col min="6643" max="6644" width="10.28515625" style="2" customWidth="1"/>
    <col min="6645" max="6645" width="13.140625" style="2" customWidth="1"/>
    <col min="6646" max="6888" width="8.85546875" style="2"/>
    <col min="6889" max="6889" width="19.7109375" style="2" customWidth="1"/>
    <col min="6890" max="6890" width="30" style="2" customWidth="1"/>
    <col min="6891" max="6891" width="8.85546875" style="2"/>
    <col min="6892" max="6892" width="9.140625" style="2" customWidth="1"/>
    <col min="6893" max="6893" width="19.42578125" style="2" customWidth="1"/>
    <col min="6894" max="6894" width="10.85546875" style="2" customWidth="1"/>
    <col min="6895" max="6895" width="13.85546875" style="2" customWidth="1"/>
    <col min="6896" max="6896" width="11.140625" style="2" customWidth="1"/>
    <col min="6897" max="6897" width="16.7109375" style="2" bestFit="1" customWidth="1"/>
    <col min="6898" max="6898" width="16.42578125" style="2" customWidth="1"/>
    <col min="6899" max="6900" width="10.28515625" style="2" customWidth="1"/>
    <col min="6901" max="6901" width="13.140625" style="2" customWidth="1"/>
    <col min="6902" max="7144" width="8.85546875" style="2"/>
    <col min="7145" max="7145" width="19.7109375" style="2" customWidth="1"/>
    <col min="7146" max="7146" width="30" style="2" customWidth="1"/>
    <col min="7147" max="7147" width="8.85546875" style="2"/>
    <col min="7148" max="7148" width="9.140625" style="2" customWidth="1"/>
    <col min="7149" max="7149" width="19.42578125" style="2" customWidth="1"/>
    <col min="7150" max="7150" width="10.85546875" style="2" customWidth="1"/>
    <col min="7151" max="7151" width="13.85546875" style="2" customWidth="1"/>
    <col min="7152" max="7152" width="11.140625" style="2" customWidth="1"/>
    <col min="7153" max="7153" width="16.7109375" style="2" bestFit="1" customWidth="1"/>
    <col min="7154" max="7154" width="16.42578125" style="2" customWidth="1"/>
    <col min="7155" max="7156" width="10.28515625" style="2" customWidth="1"/>
    <col min="7157" max="7157" width="13.140625" style="2" customWidth="1"/>
    <col min="7158" max="7400" width="8.85546875" style="2"/>
    <col min="7401" max="7401" width="19.7109375" style="2" customWidth="1"/>
    <col min="7402" max="7402" width="30" style="2" customWidth="1"/>
    <col min="7403" max="7403" width="8.85546875" style="2"/>
    <col min="7404" max="7404" width="9.140625" style="2" customWidth="1"/>
    <col min="7405" max="7405" width="19.42578125" style="2" customWidth="1"/>
    <col min="7406" max="7406" width="10.85546875" style="2" customWidth="1"/>
    <col min="7407" max="7407" width="13.85546875" style="2" customWidth="1"/>
    <col min="7408" max="7408" width="11.140625" style="2" customWidth="1"/>
    <col min="7409" max="7409" width="16.7109375" style="2" bestFit="1" customWidth="1"/>
    <col min="7410" max="7410" width="16.42578125" style="2" customWidth="1"/>
    <col min="7411" max="7412" width="10.28515625" style="2" customWidth="1"/>
    <col min="7413" max="7413" width="13.140625" style="2" customWidth="1"/>
    <col min="7414" max="7656" width="8.85546875" style="2"/>
    <col min="7657" max="7657" width="19.7109375" style="2" customWidth="1"/>
    <col min="7658" max="7658" width="30" style="2" customWidth="1"/>
    <col min="7659" max="7659" width="8.85546875" style="2"/>
    <col min="7660" max="7660" width="9.140625" style="2" customWidth="1"/>
    <col min="7661" max="7661" width="19.42578125" style="2" customWidth="1"/>
    <col min="7662" max="7662" width="10.85546875" style="2" customWidth="1"/>
    <col min="7663" max="7663" width="13.85546875" style="2" customWidth="1"/>
    <col min="7664" max="7664" width="11.140625" style="2" customWidth="1"/>
    <col min="7665" max="7665" width="16.7109375" style="2" bestFit="1" customWidth="1"/>
    <col min="7666" max="7666" width="16.42578125" style="2" customWidth="1"/>
    <col min="7667" max="7668" width="10.28515625" style="2" customWidth="1"/>
    <col min="7669" max="7669" width="13.140625" style="2" customWidth="1"/>
    <col min="7670" max="7912" width="8.85546875" style="2"/>
    <col min="7913" max="7913" width="19.7109375" style="2" customWidth="1"/>
    <col min="7914" max="7914" width="30" style="2" customWidth="1"/>
    <col min="7915" max="7915" width="8.85546875" style="2"/>
    <col min="7916" max="7916" width="9.140625" style="2" customWidth="1"/>
    <col min="7917" max="7917" width="19.42578125" style="2" customWidth="1"/>
    <col min="7918" max="7918" width="10.85546875" style="2" customWidth="1"/>
    <col min="7919" max="7919" width="13.85546875" style="2" customWidth="1"/>
    <col min="7920" max="7920" width="11.140625" style="2" customWidth="1"/>
    <col min="7921" max="7921" width="16.7109375" style="2" bestFit="1" customWidth="1"/>
    <col min="7922" max="7922" width="16.42578125" style="2" customWidth="1"/>
    <col min="7923" max="7924" width="10.28515625" style="2" customWidth="1"/>
    <col min="7925" max="7925" width="13.140625" style="2" customWidth="1"/>
    <col min="7926" max="8168" width="8.85546875" style="2"/>
    <col min="8169" max="8169" width="19.7109375" style="2" customWidth="1"/>
    <col min="8170" max="8170" width="30" style="2" customWidth="1"/>
    <col min="8171" max="8171" width="8.85546875" style="2"/>
    <col min="8172" max="8172" width="9.140625" style="2" customWidth="1"/>
    <col min="8173" max="8173" width="19.42578125" style="2" customWidth="1"/>
    <col min="8174" max="8174" width="10.85546875" style="2" customWidth="1"/>
    <col min="8175" max="8175" width="13.85546875" style="2" customWidth="1"/>
    <col min="8176" max="8176" width="11.140625" style="2" customWidth="1"/>
    <col min="8177" max="8177" width="16.7109375" style="2" bestFit="1" customWidth="1"/>
    <col min="8178" max="8178" width="16.42578125" style="2" customWidth="1"/>
    <col min="8179" max="8180" width="10.28515625" style="2" customWidth="1"/>
    <col min="8181" max="8181" width="13.140625" style="2" customWidth="1"/>
    <col min="8182" max="8424" width="8.85546875" style="2"/>
    <col min="8425" max="8425" width="19.7109375" style="2" customWidth="1"/>
    <col min="8426" max="8426" width="30" style="2" customWidth="1"/>
    <col min="8427" max="8427" width="8.85546875" style="2"/>
    <col min="8428" max="8428" width="9.140625" style="2" customWidth="1"/>
    <col min="8429" max="8429" width="19.42578125" style="2" customWidth="1"/>
    <col min="8430" max="8430" width="10.85546875" style="2" customWidth="1"/>
    <col min="8431" max="8431" width="13.85546875" style="2" customWidth="1"/>
    <col min="8432" max="8432" width="11.140625" style="2" customWidth="1"/>
    <col min="8433" max="8433" width="16.7109375" style="2" bestFit="1" customWidth="1"/>
    <col min="8434" max="8434" width="16.42578125" style="2" customWidth="1"/>
    <col min="8435" max="8436" width="10.28515625" style="2" customWidth="1"/>
    <col min="8437" max="8437" width="13.140625" style="2" customWidth="1"/>
    <col min="8438" max="8680" width="8.85546875" style="2"/>
    <col min="8681" max="8681" width="19.7109375" style="2" customWidth="1"/>
    <col min="8682" max="8682" width="30" style="2" customWidth="1"/>
    <col min="8683" max="8683" width="8.85546875" style="2"/>
    <col min="8684" max="8684" width="9.140625" style="2" customWidth="1"/>
    <col min="8685" max="8685" width="19.42578125" style="2" customWidth="1"/>
    <col min="8686" max="8686" width="10.85546875" style="2" customWidth="1"/>
    <col min="8687" max="8687" width="13.85546875" style="2" customWidth="1"/>
    <col min="8688" max="8688" width="11.140625" style="2" customWidth="1"/>
    <col min="8689" max="8689" width="16.7109375" style="2" bestFit="1" customWidth="1"/>
    <col min="8690" max="8690" width="16.42578125" style="2" customWidth="1"/>
    <col min="8691" max="8692" width="10.28515625" style="2" customWidth="1"/>
    <col min="8693" max="8693" width="13.140625" style="2" customWidth="1"/>
    <col min="8694" max="8936" width="8.85546875" style="2"/>
    <col min="8937" max="8937" width="19.7109375" style="2" customWidth="1"/>
    <col min="8938" max="8938" width="30" style="2" customWidth="1"/>
    <col min="8939" max="8939" width="8.85546875" style="2"/>
    <col min="8940" max="8940" width="9.140625" style="2" customWidth="1"/>
    <col min="8941" max="8941" width="19.42578125" style="2" customWidth="1"/>
    <col min="8942" max="8942" width="10.85546875" style="2" customWidth="1"/>
    <col min="8943" max="8943" width="13.85546875" style="2" customWidth="1"/>
    <col min="8944" max="8944" width="11.140625" style="2" customWidth="1"/>
    <col min="8945" max="8945" width="16.7109375" style="2" bestFit="1" customWidth="1"/>
    <col min="8946" max="8946" width="16.42578125" style="2" customWidth="1"/>
    <col min="8947" max="8948" width="10.28515625" style="2" customWidth="1"/>
    <col min="8949" max="8949" width="13.140625" style="2" customWidth="1"/>
    <col min="8950" max="9192" width="8.85546875" style="2"/>
    <col min="9193" max="9193" width="19.7109375" style="2" customWidth="1"/>
    <col min="9194" max="9194" width="30" style="2" customWidth="1"/>
    <col min="9195" max="9195" width="8.85546875" style="2"/>
    <col min="9196" max="9196" width="9.140625" style="2" customWidth="1"/>
    <col min="9197" max="9197" width="19.42578125" style="2" customWidth="1"/>
    <col min="9198" max="9198" width="10.85546875" style="2" customWidth="1"/>
    <col min="9199" max="9199" width="13.85546875" style="2" customWidth="1"/>
    <col min="9200" max="9200" width="11.140625" style="2" customWidth="1"/>
    <col min="9201" max="9201" width="16.7109375" style="2" bestFit="1" customWidth="1"/>
    <col min="9202" max="9202" width="16.42578125" style="2" customWidth="1"/>
    <col min="9203" max="9204" width="10.28515625" style="2" customWidth="1"/>
    <col min="9205" max="9205" width="13.140625" style="2" customWidth="1"/>
    <col min="9206" max="9448" width="8.85546875" style="2"/>
    <col min="9449" max="9449" width="19.7109375" style="2" customWidth="1"/>
    <col min="9450" max="9450" width="30" style="2" customWidth="1"/>
    <col min="9451" max="9451" width="8.85546875" style="2"/>
    <col min="9452" max="9452" width="9.140625" style="2" customWidth="1"/>
    <col min="9453" max="9453" width="19.42578125" style="2" customWidth="1"/>
    <col min="9454" max="9454" width="10.85546875" style="2" customWidth="1"/>
    <col min="9455" max="9455" width="13.85546875" style="2" customWidth="1"/>
    <col min="9456" max="9456" width="11.140625" style="2" customWidth="1"/>
    <col min="9457" max="9457" width="16.7109375" style="2" bestFit="1" customWidth="1"/>
    <col min="9458" max="9458" width="16.42578125" style="2" customWidth="1"/>
    <col min="9459" max="9460" width="10.28515625" style="2" customWidth="1"/>
    <col min="9461" max="9461" width="13.140625" style="2" customWidth="1"/>
    <col min="9462" max="9704" width="8.85546875" style="2"/>
    <col min="9705" max="9705" width="19.7109375" style="2" customWidth="1"/>
    <col min="9706" max="9706" width="30" style="2" customWidth="1"/>
    <col min="9707" max="9707" width="8.85546875" style="2"/>
    <col min="9708" max="9708" width="9.140625" style="2" customWidth="1"/>
    <col min="9709" max="9709" width="19.42578125" style="2" customWidth="1"/>
    <col min="9710" max="9710" width="10.85546875" style="2" customWidth="1"/>
    <col min="9711" max="9711" width="13.85546875" style="2" customWidth="1"/>
    <col min="9712" max="9712" width="11.140625" style="2" customWidth="1"/>
    <col min="9713" max="9713" width="16.7109375" style="2" bestFit="1" customWidth="1"/>
    <col min="9714" max="9714" width="16.42578125" style="2" customWidth="1"/>
    <col min="9715" max="9716" width="10.28515625" style="2" customWidth="1"/>
    <col min="9717" max="9717" width="13.140625" style="2" customWidth="1"/>
    <col min="9718" max="9960" width="8.85546875" style="2"/>
    <col min="9961" max="9961" width="19.7109375" style="2" customWidth="1"/>
    <col min="9962" max="9962" width="30" style="2" customWidth="1"/>
    <col min="9963" max="9963" width="8.85546875" style="2"/>
    <col min="9964" max="9964" width="9.140625" style="2" customWidth="1"/>
    <col min="9965" max="9965" width="19.42578125" style="2" customWidth="1"/>
    <col min="9966" max="9966" width="10.85546875" style="2" customWidth="1"/>
    <col min="9967" max="9967" width="13.85546875" style="2" customWidth="1"/>
    <col min="9968" max="9968" width="11.140625" style="2" customWidth="1"/>
    <col min="9969" max="9969" width="16.7109375" style="2" bestFit="1" customWidth="1"/>
    <col min="9970" max="9970" width="16.42578125" style="2" customWidth="1"/>
    <col min="9971" max="9972" width="10.28515625" style="2" customWidth="1"/>
    <col min="9973" max="9973" width="13.140625" style="2" customWidth="1"/>
    <col min="9974" max="10216" width="8.85546875" style="2"/>
    <col min="10217" max="10217" width="19.7109375" style="2" customWidth="1"/>
    <col min="10218" max="10218" width="30" style="2" customWidth="1"/>
    <col min="10219" max="10219" width="8.85546875" style="2"/>
    <col min="10220" max="10220" width="9.140625" style="2" customWidth="1"/>
    <col min="10221" max="10221" width="19.42578125" style="2" customWidth="1"/>
    <col min="10222" max="10222" width="10.85546875" style="2" customWidth="1"/>
    <col min="10223" max="10223" width="13.85546875" style="2" customWidth="1"/>
    <col min="10224" max="10224" width="11.140625" style="2" customWidth="1"/>
    <col min="10225" max="10225" width="16.7109375" style="2" bestFit="1" customWidth="1"/>
    <col min="10226" max="10226" width="16.42578125" style="2" customWidth="1"/>
    <col min="10227" max="10228" width="10.28515625" style="2" customWidth="1"/>
    <col min="10229" max="10229" width="13.140625" style="2" customWidth="1"/>
    <col min="10230" max="10472" width="8.85546875" style="2"/>
    <col min="10473" max="10473" width="19.7109375" style="2" customWidth="1"/>
    <col min="10474" max="10474" width="30" style="2" customWidth="1"/>
    <col min="10475" max="10475" width="8.85546875" style="2"/>
    <col min="10476" max="10476" width="9.140625" style="2" customWidth="1"/>
    <col min="10477" max="10477" width="19.42578125" style="2" customWidth="1"/>
    <col min="10478" max="10478" width="10.85546875" style="2" customWidth="1"/>
    <col min="10479" max="10479" width="13.85546875" style="2" customWidth="1"/>
    <col min="10480" max="10480" width="11.140625" style="2" customWidth="1"/>
    <col min="10481" max="10481" width="16.7109375" style="2" bestFit="1" customWidth="1"/>
    <col min="10482" max="10482" width="16.42578125" style="2" customWidth="1"/>
    <col min="10483" max="10484" width="10.28515625" style="2" customWidth="1"/>
    <col min="10485" max="10485" width="13.140625" style="2" customWidth="1"/>
    <col min="10486" max="10728" width="8.85546875" style="2"/>
    <col min="10729" max="10729" width="19.7109375" style="2" customWidth="1"/>
    <col min="10730" max="10730" width="30" style="2" customWidth="1"/>
    <col min="10731" max="10731" width="8.85546875" style="2"/>
    <col min="10732" max="10732" width="9.140625" style="2" customWidth="1"/>
    <col min="10733" max="10733" width="19.42578125" style="2" customWidth="1"/>
    <col min="10734" max="10734" width="10.85546875" style="2" customWidth="1"/>
    <col min="10735" max="10735" width="13.85546875" style="2" customWidth="1"/>
    <col min="10736" max="10736" width="11.140625" style="2" customWidth="1"/>
    <col min="10737" max="10737" width="16.7109375" style="2" bestFit="1" customWidth="1"/>
    <col min="10738" max="10738" width="16.42578125" style="2" customWidth="1"/>
    <col min="10739" max="10740" width="10.28515625" style="2" customWidth="1"/>
    <col min="10741" max="10741" width="13.140625" style="2" customWidth="1"/>
    <col min="10742" max="10984" width="8.85546875" style="2"/>
    <col min="10985" max="10985" width="19.7109375" style="2" customWidth="1"/>
    <col min="10986" max="10986" width="30" style="2" customWidth="1"/>
    <col min="10987" max="10987" width="8.85546875" style="2"/>
    <col min="10988" max="10988" width="9.140625" style="2" customWidth="1"/>
    <col min="10989" max="10989" width="19.42578125" style="2" customWidth="1"/>
    <col min="10990" max="10990" width="10.85546875" style="2" customWidth="1"/>
    <col min="10991" max="10991" width="13.85546875" style="2" customWidth="1"/>
    <col min="10992" max="10992" width="11.140625" style="2" customWidth="1"/>
    <col min="10993" max="10993" width="16.7109375" style="2" bestFit="1" customWidth="1"/>
    <col min="10994" max="10994" width="16.42578125" style="2" customWidth="1"/>
    <col min="10995" max="10996" width="10.28515625" style="2" customWidth="1"/>
    <col min="10997" max="10997" width="13.140625" style="2" customWidth="1"/>
    <col min="10998" max="11240" width="8.85546875" style="2"/>
    <col min="11241" max="11241" width="19.7109375" style="2" customWidth="1"/>
    <col min="11242" max="11242" width="30" style="2" customWidth="1"/>
    <col min="11243" max="11243" width="8.85546875" style="2"/>
    <col min="11244" max="11244" width="9.140625" style="2" customWidth="1"/>
    <col min="11245" max="11245" width="19.42578125" style="2" customWidth="1"/>
    <col min="11246" max="11246" width="10.85546875" style="2" customWidth="1"/>
    <col min="11247" max="11247" width="13.85546875" style="2" customWidth="1"/>
    <col min="11248" max="11248" width="11.140625" style="2" customWidth="1"/>
    <col min="11249" max="11249" width="16.7109375" style="2" bestFit="1" customWidth="1"/>
    <col min="11250" max="11250" width="16.42578125" style="2" customWidth="1"/>
    <col min="11251" max="11252" width="10.28515625" style="2" customWidth="1"/>
    <col min="11253" max="11253" width="13.140625" style="2" customWidth="1"/>
    <col min="11254" max="11496" width="8.85546875" style="2"/>
    <col min="11497" max="11497" width="19.7109375" style="2" customWidth="1"/>
    <col min="11498" max="11498" width="30" style="2" customWidth="1"/>
    <col min="11499" max="11499" width="8.85546875" style="2"/>
    <col min="11500" max="11500" width="9.140625" style="2" customWidth="1"/>
    <col min="11501" max="11501" width="19.42578125" style="2" customWidth="1"/>
    <col min="11502" max="11502" width="10.85546875" style="2" customWidth="1"/>
    <col min="11503" max="11503" width="13.85546875" style="2" customWidth="1"/>
    <col min="11504" max="11504" width="11.140625" style="2" customWidth="1"/>
    <col min="11505" max="11505" width="16.7109375" style="2" bestFit="1" customWidth="1"/>
    <col min="11506" max="11506" width="16.42578125" style="2" customWidth="1"/>
    <col min="11507" max="11508" width="10.28515625" style="2" customWidth="1"/>
    <col min="11509" max="11509" width="13.140625" style="2" customWidth="1"/>
    <col min="11510" max="11752" width="8.85546875" style="2"/>
    <col min="11753" max="11753" width="19.7109375" style="2" customWidth="1"/>
    <col min="11754" max="11754" width="30" style="2" customWidth="1"/>
    <col min="11755" max="11755" width="8.85546875" style="2"/>
    <col min="11756" max="11756" width="9.140625" style="2" customWidth="1"/>
    <col min="11757" max="11757" width="19.42578125" style="2" customWidth="1"/>
    <col min="11758" max="11758" width="10.85546875" style="2" customWidth="1"/>
    <col min="11759" max="11759" width="13.85546875" style="2" customWidth="1"/>
    <col min="11760" max="11760" width="11.140625" style="2" customWidth="1"/>
    <col min="11761" max="11761" width="16.7109375" style="2" bestFit="1" customWidth="1"/>
    <col min="11762" max="11762" width="16.42578125" style="2" customWidth="1"/>
    <col min="11763" max="11764" width="10.28515625" style="2" customWidth="1"/>
    <col min="11765" max="11765" width="13.140625" style="2" customWidth="1"/>
    <col min="11766" max="12008" width="8.85546875" style="2"/>
    <col min="12009" max="12009" width="19.7109375" style="2" customWidth="1"/>
    <col min="12010" max="12010" width="30" style="2" customWidth="1"/>
    <col min="12011" max="12011" width="8.85546875" style="2"/>
    <col min="12012" max="12012" width="9.140625" style="2" customWidth="1"/>
    <col min="12013" max="12013" width="19.42578125" style="2" customWidth="1"/>
    <col min="12014" max="12014" width="10.85546875" style="2" customWidth="1"/>
    <col min="12015" max="12015" width="13.85546875" style="2" customWidth="1"/>
    <col min="12016" max="12016" width="11.140625" style="2" customWidth="1"/>
    <col min="12017" max="12017" width="16.7109375" style="2" bestFit="1" customWidth="1"/>
    <col min="12018" max="12018" width="16.42578125" style="2" customWidth="1"/>
    <col min="12019" max="12020" width="10.28515625" style="2" customWidth="1"/>
    <col min="12021" max="12021" width="13.140625" style="2" customWidth="1"/>
    <col min="12022" max="12264" width="8.85546875" style="2"/>
    <col min="12265" max="12265" width="19.7109375" style="2" customWidth="1"/>
    <col min="12266" max="12266" width="30" style="2" customWidth="1"/>
    <col min="12267" max="12267" width="8.85546875" style="2"/>
    <col min="12268" max="12268" width="9.140625" style="2" customWidth="1"/>
    <col min="12269" max="12269" width="19.42578125" style="2" customWidth="1"/>
    <col min="12270" max="12270" width="10.85546875" style="2" customWidth="1"/>
    <col min="12271" max="12271" width="13.85546875" style="2" customWidth="1"/>
    <col min="12272" max="12272" width="11.140625" style="2" customWidth="1"/>
    <col min="12273" max="12273" width="16.7109375" style="2" bestFit="1" customWidth="1"/>
    <col min="12274" max="12274" width="16.42578125" style="2" customWidth="1"/>
    <col min="12275" max="12276" width="10.28515625" style="2" customWidth="1"/>
    <col min="12277" max="12277" width="13.140625" style="2" customWidth="1"/>
    <col min="12278" max="12520" width="8.85546875" style="2"/>
    <col min="12521" max="12521" width="19.7109375" style="2" customWidth="1"/>
    <col min="12522" max="12522" width="30" style="2" customWidth="1"/>
    <col min="12523" max="12523" width="8.85546875" style="2"/>
    <col min="12524" max="12524" width="9.140625" style="2" customWidth="1"/>
    <col min="12525" max="12525" width="19.42578125" style="2" customWidth="1"/>
    <col min="12526" max="12526" width="10.85546875" style="2" customWidth="1"/>
    <col min="12527" max="12527" width="13.85546875" style="2" customWidth="1"/>
    <col min="12528" max="12528" width="11.140625" style="2" customWidth="1"/>
    <col min="12529" max="12529" width="16.7109375" style="2" bestFit="1" customWidth="1"/>
    <col min="12530" max="12530" width="16.42578125" style="2" customWidth="1"/>
    <col min="12531" max="12532" width="10.28515625" style="2" customWidth="1"/>
    <col min="12533" max="12533" width="13.140625" style="2" customWidth="1"/>
    <col min="12534" max="12776" width="8.85546875" style="2"/>
    <col min="12777" max="12777" width="19.7109375" style="2" customWidth="1"/>
    <col min="12778" max="12778" width="30" style="2" customWidth="1"/>
    <col min="12779" max="12779" width="8.85546875" style="2"/>
    <col min="12780" max="12780" width="9.140625" style="2" customWidth="1"/>
    <col min="12781" max="12781" width="19.42578125" style="2" customWidth="1"/>
    <col min="12782" max="12782" width="10.85546875" style="2" customWidth="1"/>
    <col min="12783" max="12783" width="13.85546875" style="2" customWidth="1"/>
    <col min="12784" max="12784" width="11.140625" style="2" customWidth="1"/>
    <col min="12785" max="12785" width="16.7109375" style="2" bestFit="1" customWidth="1"/>
    <col min="12786" max="12786" width="16.42578125" style="2" customWidth="1"/>
    <col min="12787" max="12788" width="10.28515625" style="2" customWidth="1"/>
    <col min="12789" max="12789" width="13.140625" style="2" customWidth="1"/>
    <col min="12790" max="13032" width="8.85546875" style="2"/>
    <col min="13033" max="13033" width="19.7109375" style="2" customWidth="1"/>
    <col min="13034" max="13034" width="30" style="2" customWidth="1"/>
    <col min="13035" max="13035" width="8.85546875" style="2"/>
    <col min="13036" max="13036" width="9.140625" style="2" customWidth="1"/>
    <col min="13037" max="13037" width="19.42578125" style="2" customWidth="1"/>
    <col min="13038" max="13038" width="10.85546875" style="2" customWidth="1"/>
    <col min="13039" max="13039" width="13.85546875" style="2" customWidth="1"/>
    <col min="13040" max="13040" width="11.140625" style="2" customWidth="1"/>
    <col min="13041" max="13041" width="16.7109375" style="2" bestFit="1" customWidth="1"/>
    <col min="13042" max="13042" width="16.42578125" style="2" customWidth="1"/>
    <col min="13043" max="13044" width="10.28515625" style="2" customWidth="1"/>
    <col min="13045" max="13045" width="13.140625" style="2" customWidth="1"/>
    <col min="13046" max="13288" width="8.85546875" style="2"/>
    <col min="13289" max="13289" width="19.7109375" style="2" customWidth="1"/>
    <col min="13290" max="13290" width="30" style="2" customWidth="1"/>
    <col min="13291" max="13291" width="8.85546875" style="2"/>
    <col min="13292" max="13292" width="9.140625" style="2" customWidth="1"/>
    <col min="13293" max="13293" width="19.42578125" style="2" customWidth="1"/>
    <col min="13294" max="13294" width="10.85546875" style="2" customWidth="1"/>
    <col min="13295" max="13295" width="13.85546875" style="2" customWidth="1"/>
    <col min="13296" max="13296" width="11.140625" style="2" customWidth="1"/>
    <col min="13297" max="13297" width="16.7109375" style="2" bestFit="1" customWidth="1"/>
    <col min="13298" max="13298" width="16.42578125" style="2" customWidth="1"/>
    <col min="13299" max="13300" width="10.28515625" style="2" customWidth="1"/>
    <col min="13301" max="13301" width="13.140625" style="2" customWidth="1"/>
    <col min="13302" max="13544" width="8.85546875" style="2"/>
    <col min="13545" max="13545" width="19.7109375" style="2" customWidth="1"/>
    <col min="13546" max="13546" width="30" style="2" customWidth="1"/>
    <col min="13547" max="13547" width="8.85546875" style="2"/>
    <col min="13548" max="13548" width="9.140625" style="2" customWidth="1"/>
    <col min="13549" max="13549" width="19.42578125" style="2" customWidth="1"/>
    <col min="13550" max="13550" width="10.85546875" style="2" customWidth="1"/>
    <col min="13551" max="13551" width="13.85546875" style="2" customWidth="1"/>
    <col min="13552" max="13552" width="11.140625" style="2" customWidth="1"/>
    <col min="13553" max="13553" width="16.7109375" style="2" bestFit="1" customWidth="1"/>
    <col min="13554" max="13554" width="16.42578125" style="2" customWidth="1"/>
    <col min="13555" max="13556" width="10.28515625" style="2" customWidth="1"/>
    <col min="13557" max="13557" width="13.140625" style="2" customWidth="1"/>
    <col min="13558" max="13800" width="8.85546875" style="2"/>
    <col min="13801" max="13801" width="19.7109375" style="2" customWidth="1"/>
    <col min="13802" max="13802" width="30" style="2" customWidth="1"/>
    <col min="13803" max="13803" width="8.85546875" style="2"/>
    <col min="13804" max="13804" width="9.140625" style="2" customWidth="1"/>
    <col min="13805" max="13805" width="19.42578125" style="2" customWidth="1"/>
    <col min="13806" max="13806" width="10.85546875" style="2" customWidth="1"/>
    <col min="13807" max="13807" width="13.85546875" style="2" customWidth="1"/>
    <col min="13808" max="13808" width="11.140625" style="2" customWidth="1"/>
    <col min="13809" max="13809" width="16.7109375" style="2" bestFit="1" customWidth="1"/>
    <col min="13810" max="13810" width="16.42578125" style="2" customWidth="1"/>
    <col min="13811" max="13812" width="10.28515625" style="2" customWidth="1"/>
    <col min="13813" max="13813" width="13.140625" style="2" customWidth="1"/>
    <col min="13814" max="14056" width="8.85546875" style="2"/>
    <col min="14057" max="14057" width="19.7109375" style="2" customWidth="1"/>
    <col min="14058" max="14058" width="30" style="2" customWidth="1"/>
    <col min="14059" max="14059" width="8.85546875" style="2"/>
    <col min="14060" max="14060" width="9.140625" style="2" customWidth="1"/>
    <col min="14061" max="14061" width="19.42578125" style="2" customWidth="1"/>
    <col min="14062" max="14062" width="10.85546875" style="2" customWidth="1"/>
    <col min="14063" max="14063" width="13.85546875" style="2" customWidth="1"/>
    <col min="14064" max="14064" width="11.140625" style="2" customWidth="1"/>
    <col min="14065" max="14065" width="16.7109375" style="2" bestFit="1" customWidth="1"/>
    <col min="14066" max="14066" width="16.42578125" style="2" customWidth="1"/>
    <col min="14067" max="14068" width="10.28515625" style="2" customWidth="1"/>
    <col min="14069" max="14069" width="13.140625" style="2" customWidth="1"/>
    <col min="14070" max="14312" width="8.85546875" style="2"/>
    <col min="14313" max="14313" width="19.7109375" style="2" customWidth="1"/>
    <col min="14314" max="14314" width="30" style="2" customWidth="1"/>
    <col min="14315" max="14315" width="8.85546875" style="2"/>
    <col min="14316" max="14316" width="9.140625" style="2" customWidth="1"/>
    <col min="14317" max="14317" width="19.42578125" style="2" customWidth="1"/>
    <col min="14318" max="14318" width="10.85546875" style="2" customWidth="1"/>
    <col min="14319" max="14319" width="13.85546875" style="2" customWidth="1"/>
    <col min="14320" max="14320" width="11.140625" style="2" customWidth="1"/>
    <col min="14321" max="14321" width="16.7109375" style="2" bestFit="1" customWidth="1"/>
    <col min="14322" max="14322" width="16.42578125" style="2" customWidth="1"/>
    <col min="14323" max="14324" width="10.28515625" style="2" customWidth="1"/>
    <col min="14325" max="14325" width="13.140625" style="2" customWidth="1"/>
    <col min="14326" max="14568" width="8.85546875" style="2"/>
    <col min="14569" max="14569" width="19.7109375" style="2" customWidth="1"/>
    <col min="14570" max="14570" width="30" style="2" customWidth="1"/>
    <col min="14571" max="14571" width="8.85546875" style="2"/>
    <col min="14572" max="14572" width="9.140625" style="2" customWidth="1"/>
    <col min="14573" max="14573" width="19.42578125" style="2" customWidth="1"/>
    <col min="14574" max="14574" width="10.85546875" style="2" customWidth="1"/>
    <col min="14575" max="14575" width="13.85546875" style="2" customWidth="1"/>
    <col min="14576" max="14576" width="11.140625" style="2" customWidth="1"/>
    <col min="14577" max="14577" width="16.7109375" style="2" bestFit="1" customWidth="1"/>
    <col min="14578" max="14578" width="16.42578125" style="2" customWidth="1"/>
    <col min="14579" max="14580" width="10.28515625" style="2" customWidth="1"/>
    <col min="14581" max="14581" width="13.140625" style="2" customWidth="1"/>
    <col min="14582" max="14824" width="8.85546875" style="2"/>
    <col min="14825" max="14825" width="19.7109375" style="2" customWidth="1"/>
    <col min="14826" max="14826" width="30" style="2" customWidth="1"/>
    <col min="14827" max="14827" width="8.85546875" style="2"/>
    <col min="14828" max="14828" width="9.140625" style="2" customWidth="1"/>
    <col min="14829" max="14829" width="19.42578125" style="2" customWidth="1"/>
    <col min="14830" max="14830" width="10.85546875" style="2" customWidth="1"/>
    <col min="14831" max="14831" width="13.85546875" style="2" customWidth="1"/>
    <col min="14832" max="14832" width="11.140625" style="2" customWidth="1"/>
    <col min="14833" max="14833" width="16.7109375" style="2" bestFit="1" customWidth="1"/>
    <col min="14834" max="14834" width="16.42578125" style="2" customWidth="1"/>
    <col min="14835" max="14836" width="10.28515625" style="2" customWidth="1"/>
    <col min="14837" max="14837" width="13.140625" style="2" customWidth="1"/>
    <col min="14838" max="15080" width="8.85546875" style="2"/>
    <col min="15081" max="15081" width="19.7109375" style="2" customWidth="1"/>
    <col min="15082" max="15082" width="30" style="2" customWidth="1"/>
    <col min="15083" max="15083" width="8.85546875" style="2"/>
    <col min="15084" max="15084" width="9.140625" style="2" customWidth="1"/>
    <col min="15085" max="15085" width="19.42578125" style="2" customWidth="1"/>
    <col min="15086" max="15086" width="10.85546875" style="2" customWidth="1"/>
    <col min="15087" max="15087" width="13.85546875" style="2" customWidth="1"/>
    <col min="15088" max="15088" width="11.140625" style="2" customWidth="1"/>
    <col min="15089" max="15089" width="16.7109375" style="2" bestFit="1" customWidth="1"/>
    <col min="15090" max="15090" width="16.42578125" style="2" customWidth="1"/>
    <col min="15091" max="15092" width="10.28515625" style="2" customWidth="1"/>
    <col min="15093" max="15093" width="13.140625" style="2" customWidth="1"/>
    <col min="15094" max="15336" width="8.85546875" style="2"/>
    <col min="15337" max="15337" width="19.7109375" style="2" customWidth="1"/>
    <col min="15338" max="15338" width="30" style="2" customWidth="1"/>
    <col min="15339" max="15339" width="8.85546875" style="2"/>
    <col min="15340" max="15340" width="9.140625" style="2" customWidth="1"/>
    <col min="15341" max="15341" width="19.42578125" style="2" customWidth="1"/>
    <col min="15342" max="15342" width="10.85546875" style="2" customWidth="1"/>
    <col min="15343" max="15343" width="13.85546875" style="2" customWidth="1"/>
    <col min="15344" max="15344" width="11.140625" style="2" customWidth="1"/>
    <col min="15345" max="15345" width="16.7109375" style="2" bestFit="1" customWidth="1"/>
    <col min="15346" max="15346" width="16.42578125" style="2" customWidth="1"/>
    <col min="15347" max="15348" width="10.28515625" style="2" customWidth="1"/>
    <col min="15349" max="15349" width="13.140625" style="2" customWidth="1"/>
    <col min="15350" max="15592" width="8.85546875" style="2"/>
    <col min="15593" max="15593" width="19.7109375" style="2" customWidth="1"/>
    <col min="15594" max="15594" width="30" style="2" customWidth="1"/>
    <col min="15595" max="15595" width="8.85546875" style="2"/>
    <col min="15596" max="15596" width="9.140625" style="2" customWidth="1"/>
    <col min="15597" max="15597" width="19.42578125" style="2" customWidth="1"/>
    <col min="15598" max="15598" width="10.85546875" style="2" customWidth="1"/>
    <col min="15599" max="15599" width="13.85546875" style="2" customWidth="1"/>
    <col min="15600" max="15600" width="11.140625" style="2" customWidth="1"/>
    <col min="15601" max="15601" width="16.7109375" style="2" bestFit="1" customWidth="1"/>
    <col min="15602" max="15602" width="16.42578125" style="2" customWidth="1"/>
    <col min="15603" max="15604" width="10.28515625" style="2" customWidth="1"/>
    <col min="15605" max="15605" width="13.140625" style="2" customWidth="1"/>
    <col min="15606" max="15848" width="8.85546875" style="2"/>
    <col min="15849" max="15849" width="19.7109375" style="2" customWidth="1"/>
    <col min="15850" max="15850" width="30" style="2" customWidth="1"/>
    <col min="15851" max="15851" width="8.85546875" style="2"/>
    <col min="15852" max="15852" width="9.140625" style="2" customWidth="1"/>
    <col min="15853" max="15853" width="19.42578125" style="2" customWidth="1"/>
    <col min="15854" max="15854" width="10.85546875" style="2" customWidth="1"/>
    <col min="15855" max="15855" width="13.85546875" style="2" customWidth="1"/>
    <col min="15856" max="15856" width="11.140625" style="2" customWidth="1"/>
    <col min="15857" max="15857" width="16.7109375" style="2" bestFit="1" customWidth="1"/>
    <col min="15858" max="15858" width="16.42578125" style="2" customWidth="1"/>
    <col min="15859" max="15860" width="10.28515625" style="2" customWidth="1"/>
    <col min="15861" max="15861" width="13.140625" style="2" customWidth="1"/>
    <col min="15862" max="16104" width="8.85546875" style="2"/>
    <col min="16105" max="16105" width="19.7109375" style="2" customWidth="1"/>
    <col min="16106" max="16106" width="30" style="2" customWidth="1"/>
    <col min="16107" max="16107" width="8.85546875" style="2"/>
    <col min="16108" max="16108" width="9.140625" style="2" customWidth="1"/>
    <col min="16109" max="16109" width="19.42578125" style="2" customWidth="1"/>
    <col min="16110" max="16110" width="10.85546875" style="2" customWidth="1"/>
    <col min="16111" max="16111" width="13.85546875" style="2" customWidth="1"/>
    <col min="16112" max="16112" width="11.140625" style="2" customWidth="1"/>
    <col min="16113" max="16113" width="16.7109375" style="2" bestFit="1" customWidth="1"/>
    <col min="16114" max="16114" width="16.42578125" style="2" customWidth="1"/>
    <col min="16115" max="16116" width="10.28515625" style="2" customWidth="1"/>
    <col min="16117" max="16117" width="13.140625" style="2" customWidth="1"/>
    <col min="16118" max="16366" width="8.85546875" style="2"/>
    <col min="16367" max="16384" width="10" style="2" customWidth="1"/>
  </cols>
  <sheetData>
    <row r="2" spans="1:1004" s="4" customFormat="1" ht="2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</row>
    <row r="3" spans="1:1004" s="4" customFormat="1" ht="15.7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</row>
    <row r="4" spans="1:1004" s="8" customFormat="1" ht="15">
      <c r="A4" s="6"/>
      <c r="B4" s="7"/>
      <c r="F4" s="9"/>
      <c r="G4" s="10"/>
      <c r="H4" s="10"/>
      <c r="I4" s="11"/>
      <c r="J4" s="12"/>
      <c r="K4" s="13">
        <f ca="1">TODAY()</f>
        <v>45356</v>
      </c>
      <c r="M4" s="14"/>
    </row>
    <row r="5" spans="1:1004" s="18" customFormat="1" ht="25.5">
      <c r="A5" s="15" t="s">
        <v>1</v>
      </c>
      <c r="B5" s="16" t="s">
        <v>2</v>
      </c>
      <c r="C5" s="16" t="s">
        <v>3</v>
      </c>
      <c r="D5" s="16" t="s">
        <v>4</v>
      </c>
      <c r="E5" s="17" t="s">
        <v>5</v>
      </c>
      <c r="F5" s="16" t="s">
        <v>6</v>
      </c>
      <c r="G5" s="16" t="s">
        <v>7</v>
      </c>
      <c r="H5" s="16" t="s">
        <v>3</v>
      </c>
      <c r="I5" s="16" t="s">
        <v>4</v>
      </c>
      <c r="J5" s="16" t="s">
        <v>5</v>
      </c>
      <c r="K5" s="16" t="s">
        <v>6</v>
      </c>
      <c r="M5" s="19"/>
    </row>
    <row r="6" spans="1:1004" s="25" customFormat="1" ht="15">
      <c r="A6" s="20"/>
      <c r="B6" s="21"/>
      <c r="C6" s="22"/>
      <c r="D6" s="22"/>
      <c r="E6" s="22"/>
      <c r="F6" s="22"/>
      <c r="G6" s="22"/>
      <c r="H6" s="22"/>
      <c r="I6" s="22"/>
      <c r="J6" s="22"/>
      <c r="K6" s="23"/>
      <c r="L6" s="20"/>
      <c r="M6" s="24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</row>
    <row r="7" spans="1:1004" s="35" customFormat="1" ht="19.5">
      <c r="A7" s="26" t="str">
        <f>IF(ISBLANK(D7),"",COUNTA(#REF!))</f>
        <v/>
      </c>
      <c r="B7" s="27"/>
      <c r="C7" s="28"/>
      <c r="D7" s="29"/>
      <c r="E7" s="30"/>
      <c r="F7" s="31"/>
      <c r="G7" s="29"/>
      <c r="H7" s="29"/>
      <c r="I7" s="32"/>
      <c r="J7" s="33"/>
      <c r="K7" s="34">
        <f>SUBTOTAL(9,F8:F71,K8:K71)</f>
        <v>721555.57179389533</v>
      </c>
      <c r="M7" s="36"/>
    </row>
    <row r="8" spans="1:1004" s="42" customFormat="1" ht="15.75">
      <c r="A8" s="37" t="str">
        <f>IF(ISBLANK(D8),"",COUNTA(D$8:D8))</f>
        <v/>
      </c>
      <c r="B8" s="38" t="s">
        <v>8</v>
      </c>
      <c r="C8" s="39"/>
      <c r="D8" s="39"/>
      <c r="E8" s="39"/>
      <c r="F8" s="40" t="str">
        <f t="shared" ref="F8:F71" si="0">IF(ISBLANK(D8),"",E8*D8)</f>
        <v/>
      </c>
      <c r="G8" s="40"/>
      <c r="H8" s="39"/>
      <c r="I8" s="41"/>
      <c r="J8" s="39"/>
      <c r="K8" s="40" t="str">
        <f t="shared" ref="K8:K71" si="1">IF(ISBLANK(I8),"",J8*I8)</f>
        <v/>
      </c>
      <c r="M8" s="43"/>
    </row>
    <row r="9" spans="1:1004" s="52" customFormat="1" ht="15">
      <c r="A9" s="44"/>
      <c r="B9" s="45"/>
      <c r="C9" s="46"/>
      <c r="D9" s="47"/>
      <c r="E9" s="46"/>
      <c r="F9" s="48" t="str">
        <f t="shared" si="0"/>
        <v/>
      </c>
      <c r="G9" s="49"/>
      <c r="H9" s="46"/>
      <c r="I9" s="47"/>
      <c r="J9" s="48"/>
      <c r="K9" s="48" t="str">
        <f t="shared" si="1"/>
        <v/>
      </c>
      <c r="L9" s="50"/>
      <c r="M9" s="51"/>
      <c r="N9" s="50"/>
      <c r="O9" s="50"/>
      <c r="P9" s="50"/>
    </row>
    <row r="10" spans="1:1004" s="52" customFormat="1" ht="16.5">
      <c r="A10" s="53">
        <f>IF(ISBLANK(D10),"",COUNTA(D$8:D10))</f>
        <v>1</v>
      </c>
      <c r="B10" s="54" t="s">
        <v>12</v>
      </c>
      <c r="C10" s="57" t="s">
        <v>13</v>
      </c>
      <c r="D10" s="56">
        <f>204.66</f>
        <v>204.66</v>
      </c>
      <c r="E10" s="57">
        <v>10</v>
      </c>
      <c r="F10" s="58">
        <f t="shared" si="0"/>
        <v>2046.6</v>
      </c>
      <c r="G10" s="58" t="s">
        <v>14</v>
      </c>
      <c r="H10" s="57" t="s">
        <v>15</v>
      </c>
      <c r="I10" s="57">
        <f>0.2*D10</f>
        <v>40.932000000000002</v>
      </c>
      <c r="J10" s="58">
        <f>946.33/10/1.3*1.1</f>
        <v>80.07407692307693</v>
      </c>
      <c r="K10" s="58">
        <f t="shared" si="1"/>
        <v>3277.5921166153853</v>
      </c>
      <c r="L10" s="50"/>
      <c r="M10" s="51"/>
      <c r="N10" s="50"/>
      <c r="O10" s="50"/>
      <c r="P10" s="50"/>
    </row>
    <row r="11" spans="1:1004" s="52" customFormat="1" ht="30">
      <c r="A11" s="53">
        <f>IF(ISBLANK(D11),"",COUNTA(D$8:D11))</f>
        <v>2</v>
      </c>
      <c r="B11" s="54" t="s">
        <v>40</v>
      </c>
      <c r="C11" s="57" t="s">
        <v>13</v>
      </c>
      <c r="D11" s="56">
        <f>D10</f>
        <v>204.66</v>
      </c>
      <c r="E11" s="57">
        <v>210</v>
      </c>
      <c r="F11" s="58">
        <f t="shared" si="0"/>
        <v>42978.6</v>
      </c>
      <c r="G11" s="58" t="s">
        <v>24</v>
      </c>
      <c r="H11" s="57" t="s">
        <v>25</v>
      </c>
      <c r="I11" s="57">
        <f>D11/3</f>
        <v>68.22</v>
      </c>
      <c r="J11" s="58">
        <f>35*1.1</f>
        <v>38.5</v>
      </c>
      <c r="K11" s="58">
        <f t="shared" si="1"/>
        <v>2626.47</v>
      </c>
      <c r="L11" s="50"/>
      <c r="M11" s="51"/>
      <c r="N11" s="50"/>
      <c r="O11" s="50"/>
      <c r="P11" s="50"/>
    </row>
    <row r="12" spans="1:1004" s="52" customFormat="1" ht="30">
      <c r="A12" s="53" t="str">
        <f>IF(ISBLANK(D12),"",COUNTA(D$8:D12))</f>
        <v/>
      </c>
      <c r="B12" s="54"/>
      <c r="C12" s="57"/>
      <c r="D12" s="56"/>
      <c r="E12" s="57"/>
      <c r="F12" s="58" t="str">
        <f t="shared" si="0"/>
        <v/>
      </c>
      <c r="G12" s="58" t="s">
        <v>10</v>
      </c>
      <c r="H12" s="57" t="s">
        <v>11</v>
      </c>
      <c r="I12" s="57">
        <f>12*D11*2.5</f>
        <v>6139.8</v>
      </c>
      <c r="J12" s="58">
        <f>316.1/25/1.3*1.1</f>
        <v>10.698769230769232</v>
      </c>
      <c r="K12" s="58">
        <f t="shared" si="1"/>
        <v>65688.303323076936</v>
      </c>
      <c r="L12" s="50"/>
      <c r="M12" s="61" t="s">
        <v>26</v>
      </c>
      <c r="N12" s="50"/>
      <c r="O12" s="50"/>
      <c r="P12" s="50"/>
    </row>
    <row r="13" spans="1:1004" s="52" customFormat="1" ht="30">
      <c r="A13" s="53"/>
      <c r="B13" s="54"/>
      <c r="C13" s="57"/>
      <c r="D13" s="56"/>
      <c r="E13" s="57"/>
      <c r="F13" s="58"/>
      <c r="G13" s="58" t="s">
        <v>27</v>
      </c>
      <c r="H13" s="57" t="s">
        <v>25</v>
      </c>
      <c r="I13" s="57">
        <v>4</v>
      </c>
      <c r="J13" s="58">
        <f>340*1.2</f>
        <v>408</v>
      </c>
      <c r="K13" s="58">
        <f t="shared" si="1"/>
        <v>1632</v>
      </c>
      <c r="L13" s="50"/>
      <c r="M13" s="51"/>
      <c r="N13" s="50"/>
      <c r="O13" s="50"/>
      <c r="P13" s="50"/>
    </row>
    <row r="14" spans="1:1004" s="52" customFormat="1" ht="18">
      <c r="A14" s="53"/>
      <c r="B14" s="54"/>
      <c r="C14" s="57"/>
      <c r="D14" s="56"/>
      <c r="E14" s="57"/>
      <c r="F14" s="58"/>
      <c r="G14" s="58" t="s">
        <v>18</v>
      </c>
      <c r="H14" s="57" t="s">
        <v>19</v>
      </c>
      <c r="I14" s="57">
        <f>D11*1.04</f>
        <v>212.84640000000002</v>
      </c>
      <c r="J14" s="58">
        <f>81.72/1.3*1.1</f>
        <v>69.14769230769231</v>
      </c>
      <c r="K14" s="58">
        <f t="shared" ref="K14:K16" si="2">J14*I14</f>
        <v>14717.837376000001</v>
      </c>
      <c r="L14" s="50"/>
      <c r="M14" s="51"/>
      <c r="N14" s="50"/>
      <c r="O14" s="50"/>
      <c r="P14" s="50"/>
    </row>
    <row r="15" spans="1:1004" s="52" customFormat="1" ht="15">
      <c r="A15" s="53"/>
      <c r="B15" s="54"/>
      <c r="C15" s="57"/>
      <c r="D15" s="56"/>
      <c r="E15" s="57"/>
      <c r="F15" s="58"/>
      <c r="G15" s="58" t="s">
        <v>20</v>
      </c>
      <c r="H15" s="57" t="s">
        <v>21</v>
      </c>
      <c r="I15" s="57">
        <f>0.08*D11</f>
        <v>16.372800000000002</v>
      </c>
      <c r="J15" s="58">
        <f>47.4*1.1</f>
        <v>52.14</v>
      </c>
      <c r="K15" s="58">
        <f t="shared" si="2"/>
        <v>853.67779200000007</v>
      </c>
      <c r="L15" s="50"/>
      <c r="M15" s="51"/>
      <c r="N15" s="50"/>
      <c r="O15" s="50"/>
      <c r="P15" s="50"/>
    </row>
    <row r="16" spans="1:1004" s="52" customFormat="1" ht="15">
      <c r="A16" s="53"/>
      <c r="B16" s="54"/>
      <c r="C16" s="57"/>
      <c r="D16" s="56"/>
      <c r="E16" s="57"/>
      <c r="F16" s="58"/>
      <c r="G16" s="58" t="s">
        <v>22</v>
      </c>
      <c r="H16" s="57" t="s">
        <v>23</v>
      </c>
      <c r="I16" s="57">
        <f>ROUNDUP(8*I14,0)</f>
        <v>1703</v>
      </c>
      <c r="J16" s="58">
        <f>15.4/15*1.1</f>
        <v>1.1293333333333333</v>
      </c>
      <c r="K16" s="58">
        <f t="shared" si="2"/>
        <v>1923.2546666666667</v>
      </c>
      <c r="L16" s="50"/>
      <c r="M16" s="51"/>
      <c r="N16" s="50"/>
      <c r="O16" s="50"/>
      <c r="P16" s="50"/>
    </row>
    <row r="17" spans="1:16" s="52" customFormat="1" ht="15">
      <c r="A17" s="53">
        <f>IF(ISBLANK(D17),"",COUNTA(D$8:D17))</f>
        <v>3</v>
      </c>
      <c r="B17" s="54" t="s">
        <v>28</v>
      </c>
      <c r="C17" s="55" t="s">
        <v>9</v>
      </c>
      <c r="D17" s="56">
        <f>184.24-55+4*3.3</f>
        <v>142.44</v>
      </c>
      <c r="E17" s="57">
        <v>10</v>
      </c>
      <c r="F17" s="58">
        <f t="shared" si="0"/>
        <v>1424.4</v>
      </c>
      <c r="G17" s="58" t="s">
        <v>14</v>
      </c>
      <c r="H17" s="57" t="s">
        <v>15</v>
      </c>
      <c r="I17" s="57">
        <f>0.2*D17</f>
        <v>28.488</v>
      </c>
      <c r="J17" s="58">
        <f>946.33/10/1.3*1.1</f>
        <v>80.07407692307693</v>
      </c>
      <c r="K17" s="58">
        <f t="shared" si="1"/>
        <v>2281.1503033846157</v>
      </c>
      <c r="L17" s="50"/>
      <c r="M17" s="51"/>
      <c r="N17" s="50"/>
      <c r="O17" s="50"/>
      <c r="P17" s="50"/>
    </row>
    <row r="18" spans="1:16" s="52" customFormat="1" ht="30">
      <c r="A18" s="53">
        <f>IF(ISBLANK(D18),"",COUNTA(D$8:D18))</f>
        <v>4</v>
      </c>
      <c r="B18" s="54" t="s">
        <v>29</v>
      </c>
      <c r="C18" s="55" t="s">
        <v>9</v>
      </c>
      <c r="D18" s="56">
        <f>D17</f>
        <v>142.44</v>
      </c>
      <c r="E18" s="57">
        <v>150</v>
      </c>
      <c r="F18" s="58">
        <f t="shared" si="0"/>
        <v>21366</v>
      </c>
      <c r="G18" s="58" t="s">
        <v>30</v>
      </c>
      <c r="H18" s="57" t="s">
        <v>25</v>
      </c>
      <c r="I18" s="57">
        <f>D18/3*1.1</f>
        <v>52.228000000000002</v>
      </c>
      <c r="J18" s="58">
        <f>48*1.1</f>
        <v>52.800000000000004</v>
      </c>
      <c r="K18" s="58">
        <f t="shared" si="1"/>
        <v>2757.6384000000003</v>
      </c>
      <c r="L18" s="50"/>
      <c r="M18" s="51"/>
      <c r="N18" s="50"/>
      <c r="O18" s="50"/>
      <c r="P18" s="50"/>
    </row>
    <row r="19" spans="1:16" s="52" customFormat="1" ht="15">
      <c r="A19" s="53"/>
      <c r="B19" s="54"/>
      <c r="C19" s="55"/>
      <c r="D19" s="60"/>
      <c r="E19" s="57"/>
      <c r="F19" s="58"/>
      <c r="G19" s="58" t="s">
        <v>31</v>
      </c>
      <c r="H19" s="57" t="s">
        <v>25</v>
      </c>
      <c r="I19" s="57">
        <f>ROUNDUP(123*1.2/2.4,0)</f>
        <v>62</v>
      </c>
      <c r="J19" s="58">
        <f>75*1.2</f>
        <v>90</v>
      </c>
      <c r="K19" s="58">
        <f t="shared" si="1"/>
        <v>5580</v>
      </c>
      <c r="L19" s="50"/>
      <c r="M19" s="51"/>
      <c r="N19" s="50"/>
      <c r="O19" s="50"/>
      <c r="P19" s="50"/>
    </row>
    <row r="20" spans="1:16" s="52" customFormat="1" ht="18">
      <c r="A20" s="53"/>
      <c r="B20" s="54"/>
      <c r="C20" s="55"/>
      <c r="D20" s="60"/>
      <c r="E20" s="57"/>
      <c r="F20" s="58"/>
      <c r="G20" s="58" t="s">
        <v>18</v>
      </c>
      <c r="H20" s="57" t="s">
        <v>19</v>
      </c>
      <c r="I20" s="57">
        <f>D18*1.04</f>
        <v>148.13759999999999</v>
      </c>
      <c r="J20" s="58">
        <f>81.72/1.3*1.1</f>
        <v>69.14769230769231</v>
      </c>
      <c r="K20" s="58">
        <f t="shared" ref="K20" si="3">J20*I20</f>
        <v>10243.373184</v>
      </c>
      <c r="L20" s="50"/>
      <c r="M20" s="51"/>
      <c r="N20" s="50"/>
      <c r="O20" s="50"/>
      <c r="P20" s="50"/>
    </row>
    <row r="21" spans="1:16" s="52" customFormat="1" ht="15">
      <c r="A21" s="53"/>
      <c r="B21" s="54"/>
      <c r="C21" s="55"/>
      <c r="D21" s="60"/>
      <c r="E21" s="57"/>
      <c r="F21" s="58"/>
      <c r="G21" s="58" t="s">
        <v>20</v>
      </c>
      <c r="H21" s="57" t="s">
        <v>21</v>
      </c>
      <c r="I21" s="57">
        <f>0.08*I20</f>
        <v>11.851008</v>
      </c>
      <c r="J21" s="58">
        <f>47.4*1.1</f>
        <v>52.14</v>
      </c>
      <c r="K21" s="58">
        <f t="shared" si="1"/>
        <v>617.91155712</v>
      </c>
      <c r="L21" s="50"/>
      <c r="M21" s="3"/>
      <c r="N21" s="50"/>
      <c r="O21" s="50"/>
      <c r="P21" s="50"/>
    </row>
    <row r="22" spans="1:16" s="52" customFormat="1" ht="15">
      <c r="A22" s="53"/>
      <c r="B22" s="54"/>
      <c r="C22" s="55"/>
      <c r="D22" s="60"/>
      <c r="E22" s="57"/>
      <c r="F22" s="58"/>
      <c r="G22" s="58" t="s">
        <v>22</v>
      </c>
      <c r="H22" s="57" t="s">
        <v>23</v>
      </c>
      <c r="I22" s="57">
        <f>ROUNDUP(8*I20,0)</f>
        <v>1186</v>
      </c>
      <c r="J22" s="58">
        <f>15.4/15*1.1</f>
        <v>1.1293333333333333</v>
      </c>
      <c r="K22" s="58">
        <f t="shared" si="1"/>
        <v>1339.3893333333333</v>
      </c>
      <c r="L22" s="50"/>
      <c r="M22" s="3"/>
      <c r="N22" s="50"/>
      <c r="O22" s="50"/>
      <c r="P22" s="50"/>
    </row>
    <row r="23" spans="1:16" s="52" customFormat="1" ht="30">
      <c r="A23" s="53" t="str">
        <f>IF(ISBLANK(D23),"",COUNTA(D$8:D23))</f>
        <v/>
      </c>
      <c r="B23" s="54"/>
      <c r="C23" s="57"/>
      <c r="D23" s="60"/>
      <c r="E23" s="57"/>
      <c r="F23" s="58" t="str">
        <f t="shared" si="0"/>
        <v/>
      </c>
      <c r="G23" s="58" t="s">
        <v>10</v>
      </c>
      <c r="H23" s="57" t="s">
        <v>11</v>
      </c>
      <c r="I23" s="57">
        <f>12*D18*2.5*0.5</f>
        <v>2136.6</v>
      </c>
      <c r="J23" s="58">
        <f>316.1/25/1.3*1.1</f>
        <v>10.698769230769232</v>
      </c>
      <c r="K23" s="58">
        <f t="shared" si="1"/>
        <v>22858.990338461539</v>
      </c>
      <c r="L23" s="50"/>
      <c r="M23" s="51"/>
      <c r="N23" s="50"/>
      <c r="O23" s="50"/>
      <c r="P23" s="50"/>
    </row>
    <row r="24" spans="1:16" s="52" customFormat="1" ht="16.5">
      <c r="A24" s="53">
        <f>IF(ISBLANK(D24),"",COUNTA(D$8:D24))</f>
        <v>5</v>
      </c>
      <c r="B24" s="54" t="s">
        <v>32</v>
      </c>
      <c r="C24" s="57" t="s">
        <v>13</v>
      </c>
      <c r="D24" s="56">
        <f>143.18</f>
        <v>143.18</v>
      </c>
      <c r="E24" s="57">
        <v>10</v>
      </c>
      <c r="F24" s="58">
        <f t="shared" si="0"/>
        <v>1431.8000000000002</v>
      </c>
      <c r="G24" s="58" t="s">
        <v>14</v>
      </c>
      <c r="H24" s="57" t="s">
        <v>15</v>
      </c>
      <c r="I24" s="57">
        <f>0.2*D24</f>
        <v>28.636000000000003</v>
      </c>
      <c r="J24" s="58">
        <f>946.33/10/1.3*1.1</f>
        <v>80.07407692307693</v>
      </c>
      <c r="K24" s="58">
        <f t="shared" si="1"/>
        <v>2293.0012667692313</v>
      </c>
      <c r="L24" s="50"/>
      <c r="M24" s="3"/>
      <c r="N24" s="50"/>
      <c r="O24" s="50"/>
      <c r="P24" s="50"/>
    </row>
    <row r="25" spans="1:16" s="52" customFormat="1" ht="18">
      <c r="A25" s="53">
        <f>IF(ISBLANK(D25),"",COUNTA(D$8:D25))</f>
        <v>6</v>
      </c>
      <c r="B25" s="54" t="s">
        <v>16</v>
      </c>
      <c r="C25" s="57" t="s">
        <v>17</v>
      </c>
      <c r="D25" s="56">
        <f>D24</f>
        <v>143.18</v>
      </c>
      <c r="E25" s="57">
        <v>60</v>
      </c>
      <c r="F25" s="58">
        <f t="shared" si="0"/>
        <v>8590.8000000000011</v>
      </c>
      <c r="G25" s="58" t="s">
        <v>18</v>
      </c>
      <c r="H25" s="57" t="s">
        <v>19</v>
      </c>
      <c r="I25" s="57">
        <f>D25*1.04</f>
        <v>148.90720000000002</v>
      </c>
      <c r="J25" s="58">
        <f>81.72/1.3*1.1</f>
        <v>69.14769230769231</v>
      </c>
      <c r="K25" s="58">
        <f t="shared" ref="K25:K27" si="4">J25*I25</f>
        <v>10296.589248000002</v>
      </c>
      <c r="L25" s="50"/>
      <c r="M25" s="3"/>
      <c r="N25" s="50"/>
      <c r="O25" s="50"/>
      <c r="P25" s="50"/>
    </row>
    <row r="26" spans="1:16" s="52" customFormat="1" ht="15">
      <c r="A26" s="53"/>
      <c r="B26" s="54"/>
      <c r="C26" s="57"/>
      <c r="D26" s="56"/>
      <c r="E26" s="57"/>
      <c r="F26" s="58"/>
      <c r="G26" s="58" t="s">
        <v>20</v>
      </c>
      <c r="H26" s="57" t="s">
        <v>21</v>
      </c>
      <c r="I26" s="57">
        <f>0.08*I25</f>
        <v>11.912576000000001</v>
      </c>
      <c r="J26" s="58">
        <f>47.4*1.1</f>
        <v>52.14</v>
      </c>
      <c r="K26" s="58">
        <f t="shared" si="4"/>
        <v>621.12171264000006</v>
      </c>
      <c r="L26" s="50"/>
      <c r="M26" s="3"/>
      <c r="N26" s="50"/>
      <c r="O26" s="50"/>
      <c r="P26" s="50"/>
    </row>
    <row r="27" spans="1:16" s="52" customFormat="1" ht="15">
      <c r="A27" s="53"/>
      <c r="B27" s="54"/>
      <c r="C27" s="57"/>
      <c r="D27" s="56"/>
      <c r="E27" s="57"/>
      <c r="F27" s="58"/>
      <c r="G27" s="58" t="s">
        <v>22</v>
      </c>
      <c r="H27" s="57" t="s">
        <v>23</v>
      </c>
      <c r="I27" s="57">
        <f>ROUNDUP(8*I25,0)</f>
        <v>1192</v>
      </c>
      <c r="J27" s="58">
        <f>15.4/15*1.1</f>
        <v>1.1293333333333333</v>
      </c>
      <c r="K27" s="58">
        <f t="shared" si="4"/>
        <v>1346.1653333333334</v>
      </c>
      <c r="L27" s="50"/>
      <c r="M27" s="3"/>
      <c r="N27" s="50"/>
      <c r="O27" s="50"/>
      <c r="P27" s="50"/>
    </row>
    <row r="28" spans="1:16" s="52" customFormat="1" ht="30">
      <c r="A28" s="53">
        <f>IF(ISBLANK(D28),"",COUNTA(D$8:D28))</f>
        <v>7</v>
      </c>
      <c r="B28" s="54" t="s">
        <v>41</v>
      </c>
      <c r="C28" s="57" t="s">
        <v>13</v>
      </c>
      <c r="D28" s="56">
        <f>D24</f>
        <v>143.18</v>
      </c>
      <c r="E28" s="57">
        <v>150</v>
      </c>
      <c r="F28" s="58">
        <f t="shared" si="0"/>
        <v>21477</v>
      </c>
      <c r="G28" s="58" t="s">
        <v>24</v>
      </c>
      <c r="H28" s="57" t="s">
        <v>25</v>
      </c>
      <c r="I28" s="57">
        <f>D28/3</f>
        <v>47.726666666666667</v>
      </c>
      <c r="J28" s="58">
        <f>35*1.1</f>
        <v>38.5</v>
      </c>
      <c r="K28" s="58">
        <f t="shared" si="1"/>
        <v>1837.4766666666667</v>
      </c>
      <c r="L28" s="50"/>
      <c r="N28" s="50"/>
      <c r="O28" s="50"/>
      <c r="P28" s="50"/>
    </row>
    <row r="29" spans="1:16" s="52" customFormat="1" ht="30">
      <c r="A29" s="53" t="str">
        <f>IF(ISBLANK(D29),"",COUNTA(D$8:D29))</f>
        <v/>
      </c>
      <c r="B29" s="54"/>
      <c r="C29" s="57"/>
      <c r="D29" s="56"/>
      <c r="E29" s="57"/>
      <c r="F29" s="58" t="str">
        <f t="shared" si="0"/>
        <v/>
      </c>
      <c r="G29" s="58" t="s">
        <v>33</v>
      </c>
      <c r="H29" s="57" t="s">
        <v>11</v>
      </c>
      <c r="I29" s="57">
        <f>D28*1.4*25</f>
        <v>5011.3</v>
      </c>
      <c r="J29" s="58">
        <f>174.47/25/1.3*1.1</f>
        <v>5.9051384615384617</v>
      </c>
      <c r="K29" s="58">
        <f t="shared" si="1"/>
        <v>29592.420372307693</v>
      </c>
      <c r="L29" s="50"/>
      <c r="M29" s="3"/>
      <c r="N29" s="50"/>
      <c r="O29" s="50"/>
      <c r="P29" s="50"/>
    </row>
    <row r="30" spans="1:16" s="52" customFormat="1" ht="18">
      <c r="A30" s="53"/>
      <c r="B30" s="54"/>
      <c r="C30" s="57"/>
      <c r="D30" s="56"/>
      <c r="E30" s="57"/>
      <c r="F30" s="58"/>
      <c r="G30" s="58" t="s">
        <v>18</v>
      </c>
      <c r="H30" s="57" t="s">
        <v>19</v>
      </c>
      <c r="I30" s="57">
        <f>D28*1.04</f>
        <v>148.90720000000002</v>
      </c>
      <c r="J30" s="58">
        <f>81.72/1.3*1.1</f>
        <v>69.14769230769231</v>
      </c>
      <c r="K30" s="58">
        <f t="shared" ref="K30:K32" si="5">J30*I30</f>
        <v>10296.589248000002</v>
      </c>
      <c r="L30" s="50"/>
      <c r="M30" s="3"/>
      <c r="N30" s="50"/>
      <c r="O30" s="50"/>
      <c r="P30" s="50"/>
    </row>
    <row r="31" spans="1:16" s="52" customFormat="1" ht="15">
      <c r="A31" s="53"/>
      <c r="B31" s="54"/>
      <c r="C31" s="57"/>
      <c r="D31" s="56"/>
      <c r="E31" s="57"/>
      <c r="F31" s="58"/>
      <c r="G31" s="58" t="s">
        <v>20</v>
      </c>
      <c r="H31" s="57" t="s">
        <v>21</v>
      </c>
      <c r="I31" s="57">
        <f>0.08*D28</f>
        <v>11.454400000000001</v>
      </c>
      <c r="J31" s="58">
        <f>47.4*1.1</f>
        <v>52.14</v>
      </c>
      <c r="K31" s="58">
        <f t="shared" si="5"/>
        <v>597.23241600000006</v>
      </c>
      <c r="L31" s="50"/>
      <c r="M31" s="3"/>
      <c r="N31" s="50"/>
      <c r="O31" s="50"/>
      <c r="P31" s="50"/>
    </row>
    <row r="32" spans="1:16" s="52" customFormat="1" ht="15">
      <c r="A32" s="53"/>
      <c r="B32" s="54"/>
      <c r="C32" s="57"/>
      <c r="D32" s="56"/>
      <c r="E32" s="57"/>
      <c r="F32" s="58"/>
      <c r="G32" s="58" t="s">
        <v>22</v>
      </c>
      <c r="H32" s="57" t="s">
        <v>23</v>
      </c>
      <c r="I32" s="57">
        <f>ROUNDUP(8*I30,0)</f>
        <v>1192</v>
      </c>
      <c r="J32" s="58">
        <f>15.4/15*1.1</f>
        <v>1.1293333333333333</v>
      </c>
      <c r="K32" s="58">
        <f t="shared" si="5"/>
        <v>1346.1653333333334</v>
      </c>
      <c r="L32" s="50"/>
      <c r="M32" s="3"/>
      <c r="N32" s="50"/>
      <c r="O32" s="50"/>
      <c r="P32" s="50"/>
    </row>
    <row r="33" spans="1:16" s="52" customFormat="1" ht="15">
      <c r="A33" s="53">
        <f>IF(ISBLANK(D33),"",COUNTA(D$8:D33))</f>
        <v>8</v>
      </c>
      <c r="B33" s="54" t="s">
        <v>34</v>
      </c>
      <c r="C33" s="55" t="s">
        <v>9</v>
      </c>
      <c r="D33" s="56">
        <f>55</f>
        <v>55</v>
      </c>
      <c r="E33" s="57">
        <v>10</v>
      </c>
      <c r="F33" s="58">
        <f t="shared" si="0"/>
        <v>550</v>
      </c>
      <c r="G33" s="58" t="s">
        <v>14</v>
      </c>
      <c r="H33" s="57" t="s">
        <v>15</v>
      </c>
      <c r="I33" s="57">
        <f>0.2*D33</f>
        <v>11</v>
      </c>
      <c r="J33" s="58">
        <f>946.33/10/1.3*1.1</f>
        <v>80.07407692307693</v>
      </c>
      <c r="K33" s="58">
        <f t="shared" si="1"/>
        <v>880.81484615384625</v>
      </c>
      <c r="L33" s="50"/>
      <c r="M33" s="3"/>
      <c r="N33" s="50"/>
      <c r="O33" s="50"/>
      <c r="P33" s="50"/>
    </row>
    <row r="34" spans="1:16" s="52" customFormat="1" ht="15">
      <c r="A34" s="53">
        <f>IF(ISBLANK(D34),"",COUNTA(D$8:D34))</f>
        <v>9</v>
      </c>
      <c r="B34" s="54" t="s">
        <v>35</v>
      </c>
      <c r="C34" s="55" t="s">
        <v>9</v>
      </c>
      <c r="D34" s="56">
        <f>D33</f>
        <v>55</v>
      </c>
      <c r="E34" s="57">
        <f>E28</f>
        <v>150</v>
      </c>
      <c r="F34" s="58">
        <f t="shared" si="0"/>
        <v>8250</v>
      </c>
      <c r="G34" s="58" t="s">
        <v>30</v>
      </c>
      <c r="H34" s="57" t="s">
        <v>25</v>
      </c>
      <c r="I34" s="57">
        <f>D34/3*1.1</f>
        <v>20.166666666666668</v>
      </c>
      <c r="J34" s="58">
        <f>48*1.1</f>
        <v>52.800000000000004</v>
      </c>
      <c r="K34" s="58">
        <f t="shared" si="1"/>
        <v>1064.8000000000002</v>
      </c>
      <c r="L34" s="50"/>
      <c r="M34" s="3"/>
      <c r="N34" s="50"/>
      <c r="O34" s="50"/>
      <c r="P34" s="50"/>
    </row>
    <row r="35" spans="1:16" s="52" customFormat="1" ht="15">
      <c r="A35" s="53"/>
      <c r="B35" s="54"/>
      <c r="C35" s="55"/>
      <c r="D35" s="60"/>
      <c r="E35" s="57"/>
      <c r="F35" s="58"/>
      <c r="G35" s="58" t="s">
        <v>31</v>
      </c>
      <c r="H35" s="57" t="s">
        <v>25</v>
      </c>
      <c r="I35" s="57">
        <f>ROUNDUP(17*1.2/2.4,0)</f>
        <v>9</v>
      </c>
      <c r="J35" s="58">
        <f>75*1.2</f>
        <v>90</v>
      </c>
      <c r="K35" s="58">
        <f t="shared" si="1"/>
        <v>810</v>
      </c>
      <c r="L35" s="50"/>
      <c r="M35" s="3"/>
      <c r="N35" s="50"/>
      <c r="O35" s="50"/>
      <c r="P35" s="50"/>
    </row>
    <row r="36" spans="1:16" s="52" customFormat="1" ht="18">
      <c r="A36" s="53"/>
      <c r="B36" s="54"/>
      <c r="C36" s="55"/>
      <c r="D36" s="60"/>
      <c r="E36" s="57"/>
      <c r="F36" s="58"/>
      <c r="G36" s="58" t="s">
        <v>18</v>
      </c>
      <c r="H36" s="57" t="s">
        <v>19</v>
      </c>
      <c r="I36" s="57">
        <f>D34*1.04</f>
        <v>57.2</v>
      </c>
      <c r="J36" s="58">
        <f>81.72/1.3*1.1</f>
        <v>69.14769230769231</v>
      </c>
      <c r="K36" s="58">
        <f t="shared" ref="K36" si="6">J36*I36</f>
        <v>3955.2480000000005</v>
      </c>
      <c r="L36" s="50"/>
      <c r="M36" s="3"/>
      <c r="N36" s="50"/>
      <c r="O36" s="50"/>
      <c r="P36" s="50"/>
    </row>
    <row r="37" spans="1:16" s="52" customFormat="1" ht="15">
      <c r="A37" s="53"/>
      <c r="B37" s="54"/>
      <c r="C37" s="55"/>
      <c r="D37" s="60"/>
      <c r="E37" s="57"/>
      <c r="F37" s="58"/>
      <c r="G37" s="58" t="s">
        <v>20</v>
      </c>
      <c r="H37" s="57" t="s">
        <v>21</v>
      </c>
      <c r="I37" s="57">
        <f>0.08*I36</f>
        <v>4.5760000000000005</v>
      </c>
      <c r="J37" s="58">
        <f>47.4*1.1</f>
        <v>52.14</v>
      </c>
      <c r="K37" s="58">
        <f t="shared" si="1"/>
        <v>238.59264000000002</v>
      </c>
      <c r="L37" s="50"/>
      <c r="M37" s="3"/>
      <c r="N37" s="50"/>
      <c r="O37" s="50"/>
      <c r="P37" s="50"/>
    </row>
    <row r="38" spans="1:16" s="52" customFormat="1" ht="15">
      <c r="A38" s="53"/>
      <c r="B38" s="54"/>
      <c r="C38" s="55"/>
      <c r="D38" s="60"/>
      <c r="E38" s="57"/>
      <c r="F38" s="58"/>
      <c r="G38" s="58" t="s">
        <v>22</v>
      </c>
      <c r="H38" s="57" t="s">
        <v>23</v>
      </c>
      <c r="I38" s="57">
        <f>ROUNDUP(8*I36,0)</f>
        <v>458</v>
      </c>
      <c r="J38" s="58">
        <f>15.4/15*1.1</f>
        <v>1.1293333333333333</v>
      </c>
      <c r="K38" s="58">
        <f t="shared" si="1"/>
        <v>517.23466666666661</v>
      </c>
      <c r="L38" s="50"/>
      <c r="M38" s="3"/>
      <c r="N38" s="50"/>
      <c r="O38" s="50"/>
      <c r="P38" s="50"/>
    </row>
    <row r="39" spans="1:16" s="52" customFormat="1" ht="30">
      <c r="A39" s="53" t="str">
        <f>IF(ISBLANK(D39),"",COUNTA(D$8:D39))</f>
        <v/>
      </c>
      <c r="B39" s="54"/>
      <c r="C39" s="57"/>
      <c r="D39" s="60"/>
      <c r="E39" s="57"/>
      <c r="F39" s="58" t="str">
        <f t="shared" si="0"/>
        <v/>
      </c>
      <c r="G39" s="58" t="s">
        <v>33</v>
      </c>
      <c r="H39" s="57" t="s">
        <v>11</v>
      </c>
      <c r="I39" s="57">
        <f>D34*1.4*25*0.5</f>
        <v>962.5</v>
      </c>
      <c r="J39" s="58">
        <f>174.47/25/1.3*1.1</f>
        <v>5.9051384615384617</v>
      </c>
      <c r="K39" s="58">
        <f t="shared" si="1"/>
        <v>5683.6957692307697</v>
      </c>
      <c r="L39" s="50"/>
      <c r="M39" s="3">
        <f>278.48+223.27+84.96+38.37+174.88+167.54+61.04+32.56</f>
        <v>1061.0999999999999</v>
      </c>
      <c r="N39" s="50"/>
      <c r="O39" s="50"/>
      <c r="P39" s="50"/>
    </row>
    <row r="40" spans="1:16" s="42" customFormat="1" ht="15">
      <c r="A40" s="62" t="str">
        <f>IF(ISBLANK(D40),"",COUNTA(D$8:D40))</f>
        <v/>
      </c>
      <c r="B40" s="63" t="s">
        <v>36</v>
      </c>
      <c r="C40" s="64"/>
      <c r="D40" s="65"/>
      <c r="E40" s="64"/>
      <c r="F40" s="66" t="str">
        <f t="shared" si="0"/>
        <v/>
      </c>
      <c r="G40" s="62"/>
      <c r="H40" s="63"/>
      <c r="I40" s="64"/>
      <c r="J40" s="64"/>
      <c r="K40" s="64" t="str">
        <f t="shared" si="1"/>
        <v/>
      </c>
      <c r="M40" s="67"/>
    </row>
    <row r="41" spans="1:16" s="52" customFormat="1" ht="15">
      <c r="A41" s="53"/>
      <c r="B41" s="54"/>
      <c r="C41" s="57"/>
      <c r="D41" s="60"/>
      <c r="E41" s="57"/>
      <c r="F41" s="58" t="str">
        <f t="shared" si="0"/>
        <v/>
      </c>
      <c r="G41" s="58"/>
      <c r="H41" s="57"/>
      <c r="I41" s="57"/>
      <c r="J41" s="58"/>
      <c r="K41" s="58" t="str">
        <f t="shared" si="1"/>
        <v/>
      </c>
      <c r="L41" s="50"/>
      <c r="M41" s="3"/>
      <c r="N41" s="50"/>
      <c r="O41" s="50"/>
      <c r="P41" s="50"/>
    </row>
    <row r="42" spans="1:16" s="52" customFormat="1" ht="16.5">
      <c r="A42" s="53">
        <f>IF(ISBLANK(D42),"",COUNTA(D$8:D42))</f>
        <v>10</v>
      </c>
      <c r="B42" s="54" t="s">
        <v>12</v>
      </c>
      <c r="C42" s="57" t="s">
        <v>13</v>
      </c>
      <c r="D42" s="56">
        <f>390.74</f>
        <v>390.74</v>
      </c>
      <c r="E42" s="57">
        <v>10</v>
      </c>
      <c r="F42" s="58">
        <f t="shared" si="0"/>
        <v>3907.4</v>
      </c>
      <c r="G42" s="58" t="s">
        <v>14</v>
      </c>
      <c r="H42" s="57" t="s">
        <v>15</v>
      </c>
      <c r="I42" s="57">
        <f>0.2*D42</f>
        <v>78.14800000000001</v>
      </c>
      <c r="J42" s="58">
        <f>946.33/10/1.3*1.1</f>
        <v>80.07407692307693</v>
      </c>
      <c r="K42" s="58">
        <f t="shared" si="1"/>
        <v>6257.6289633846163</v>
      </c>
      <c r="L42" s="50"/>
      <c r="M42" s="3"/>
      <c r="N42" s="50"/>
      <c r="O42" s="50"/>
      <c r="P42" s="50"/>
    </row>
    <row r="43" spans="1:16" s="52" customFormat="1" ht="30">
      <c r="A43" s="53">
        <f>IF(ISBLANK(D43),"",COUNTA(D$8:D43))</f>
        <v>11</v>
      </c>
      <c r="B43" s="54" t="s">
        <v>40</v>
      </c>
      <c r="C43" s="57" t="s">
        <v>13</v>
      </c>
      <c r="D43" s="56">
        <f>D42</f>
        <v>390.74</v>
      </c>
      <c r="E43" s="57">
        <f>E11</f>
        <v>210</v>
      </c>
      <c r="F43" s="58">
        <f t="shared" ref="F43:F56" si="7">IF(ISBLANK(D43),"",E43*D43)</f>
        <v>82055.400000000009</v>
      </c>
      <c r="G43" s="58" t="s">
        <v>24</v>
      </c>
      <c r="H43" s="57" t="s">
        <v>25</v>
      </c>
      <c r="I43" s="57">
        <f>D43/3</f>
        <v>130.24666666666667</v>
      </c>
      <c r="J43" s="58">
        <f>35*1.1</f>
        <v>38.5</v>
      </c>
      <c r="K43" s="58">
        <f t="shared" ref="K43:K56" si="8">IF(ISBLANK(I43),"",J43*I43)</f>
        <v>5014.4966666666669</v>
      </c>
      <c r="L43" s="50"/>
      <c r="M43" s="3"/>
      <c r="N43" s="50"/>
      <c r="O43" s="50"/>
      <c r="P43" s="50"/>
    </row>
    <row r="44" spans="1:16" s="52" customFormat="1" ht="30">
      <c r="A44" s="53" t="str">
        <f>IF(ISBLANK(D44),"",COUNTA(D$8:D44))</f>
        <v/>
      </c>
      <c r="B44" s="54"/>
      <c r="C44" s="57"/>
      <c r="D44" s="60"/>
      <c r="E44" s="57"/>
      <c r="F44" s="58" t="str">
        <f t="shared" si="7"/>
        <v/>
      </c>
      <c r="G44" s="58" t="s">
        <v>10</v>
      </c>
      <c r="H44" s="57" t="s">
        <v>11</v>
      </c>
      <c r="I44" s="57">
        <f>12*D43*2.5</f>
        <v>11722.2</v>
      </c>
      <c r="J44" s="58">
        <f>316.1/25/1.3*1.1</f>
        <v>10.698769230769232</v>
      </c>
      <c r="K44" s="58">
        <f t="shared" si="8"/>
        <v>125413.11267692309</v>
      </c>
      <c r="L44" s="50"/>
      <c r="M44" s="51"/>
      <c r="N44" s="50"/>
      <c r="O44" s="50"/>
      <c r="P44" s="50"/>
    </row>
    <row r="45" spans="1:16" s="52" customFormat="1" ht="30">
      <c r="A45" s="53"/>
      <c r="B45" s="54"/>
      <c r="C45" s="57"/>
      <c r="D45" s="56"/>
      <c r="E45" s="57"/>
      <c r="F45" s="58"/>
      <c r="G45" s="58" t="s">
        <v>27</v>
      </c>
      <c r="H45" s="57" t="s">
        <v>25</v>
      </c>
      <c r="I45" s="57">
        <v>3</v>
      </c>
      <c r="J45" s="58">
        <f>340*1.2</f>
        <v>408</v>
      </c>
      <c r="K45" s="58">
        <f t="shared" si="8"/>
        <v>1224</v>
      </c>
      <c r="L45" s="50"/>
      <c r="M45" s="3"/>
      <c r="N45" s="50"/>
      <c r="O45" s="50"/>
      <c r="P45" s="50"/>
    </row>
    <row r="46" spans="1:16" s="52" customFormat="1" ht="18">
      <c r="A46" s="53"/>
      <c r="B46" s="54"/>
      <c r="C46" s="57"/>
      <c r="D46" s="56"/>
      <c r="E46" s="57"/>
      <c r="F46" s="58"/>
      <c r="G46" s="58" t="s">
        <v>18</v>
      </c>
      <c r="H46" s="57" t="s">
        <v>19</v>
      </c>
      <c r="I46" s="57">
        <f>D43*1.04</f>
        <v>406.36960000000005</v>
      </c>
      <c r="J46" s="58">
        <f>81.72/1.3*1.1</f>
        <v>69.14769230769231</v>
      </c>
      <c r="K46" s="58">
        <f t="shared" ref="K46:K48" si="9">J46*I46</f>
        <v>28099.520064000004</v>
      </c>
      <c r="L46" s="50"/>
      <c r="M46" s="51"/>
      <c r="N46" s="50"/>
      <c r="O46" s="50"/>
      <c r="P46" s="50"/>
    </row>
    <row r="47" spans="1:16" s="52" customFormat="1" ht="15">
      <c r="A47" s="53"/>
      <c r="B47" s="54"/>
      <c r="C47" s="57"/>
      <c r="D47" s="56"/>
      <c r="E47" s="57"/>
      <c r="F47" s="58"/>
      <c r="G47" s="58" t="s">
        <v>20</v>
      </c>
      <c r="H47" s="57" t="s">
        <v>21</v>
      </c>
      <c r="I47" s="57">
        <f>0.08*D43</f>
        <v>31.2592</v>
      </c>
      <c r="J47" s="58">
        <f>47.4*1.1</f>
        <v>52.14</v>
      </c>
      <c r="K47" s="58">
        <f t="shared" si="9"/>
        <v>1629.8546880000001</v>
      </c>
      <c r="L47" s="50"/>
      <c r="M47" s="51"/>
      <c r="N47" s="50"/>
      <c r="O47" s="50"/>
      <c r="P47" s="50"/>
    </row>
    <row r="48" spans="1:16" s="52" customFormat="1" ht="15">
      <c r="A48" s="53"/>
      <c r="B48" s="54"/>
      <c r="C48" s="57"/>
      <c r="D48" s="56"/>
      <c r="E48" s="57"/>
      <c r="F48" s="58"/>
      <c r="G48" s="58" t="s">
        <v>22</v>
      </c>
      <c r="H48" s="57" t="s">
        <v>23</v>
      </c>
      <c r="I48" s="57">
        <f>ROUNDUP(8*I46,0)</f>
        <v>3251</v>
      </c>
      <c r="J48" s="58">
        <f>15.4/15*1.1</f>
        <v>1.1293333333333333</v>
      </c>
      <c r="K48" s="58">
        <f t="shared" si="9"/>
        <v>3671.4626666666663</v>
      </c>
      <c r="L48" s="50"/>
      <c r="M48" s="51"/>
      <c r="N48" s="50"/>
      <c r="O48" s="50"/>
      <c r="P48" s="50"/>
    </row>
    <row r="49" spans="1:16" s="52" customFormat="1" ht="15">
      <c r="A49" s="53">
        <f>IF(ISBLANK(D49),"",COUNTA(D$8:D49))</f>
        <v>12</v>
      </c>
      <c r="B49" s="54" t="s">
        <v>28</v>
      </c>
      <c r="C49" s="55" t="s">
        <v>9</v>
      </c>
      <c r="D49" s="56">
        <f>225.04-28+9*3.3</f>
        <v>226.73999999999998</v>
      </c>
      <c r="E49" s="57">
        <v>10</v>
      </c>
      <c r="F49" s="58">
        <f t="shared" si="7"/>
        <v>2267.3999999999996</v>
      </c>
      <c r="G49" s="58" t="s">
        <v>14</v>
      </c>
      <c r="H49" s="57" t="s">
        <v>15</v>
      </c>
      <c r="I49" s="57">
        <f>0.2*D49</f>
        <v>45.347999999999999</v>
      </c>
      <c r="J49" s="58">
        <f>946.33/10/1.3*1.1</f>
        <v>80.07407692307693</v>
      </c>
      <c r="K49" s="58">
        <f t="shared" si="8"/>
        <v>3631.1992403076924</v>
      </c>
      <c r="L49" s="50"/>
      <c r="M49" s="3"/>
      <c r="N49" s="50"/>
      <c r="O49" s="50"/>
      <c r="P49" s="50"/>
    </row>
    <row r="50" spans="1:16" s="52" customFormat="1" ht="30">
      <c r="A50" s="53">
        <f>IF(ISBLANK(D50),"",COUNTA(D$8:D50))</f>
        <v>13</v>
      </c>
      <c r="B50" s="54" t="s">
        <v>29</v>
      </c>
      <c r="C50" s="55" t="s">
        <v>9</v>
      </c>
      <c r="D50" s="56">
        <f>D49</f>
        <v>226.73999999999998</v>
      </c>
      <c r="E50" s="57">
        <v>150</v>
      </c>
      <c r="F50" s="58">
        <f t="shared" si="7"/>
        <v>34011</v>
      </c>
      <c r="G50" s="58" t="s">
        <v>30</v>
      </c>
      <c r="H50" s="57" t="s">
        <v>25</v>
      </c>
      <c r="I50" s="57">
        <f>D50/3*1.1</f>
        <v>83.138000000000005</v>
      </c>
      <c r="J50" s="58">
        <f>48*1.1</f>
        <v>52.800000000000004</v>
      </c>
      <c r="K50" s="58">
        <f t="shared" si="8"/>
        <v>4389.6864000000005</v>
      </c>
      <c r="L50" s="68"/>
      <c r="M50" s="3"/>
      <c r="N50" s="50"/>
      <c r="O50" s="50"/>
      <c r="P50" s="50"/>
    </row>
    <row r="51" spans="1:16" s="52" customFormat="1" ht="15">
      <c r="A51" s="53"/>
      <c r="B51" s="54"/>
      <c r="C51" s="55"/>
      <c r="D51" s="60"/>
      <c r="E51" s="57"/>
      <c r="F51" s="58"/>
      <c r="G51" s="58" t="s">
        <v>31</v>
      </c>
      <c r="H51" s="57" t="s">
        <v>25</v>
      </c>
      <c r="I51" s="57">
        <f>ROUNDUP(88*1.2/2.4,0)</f>
        <v>44</v>
      </c>
      <c r="J51" s="58">
        <f>75*1.2</f>
        <v>90</v>
      </c>
      <c r="K51" s="58">
        <f t="shared" si="8"/>
        <v>3960</v>
      </c>
      <c r="L51" s="68"/>
      <c r="M51" s="3"/>
      <c r="N51" s="50"/>
      <c r="O51" s="50"/>
      <c r="P51" s="50"/>
    </row>
    <row r="52" spans="1:16" s="52" customFormat="1" ht="18">
      <c r="A52" s="53"/>
      <c r="B52" s="54"/>
      <c r="C52" s="55"/>
      <c r="D52" s="60"/>
      <c r="E52" s="57"/>
      <c r="F52" s="58"/>
      <c r="G52" s="58" t="s">
        <v>18</v>
      </c>
      <c r="H52" s="57" t="s">
        <v>19</v>
      </c>
      <c r="I52" s="57">
        <f>D50*1.04</f>
        <v>235.80959999999999</v>
      </c>
      <c r="J52" s="58">
        <f>81.72/1.3*1.1</f>
        <v>69.14769230769231</v>
      </c>
      <c r="K52" s="58">
        <f t="shared" ref="K52" si="10">J52*I52</f>
        <v>16305.689664</v>
      </c>
      <c r="L52" s="68"/>
      <c r="M52" s="3"/>
      <c r="N52" s="50"/>
      <c r="O52" s="50"/>
      <c r="P52" s="50"/>
    </row>
    <row r="53" spans="1:16" s="52" customFormat="1" ht="15">
      <c r="A53" s="53"/>
      <c r="B53" s="54"/>
      <c r="C53" s="55"/>
      <c r="D53" s="60"/>
      <c r="E53" s="57"/>
      <c r="F53" s="58"/>
      <c r="G53" s="58" t="s">
        <v>20</v>
      </c>
      <c r="H53" s="57" t="s">
        <v>21</v>
      </c>
      <c r="I53" s="57">
        <f>0.08*I52</f>
        <v>18.864767999999998</v>
      </c>
      <c r="J53" s="58">
        <f>47.4*1.1</f>
        <v>52.14</v>
      </c>
      <c r="K53" s="58">
        <f t="shared" si="8"/>
        <v>983.60900351999987</v>
      </c>
      <c r="L53" s="68"/>
      <c r="M53" s="3"/>
      <c r="N53" s="50"/>
      <c r="O53" s="50"/>
      <c r="P53" s="50"/>
    </row>
    <row r="54" spans="1:16" s="52" customFormat="1" ht="15">
      <c r="A54" s="53"/>
      <c r="B54" s="54"/>
      <c r="C54" s="55"/>
      <c r="D54" s="60"/>
      <c r="E54" s="57"/>
      <c r="F54" s="58"/>
      <c r="G54" s="58" t="s">
        <v>22</v>
      </c>
      <c r="H54" s="57" t="s">
        <v>23</v>
      </c>
      <c r="I54" s="57">
        <f>ROUNDUP(8*I52,0)</f>
        <v>1887</v>
      </c>
      <c r="J54" s="58">
        <f>15.4/15*1.1</f>
        <v>1.1293333333333333</v>
      </c>
      <c r="K54" s="58">
        <f t="shared" si="8"/>
        <v>2131.0520000000001</v>
      </c>
      <c r="L54" s="68"/>
      <c r="M54" s="3"/>
      <c r="N54" s="50"/>
      <c r="O54" s="50"/>
      <c r="P54" s="50"/>
    </row>
    <row r="55" spans="1:16" s="52" customFormat="1" ht="30">
      <c r="A55" s="53" t="str">
        <f>IF(ISBLANK(D55),"",COUNTA(D$8:D55))</f>
        <v/>
      </c>
      <c r="B55" s="54"/>
      <c r="C55" s="57"/>
      <c r="D55" s="60"/>
      <c r="E55" s="57"/>
      <c r="F55" s="58" t="str">
        <f t="shared" si="7"/>
        <v/>
      </c>
      <c r="G55" s="58" t="s">
        <v>10</v>
      </c>
      <c r="H55" s="57" t="s">
        <v>11</v>
      </c>
      <c r="I55" s="57">
        <f>12*D50*2.5*0.5</f>
        <v>3401.0999999999995</v>
      </c>
      <c r="J55" s="58">
        <f>316.1/25/1.3*1.1</f>
        <v>10.698769230769232</v>
      </c>
      <c r="K55" s="58">
        <f t="shared" si="8"/>
        <v>36387.584030769227</v>
      </c>
      <c r="L55" s="68"/>
      <c r="M55" s="51"/>
      <c r="N55" s="50"/>
      <c r="O55" s="50"/>
      <c r="P55" s="50"/>
    </row>
    <row r="56" spans="1:16" s="52" customFormat="1" ht="16.5">
      <c r="A56" s="53">
        <f>IF(ISBLANK(D56),"",COUNTA(D$8:D56))</f>
        <v>14</v>
      </c>
      <c r="B56" s="54" t="s">
        <v>32</v>
      </c>
      <c r="C56" s="57" t="s">
        <v>13</v>
      </c>
      <c r="D56" s="56">
        <f>2.97+2.51+0.37+10.28+10.06+2.16+3.27+29.42</f>
        <v>61.04</v>
      </c>
      <c r="E56" s="57">
        <v>10</v>
      </c>
      <c r="F56" s="58">
        <f t="shared" si="7"/>
        <v>610.4</v>
      </c>
      <c r="G56" s="58" t="s">
        <v>14</v>
      </c>
      <c r="H56" s="57" t="s">
        <v>15</v>
      </c>
      <c r="I56" s="57">
        <f>0.2*D56</f>
        <v>12.208</v>
      </c>
      <c r="J56" s="58">
        <f>946.33/10/1.3*1.1</f>
        <v>80.07407692307693</v>
      </c>
      <c r="K56" s="58">
        <f t="shared" si="8"/>
        <v>977.54433107692319</v>
      </c>
      <c r="L56" s="68"/>
      <c r="M56" s="3"/>
      <c r="N56" s="50"/>
      <c r="O56" s="50"/>
      <c r="P56" s="50"/>
    </row>
    <row r="57" spans="1:16" s="52" customFormat="1" ht="30">
      <c r="A57" s="53">
        <f>IF(ISBLANK(D57),"",COUNTA(D$8:D57))</f>
        <v>15</v>
      </c>
      <c r="B57" s="54" t="s">
        <v>41</v>
      </c>
      <c r="C57" s="57" t="s">
        <v>13</v>
      </c>
      <c r="D57" s="56">
        <f>D56</f>
        <v>61.04</v>
      </c>
      <c r="E57" s="57">
        <f>E11</f>
        <v>210</v>
      </c>
      <c r="F57" s="58">
        <f t="shared" ref="F57:F68" si="11">IF(ISBLANK(D57),"",E57*D57)</f>
        <v>12818.4</v>
      </c>
      <c r="G57" s="58" t="s">
        <v>24</v>
      </c>
      <c r="H57" s="57" t="s">
        <v>25</v>
      </c>
      <c r="I57" s="57">
        <f>D57/3</f>
        <v>20.346666666666668</v>
      </c>
      <c r="J57" s="58">
        <f>35*1.1</f>
        <v>38.5</v>
      </c>
      <c r="K57" s="58">
        <f t="shared" ref="K57:K68" si="12">IF(ISBLANK(I57),"",J57*I57)</f>
        <v>783.34666666666669</v>
      </c>
      <c r="L57" s="68"/>
      <c r="M57" s="3"/>
      <c r="N57" s="50"/>
      <c r="O57" s="50"/>
      <c r="P57" s="50"/>
    </row>
    <row r="58" spans="1:16" s="52" customFormat="1" ht="30">
      <c r="A58" s="53" t="str">
        <f>IF(ISBLANK(D58),"",COUNTA(D$8:D58))</f>
        <v/>
      </c>
      <c r="B58" s="54"/>
      <c r="C58" s="57"/>
      <c r="D58" s="60"/>
      <c r="E58" s="57"/>
      <c r="F58" s="58" t="str">
        <f t="shared" si="11"/>
        <v/>
      </c>
      <c r="G58" s="58" t="s">
        <v>33</v>
      </c>
      <c r="H58" s="57" t="s">
        <v>11</v>
      </c>
      <c r="I58" s="57">
        <f>D57*1.4*25</f>
        <v>2136.3999999999996</v>
      </c>
      <c r="J58" s="58">
        <f>174.47/25/1.3*1.1</f>
        <v>5.9051384615384617</v>
      </c>
      <c r="K58" s="58">
        <f t="shared" si="12"/>
        <v>12615.737809230768</v>
      </c>
      <c r="L58" s="68"/>
      <c r="M58" s="3"/>
      <c r="N58" s="50"/>
      <c r="O58" s="50"/>
      <c r="P58" s="50"/>
    </row>
    <row r="59" spans="1:16" s="52" customFormat="1" ht="18">
      <c r="A59" s="53"/>
      <c r="B59" s="54"/>
      <c r="C59" s="57"/>
      <c r="D59" s="56"/>
      <c r="E59" s="57"/>
      <c r="F59" s="58"/>
      <c r="G59" s="58" t="s">
        <v>18</v>
      </c>
      <c r="H59" s="57" t="s">
        <v>19</v>
      </c>
      <c r="I59" s="57">
        <f>D57*1.04</f>
        <v>63.4816</v>
      </c>
      <c r="J59" s="58">
        <f>81.72/1.3*1.1</f>
        <v>69.14769230769231</v>
      </c>
      <c r="K59" s="58">
        <f t="shared" ref="K59:K61" si="13">J59*I59</f>
        <v>4389.6061440000003</v>
      </c>
      <c r="L59" s="50"/>
      <c r="M59" s="3"/>
      <c r="N59" s="50"/>
      <c r="O59" s="50"/>
      <c r="P59" s="50"/>
    </row>
    <row r="60" spans="1:16" s="52" customFormat="1" ht="15">
      <c r="A60" s="53"/>
      <c r="B60" s="54"/>
      <c r="C60" s="57"/>
      <c r="D60" s="56"/>
      <c r="E60" s="57"/>
      <c r="F60" s="58"/>
      <c r="G60" s="58" t="s">
        <v>20</v>
      </c>
      <c r="H60" s="57" t="s">
        <v>21</v>
      </c>
      <c r="I60" s="57">
        <f>0.08*D57</f>
        <v>4.8832000000000004</v>
      </c>
      <c r="J60" s="58">
        <f>47.4*1.1</f>
        <v>52.14</v>
      </c>
      <c r="K60" s="58">
        <f t="shared" si="13"/>
        <v>254.61004800000003</v>
      </c>
      <c r="L60" s="50"/>
      <c r="M60" s="3"/>
      <c r="N60" s="50"/>
      <c r="O60" s="50"/>
      <c r="P60" s="50"/>
    </row>
    <row r="61" spans="1:16" s="52" customFormat="1" ht="15">
      <c r="A61" s="53"/>
      <c r="B61" s="54"/>
      <c r="C61" s="57"/>
      <c r="D61" s="56"/>
      <c r="E61" s="57"/>
      <c r="F61" s="58"/>
      <c r="G61" s="58" t="s">
        <v>22</v>
      </c>
      <c r="H61" s="57" t="s">
        <v>23</v>
      </c>
      <c r="I61" s="57">
        <f>ROUNDUP(8*I59,0)</f>
        <v>508</v>
      </c>
      <c r="J61" s="58">
        <f>15.4/15*1.1</f>
        <v>1.1293333333333333</v>
      </c>
      <c r="K61" s="58">
        <f t="shared" si="13"/>
        <v>573.70133333333331</v>
      </c>
      <c r="L61" s="50"/>
      <c r="M61" s="3"/>
      <c r="N61" s="50"/>
      <c r="O61" s="50"/>
      <c r="P61" s="50"/>
    </row>
    <row r="62" spans="1:16" s="52" customFormat="1" ht="15">
      <c r="A62" s="53">
        <f>IF(ISBLANK(D62),"",COUNTA(D$8:D62))</f>
        <v>16</v>
      </c>
      <c r="B62" s="54" t="s">
        <v>34</v>
      </c>
      <c r="C62" s="55" t="s">
        <v>9</v>
      </c>
      <c r="D62" s="56">
        <f>28</f>
        <v>28</v>
      </c>
      <c r="E62" s="57">
        <v>10</v>
      </c>
      <c r="F62" s="58">
        <f t="shared" si="11"/>
        <v>280</v>
      </c>
      <c r="G62" s="58" t="s">
        <v>14</v>
      </c>
      <c r="H62" s="57" t="s">
        <v>15</v>
      </c>
      <c r="I62" s="57">
        <f>0.2*D62</f>
        <v>5.6000000000000005</v>
      </c>
      <c r="J62" s="58">
        <f>946.33/10/1.3*1.1</f>
        <v>80.07407692307693</v>
      </c>
      <c r="K62" s="58">
        <f t="shared" si="12"/>
        <v>448.41483076923083</v>
      </c>
      <c r="L62" s="68"/>
      <c r="M62" s="3"/>
      <c r="N62" s="50"/>
      <c r="O62" s="50"/>
      <c r="P62" s="50"/>
    </row>
    <row r="63" spans="1:16" s="52" customFormat="1" ht="15">
      <c r="A63" s="53">
        <f>IF(ISBLANK(D63),"",COUNTA(D$8:D63))</f>
        <v>17</v>
      </c>
      <c r="B63" s="54" t="s">
        <v>35</v>
      </c>
      <c r="C63" s="55" t="s">
        <v>9</v>
      </c>
      <c r="D63" s="56">
        <f>D62</f>
        <v>28</v>
      </c>
      <c r="E63" s="57">
        <v>150</v>
      </c>
      <c r="F63" s="58">
        <f t="shared" si="11"/>
        <v>4200</v>
      </c>
      <c r="G63" s="58" t="s">
        <v>30</v>
      </c>
      <c r="H63" s="57" t="s">
        <v>25</v>
      </c>
      <c r="I63" s="57">
        <f>D63/3*1.1</f>
        <v>10.266666666666667</v>
      </c>
      <c r="J63" s="58">
        <f>48*1.1</f>
        <v>52.800000000000004</v>
      </c>
      <c r="K63" s="58">
        <f t="shared" si="12"/>
        <v>542.08000000000004</v>
      </c>
      <c r="L63" s="68"/>
      <c r="M63" s="3"/>
      <c r="N63" s="50"/>
      <c r="O63" s="50"/>
      <c r="P63" s="50"/>
    </row>
    <row r="64" spans="1:16" s="52" customFormat="1" ht="15">
      <c r="A64" s="53"/>
      <c r="B64" s="54"/>
      <c r="C64" s="55"/>
      <c r="D64" s="60"/>
      <c r="E64" s="57"/>
      <c r="F64" s="58"/>
      <c r="G64" s="58" t="s">
        <v>31</v>
      </c>
      <c r="H64" s="57" t="s">
        <v>25</v>
      </c>
      <c r="I64" s="57">
        <f>ROUNDUP(12*1.2/2.4,0)</f>
        <v>6</v>
      </c>
      <c r="J64" s="58">
        <f>75*1.2</f>
        <v>90</v>
      </c>
      <c r="K64" s="58">
        <f t="shared" si="12"/>
        <v>540</v>
      </c>
      <c r="L64" s="68"/>
      <c r="M64" s="3"/>
      <c r="N64" s="50"/>
      <c r="O64" s="50"/>
      <c r="P64" s="50"/>
    </row>
    <row r="65" spans="1:16" s="52" customFormat="1" ht="18">
      <c r="A65" s="53"/>
      <c r="B65" s="54"/>
      <c r="C65" s="55"/>
      <c r="D65" s="60"/>
      <c r="E65" s="57"/>
      <c r="F65" s="58"/>
      <c r="G65" s="58" t="s">
        <v>18</v>
      </c>
      <c r="H65" s="57" t="s">
        <v>19</v>
      </c>
      <c r="I65" s="57">
        <f>D63*1.04</f>
        <v>29.12</v>
      </c>
      <c r="J65" s="58">
        <f>81.72/1.3*1.1</f>
        <v>69.14769230769231</v>
      </c>
      <c r="K65" s="58">
        <f t="shared" ref="K65" si="14">J65*I65</f>
        <v>2013.5808000000002</v>
      </c>
      <c r="L65" s="68"/>
      <c r="M65" s="3"/>
      <c r="N65" s="50"/>
      <c r="O65" s="50"/>
      <c r="P65" s="50"/>
    </row>
    <row r="66" spans="1:16" s="52" customFormat="1" ht="15">
      <c r="A66" s="53"/>
      <c r="B66" s="54"/>
      <c r="C66" s="55"/>
      <c r="D66" s="60"/>
      <c r="E66" s="57"/>
      <c r="F66" s="58"/>
      <c r="G66" s="58" t="s">
        <v>20</v>
      </c>
      <c r="H66" s="57" t="s">
        <v>21</v>
      </c>
      <c r="I66" s="57">
        <f>0.08*I65</f>
        <v>2.3296000000000001</v>
      </c>
      <c r="J66" s="58">
        <f>47.4*1.1</f>
        <v>52.14</v>
      </c>
      <c r="K66" s="58">
        <f t="shared" si="12"/>
        <v>121.465344</v>
      </c>
      <c r="L66" s="68"/>
      <c r="M66" s="3"/>
      <c r="N66" s="50"/>
      <c r="O66" s="50"/>
      <c r="P66" s="50"/>
    </row>
    <row r="67" spans="1:16" s="52" customFormat="1" ht="15">
      <c r="A67" s="53"/>
      <c r="B67" s="54"/>
      <c r="C67" s="55"/>
      <c r="D67" s="56"/>
      <c r="E67" s="57"/>
      <c r="F67" s="58"/>
      <c r="G67" s="58" t="s">
        <v>22</v>
      </c>
      <c r="H67" s="57" t="s">
        <v>23</v>
      </c>
      <c r="I67" s="57">
        <f>ROUNDUP(8*I65,0)</f>
        <v>233</v>
      </c>
      <c r="J67" s="58">
        <f>15.4/15*1.1</f>
        <v>1.1293333333333333</v>
      </c>
      <c r="K67" s="58">
        <f t="shared" si="12"/>
        <v>263.13466666666665</v>
      </c>
      <c r="L67" s="68"/>
      <c r="M67" s="3"/>
      <c r="N67" s="50"/>
      <c r="O67" s="50"/>
      <c r="P67" s="50"/>
    </row>
    <row r="68" spans="1:16" s="52" customFormat="1" ht="30">
      <c r="A68" s="53" t="str">
        <f>IF(ISBLANK(D68),"",COUNTA(D$8:D68))</f>
        <v/>
      </c>
      <c r="B68" s="54"/>
      <c r="C68" s="57"/>
      <c r="D68" s="56"/>
      <c r="E68" s="57"/>
      <c r="F68" s="58" t="str">
        <f t="shared" si="11"/>
        <v/>
      </c>
      <c r="G68" s="58" t="s">
        <v>33</v>
      </c>
      <c r="H68" s="57" t="s">
        <v>11</v>
      </c>
      <c r="I68" s="57">
        <f>D63*1.4*25*0.5</f>
        <v>489.99999999999994</v>
      </c>
      <c r="J68" s="58">
        <f>174.47/25/1.3*1.1</f>
        <v>5.9051384615384617</v>
      </c>
      <c r="K68" s="58">
        <f t="shared" si="12"/>
        <v>2893.5178461538458</v>
      </c>
      <c r="L68" s="68"/>
      <c r="M68" s="3"/>
      <c r="N68" s="50"/>
      <c r="O68" s="50"/>
      <c r="P68" s="50"/>
    </row>
    <row r="69" spans="1:16" s="42" customFormat="1" ht="15">
      <c r="A69" s="53" t="str">
        <f>IF(ISBLANK(D69),"",COUNTA(D$8:D69))</f>
        <v/>
      </c>
      <c r="B69" s="54"/>
      <c r="C69" s="57"/>
      <c r="D69" s="56"/>
      <c r="E69" s="57"/>
      <c r="F69" s="58"/>
      <c r="G69" s="90"/>
      <c r="H69" s="57"/>
      <c r="I69" s="57"/>
      <c r="J69" s="58"/>
      <c r="K69" s="58"/>
      <c r="M69" s="67"/>
    </row>
    <row r="70" spans="1:16" s="42" customFormat="1" ht="15">
      <c r="A70" s="53" t="str">
        <f>IF(ISBLANK(D70),"",COUNTA(D$8:D70))</f>
        <v/>
      </c>
      <c r="B70" s="54"/>
      <c r="C70" s="57"/>
      <c r="D70" s="56"/>
      <c r="E70" s="57"/>
      <c r="F70" s="58"/>
      <c r="G70" s="58"/>
      <c r="H70" s="57"/>
      <c r="I70" s="57"/>
      <c r="J70" s="58"/>
      <c r="K70" s="58"/>
      <c r="M70" s="67"/>
    </row>
    <row r="71" spans="1:16" s="42" customFormat="1" ht="15">
      <c r="A71" s="53" t="str">
        <f>IF(ISBLANK(D71),"",COUNTA(D$8:D71))</f>
        <v/>
      </c>
      <c r="B71" s="54"/>
      <c r="C71" s="57"/>
      <c r="D71" s="56"/>
      <c r="E71" s="57"/>
      <c r="F71" s="58" t="str">
        <f t="shared" si="0"/>
        <v/>
      </c>
      <c r="G71" s="59"/>
      <c r="H71" s="57"/>
      <c r="I71" s="69"/>
      <c r="J71" s="58"/>
      <c r="K71" s="58" t="str">
        <f t="shared" si="1"/>
        <v/>
      </c>
      <c r="M71" s="43"/>
    </row>
    <row r="72" spans="1:16" ht="15">
      <c r="A72" s="1"/>
      <c r="B72" s="70"/>
      <c r="C72" s="71"/>
      <c r="D72" s="71"/>
      <c r="E72" s="72"/>
      <c r="F72" s="71"/>
      <c r="G72" s="73"/>
      <c r="H72" s="71"/>
      <c r="I72" s="74"/>
      <c r="J72" s="72"/>
      <c r="K72" s="75"/>
      <c r="M72" s="51"/>
    </row>
    <row r="73" spans="1:16" ht="16.5">
      <c r="A73" s="93" t="s">
        <v>37</v>
      </c>
      <c r="B73" s="94"/>
      <c r="C73" s="76"/>
      <c r="D73" s="77"/>
      <c r="E73" s="78"/>
      <c r="F73" s="79">
        <f>SUM(F9:F72)</f>
        <v>248265.19999999998</v>
      </c>
      <c r="G73" s="77" t="s">
        <v>38</v>
      </c>
      <c r="H73" s="77"/>
      <c r="I73" s="80"/>
      <c r="J73" s="78"/>
      <c r="K73" s="79">
        <f>SUM(K9:K71)</f>
        <v>473290.37179389544</v>
      </c>
    </row>
    <row r="74" spans="1:16" s="87" customFormat="1" ht="25.15" customHeight="1">
      <c r="A74" s="81" t="s">
        <v>39</v>
      </c>
      <c r="B74" s="82"/>
      <c r="C74" s="82"/>
      <c r="D74" s="83"/>
      <c r="E74" s="83"/>
      <c r="F74" s="84"/>
      <c r="G74" s="83"/>
      <c r="H74" s="83"/>
      <c r="I74" s="83"/>
      <c r="J74" s="85"/>
      <c r="K74" s="86">
        <f>ROUND(SUM(F72:F73,K72:K73),2)</f>
        <v>721555.57</v>
      </c>
    </row>
    <row r="76" spans="1:16">
      <c r="E76" s="88"/>
      <c r="F76" s="89"/>
      <c r="J76" s="88"/>
      <c r="K76" s="89"/>
    </row>
  </sheetData>
  <autoFilter ref="A9:XEL70"/>
  <mergeCells count="3">
    <mergeCell ref="A2:K2"/>
    <mergeCell ref="A3:K3"/>
    <mergeCell ref="A73:B73"/>
  </mergeCells>
  <printOptions horizontalCentered="1"/>
  <pageMargins left="0.23622047244094491" right="0.23622047244094491" top="0.27559055118110237" bottom="0.47244094488188981" header="0.31496062992125984" footer="0.11811023622047245"/>
  <pageSetup paperSize="9" scale="63" fitToHeight="0" orientation="landscape" horizontalDpi="4294967294" r:id="rId1"/>
  <headerFooter alignWithMargins="0">
    <oddFooter>&amp;C&amp;P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Штукатурка Baumit 25мм</vt:lpstr>
      <vt:lpstr>'Штукатурка Baumit 25мм'!Print_Area</vt:lpstr>
      <vt:lpstr>'Штукатурка Baumit 25мм'!Print_Titles</vt:lpstr>
      <vt:lpstr>'Штукатурка Baumit 25мм'!Область_печати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2</cp:lastModifiedBy>
  <dcterms:created xsi:type="dcterms:W3CDTF">2024-03-05T15:05:26Z</dcterms:created>
  <dcterms:modified xsi:type="dcterms:W3CDTF">2024-03-05T18:42:01Z</dcterms:modified>
</cp:coreProperties>
</file>