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344"/>
  </bookViews>
  <sheets>
    <sheet name="Лист1" sheetId="1" r:id="rId1"/>
  </sheets>
  <definedNames>
    <definedName name="_xlnm.Print_Area" localSheetId="0">Лист1!$A$1:$G$151</definedName>
  </definedNames>
  <calcPr calcId="145621" refMode="R1C1"/>
</workbook>
</file>

<file path=xl/calcChain.xml><?xml version="1.0" encoding="utf-8"?>
<calcChain xmlns="http://schemas.openxmlformats.org/spreadsheetml/2006/main">
  <c r="I127" i="1" l="1"/>
  <c r="I126" i="1"/>
  <c r="I12" i="1"/>
  <c r="H6" i="1"/>
  <c r="G127" i="1"/>
  <c r="G126" i="1"/>
  <c r="F124" i="1"/>
  <c r="F125" i="1" s="1"/>
  <c r="E124" i="1"/>
  <c r="E125" i="1" s="1"/>
  <c r="G125" i="1" s="1"/>
  <c r="F123" i="1"/>
  <c r="E123" i="1"/>
  <c r="G122" i="1"/>
  <c r="I122" i="1" s="1"/>
  <c r="F118" i="1"/>
  <c r="F119" i="1" s="1"/>
  <c r="E118" i="1"/>
  <c r="E120" i="1" s="1"/>
  <c r="F114" i="1"/>
  <c r="F116" i="1" s="1"/>
  <c r="F117" i="1" s="1"/>
  <c r="E114" i="1"/>
  <c r="E115" i="1" s="1"/>
  <c r="F110" i="1"/>
  <c r="F111" i="1" s="1"/>
  <c r="E110" i="1"/>
  <c r="E111" i="1" s="1"/>
  <c r="G111" i="1" s="1"/>
  <c r="E108" i="1"/>
  <c r="E109" i="1" s="1"/>
  <c r="F106" i="1"/>
  <c r="F107" i="1" s="1"/>
  <c r="E106" i="1"/>
  <c r="F101" i="1"/>
  <c r="F102" i="1" s="1"/>
  <c r="E101" i="1"/>
  <c r="E102" i="1" s="1"/>
  <c r="F97" i="1"/>
  <c r="F99" i="1" s="1"/>
  <c r="F100" i="1" s="1"/>
  <c r="E97" i="1"/>
  <c r="E98" i="1" s="1"/>
  <c r="F93" i="1"/>
  <c r="F94" i="1" s="1"/>
  <c r="E93" i="1"/>
  <c r="E94" i="1" s="1"/>
  <c r="F88" i="1"/>
  <c r="F89" i="1" s="1"/>
  <c r="E88" i="1"/>
  <c r="F86" i="1"/>
  <c r="F87" i="1" s="1"/>
  <c r="F84" i="1"/>
  <c r="F85" i="1" s="1"/>
  <c r="E84" i="1"/>
  <c r="E86" i="1" s="1"/>
  <c r="F80" i="1"/>
  <c r="F82" i="1" s="1"/>
  <c r="F83" i="1" s="1"/>
  <c r="E80" i="1"/>
  <c r="E81" i="1" s="1"/>
  <c r="F75" i="1"/>
  <c r="F76" i="1" s="1"/>
  <c r="E75" i="1"/>
  <c r="E76" i="1" s="1"/>
  <c r="E73" i="1"/>
  <c r="E74" i="1" s="1"/>
  <c r="F71" i="1"/>
  <c r="F72" i="1" s="1"/>
  <c r="E71" i="1"/>
  <c r="G71" i="1" s="1"/>
  <c r="I71" i="1" s="1"/>
  <c r="F67" i="1"/>
  <c r="F68" i="1" s="1"/>
  <c r="E67" i="1"/>
  <c r="E69" i="1" s="1"/>
  <c r="F64" i="1"/>
  <c r="F65" i="1" s="1"/>
  <c r="F63" i="1"/>
  <c r="E63" i="1"/>
  <c r="E64" i="1" s="1"/>
  <c r="G62" i="1"/>
  <c r="I62" i="1" s="1"/>
  <c r="F60" i="1"/>
  <c r="F61" i="1" s="1"/>
  <c r="E60" i="1"/>
  <c r="E61" i="1" s="1"/>
  <c r="G61" i="1" s="1"/>
  <c r="F59" i="1"/>
  <c r="E59" i="1"/>
  <c r="G58" i="1"/>
  <c r="F56" i="1"/>
  <c r="F57" i="1" s="1"/>
  <c r="E56" i="1"/>
  <c r="E57" i="1" s="1"/>
  <c r="F55" i="1"/>
  <c r="E55" i="1"/>
  <c r="G55" i="1" s="1"/>
  <c r="G54" i="1"/>
  <c r="I54" i="1" s="1"/>
  <c r="F51" i="1"/>
  <c r="F52" i="1" s="1"/>
  <c r="E51" i="1"/>
  <c r="E52" i="1" s="1"/>
  <c r="G52" i="1" s="1"/>
  <c r="F50" i="1"/>
  <c r="E50" i="1"/>
  <c r="G50" i="1" s="1"/>
  <c r="G49" i="1"/>
  <c r="I49" i="1" s="1"/>
  <c r="F47" i="1"/>
  <c r="F48" i="1" s="1"/>
  <c r="E47" i="1"/>
  <c r="G47" i="1" s="1"/>
  <c r="F46" i="1"/>
  <c r="E46" i="1"/>
  <c r="G45" i="1"/>
  <c r="I45" i="1" s="1"/>
  <c r="F43" i="1"/>
  <c r="E43" i="1"/>
  <c r="G43" i="1" s="1"/>
  <c r="F42" i="1"/>
  <c r="E42" i="1"/>
  <c r="G42" i="1" s="1"/>
  <c r="F40" i="1"/>
  <c r="E40" i="1"/>
  <c r="G40" i="1" s="1"/>
  <c r="F39" i="1"/>
  <c r="E39" i="1"/>
  <c r="F38" i="1"/>
  <c r="G38" i="1" s="1"/>
  <c r="F37" i="1"/>
  <c r="E37" i="1"/>
  <c r="G37" i="1" s="1"/>
  <c r="F36" i="1"/>
  <c r="E36" i="1"/>
  <c r="F35" i="1"/>
  <c r="E35" i="1"/>
  <c r="G35" i="1" s="1"/>
  <c r="I34" i="1"/>
  <c r="G34" i="1"/>
  <c r="E32" i="1"/>
  <c r="E33" i="1" s="1"/>
  <c r="G33" i="1" s="1"/>
  <c r="G31" i="1"/>
  <c r="G30" i="1"/>
  <c r="I30" i="1" s="1"/>
  <c r="E29" i="1"/>
  <c r="G29" i="1" s="1"/>
  <c r="G28" i="1"/>
  <c r="I28" i="1" s="1"/>
  <c r="F27" i="1"/>
  <c r="E27" i="1"/>
  <c r="F26" i="1"/>
  <c r="E26" i="1"/>
  <c r="F25" i="1"/>
  <c r="E25" i="1"/>
  <c r="G24" i="1"/>
  <c r="I24" i="1" s="1"/>
  <c r="E23" i="1"/>
  <c r="G23" i="1" s="1"/>
  <c r="I22" i="1"/>
  <c r="G22" i="1"/>
  <c r="F20" i="1"/>
  <c r="E20" i="1"/>
  <c r="G20" i="1" s="1"/>
  <c r="F19" i="1"/>
  <c r="E19" i="1"/>
  <c r="G19" i="1" s="1"/>
  <c r="F18" i="1"/>
  <c r="E18" i="1"/>
  <c r="F17" i="1"/>
  <c r="E17" i="1"/>
  <c r="F16" i="1"/>
  <c r="E16" i="1"/>
  <c r="I15" i="1"/>
  <c r="G15" i="1"/>
  <c r="I13" i="1"/>
  <c r="G13" i="1"/>
  <c r="G12" i="1"/>
  <c r="G25" i="1" l="1"/>
  <c r="F21" i="1"/>
  <c r="G123" i="1"/>
  <c r="G16" i="1"/>
  <c r="G18" i="1"/>
  <c r="G32" i="1"/>
  <c r="I32" i="1" s="1"/>
  <c r="G88" i="1"/>
  <c r="I88" i="1" s="1"/>
  <c r="G124" i="1"/>
  <c r="G27" i="1"/>
  <c r="G39" i="1"/>
  <c r="F69" i="1"/>
  <c r="F70" i="1" s="1"/>
  <c r="G93" i="1"/>
  <c r="I93" i="1" s="1"/>
  <c r="F120" i="1"/>
  <c r="F121" i="1" s="1"/>
  <c r="E21" i="1"/>
  <c r="G21" i="1" s="1"/>
  <c r="E41" i="1"/>
  <c r="G41" i="1" s="1"/>
  <c r="G51" i="1"/>
  <c r="F103" i="1"/>
  <c r="F104" i="1" s="1"/>
  <c r="F108" i="1"/>
  <c r="F109" i="1" s="1"/>
  <c r="G109" i="1" s="1"/>
  <c r="G110" i="1"/>
  <c r="I110" i="1" s="1"/>
  <c r="G26" i="1"/>
  <c r="F41" i="1"/>
  <c r="G46" i="1"/>
  <c r="E48" i="1"/>
  <c r="G48" i="1" s="1"/>
  <c r="G56" i="1"/>
  <c r="G59" i="1"/>
  <c r="G75" i="1"/>
  <c r="I75" i="1" s="1"/>
  <c r="G106" i="1"/>
  <c r="I106" i="1" s="1"/>
  <c r="E112" i="1"/>
  <c r="E113" i="1" s="1"/>
  <c r="G57" i="1"/>
  <c r="E77" i="1"/>
  <c r="G76" i="1"/>
  <c r="E116" i="1"/>
  <c r="E65" i="1"/>
  <c r="G65" i="1" s="1"/>
  <c r="G64" i="1"/>
  <c r="E103" i="1"/>
  <c r="G102" i="1"/>
  <c r="E87" i="1"/>
  <c r="G87" i="1" s="1"/>
  <c r="G86" i="1"/>
  <c r="E70" i="1"/>
  <c r="G70" i="1" s="1"/>
  <c r="G69" i="1"/>
  <c r="G94" i="1"/>
  <c r="E121" i="1"/>
  <c r="G121" i="1" s="1"/>
  <c r="G120" i="1"/>
  <c r="E68" i="1"/>
  <c r="G68" i="1" s="1"/>
  <c r="E85" i="1"/>
  <c r="G85" i="1" s="1"/>
  <c r="F115" i="1"/>
  <c r="G115" i="1" s="1"/>
  <c r="G36" i="1"/>
  <c r="G60" i="1"/>
  <c r="G63" i="1"/>
  <c r="E72" i="1"/>
  <c r="G72" i="1" s="1"/>
  <c r="F73" i="1"/>
  <c r="F74" i="1" s="1"/>
  <c r="G74" i="1" s="1"/>
  <c r="G80" i="1"/>
  <c r="I80" i="1" s="1"/>
  <c r="E89" i="1"/>
  <c r="F90" i="1"/>
  <c r="F91" i="1" s="1"/>
  <c r="E95" i="1"/>
  <c r="G97" i="1"/>
  <c r="I97" i="1" s="1"/>
  <c r="E107" i="1"/>
  <c r="G107" i="1" s="1"/>
  <c r="G114" i="1"/>
  <c r="I114" i="1" s="1"/>
  <c r="E119" i="1"/>
  <c r="G119" i="1" s="1"/>
  <c r="G17" i="1"/>
  <c r="G67" i="1"/>
  <c r="I67" i="1" s="1"/>
  <c r="G73" i="1"/>
  <c r="F77" i="1"/>
  <c r="F78" i="1" s="1"/>
  <c r="E82" i="1"/>
  <c r="G84" i="1"/>
  <c r="I84" i="1" s="1"/>
  <c r="F95" i="1"/>
  <c r="F96" i="1" s="1"/>
  <c r="E99" i="1"/>
  <c r="G101" i="1"/>
  <c r="I101" i="1" s="1"/>
  <c r="F112" i="1"/>
  <c r="F113" i="1" s="1"/>
  <c r="G118" i="1"/>
  <c r="I118" i="1" s="1"/>
  <c r="F81" i="1"/>
  <c r="G81" i="1" s="1"/>
  <c r="F98" i="1"/>
  <c r="G98" i="1" s="1"/>
  <c r="G113" i="1" l="1"/>
  <c r="G108" i="1"/>
  <c r="G112" i="1"/>
  <c r="G77" i="1"/>
  <c r="E78" i="1"/>
  <c r="G78" i="1" s="1"/>
  <c r="G89" i="1"/>
  <c r="E90" i="1"/>
  <c r="E83" i="1"/>
  <c r="G83" i="1" s="1"/>
  <c r="G82" i="1"/>
  <c r="E104" i="1"/>
  <c r="G104" i="1" s="1"/>
  <c r="G103" i="1"/>
  <c r="G99" i="1"/>
  <c r="E100" i="1"/>
  <c r="G100" i="1" s="1"/>
  <c r="G95" i="1"/>
  <c r="E96" i="1"/>
  <c r="G96" i="1" s="1"/>
  <c r="G116" i="1"/>
  <c r="E117" i="1"/>
  <c r="G117" i="1" s="1"/>
  <c r="E91" i="1" l="1"/>
  <c r="G91" i="1" s="1"/>
  <c r="G90" i="1"/>
</calcChain>
</file>

<file path=xl/sharedStrings.xml><?xml version="1.0" encoding="utf-8"?>
<sst xmlns="http://schemas.openxmlformats.org/spreadsheetml/2006/main" count="389" uniqueCount="214">
  <si>
    <t>Додаток 1</t>
  </si>
  <si>
    <t>ТЕНДЕРНА    ПРОПОЗИЦІЯ</t>
  </si>
  <si>
    <t>№ п/п</t>
  </si>
  <si>
    <t>Найменування об’єкту</t>
  </si>
  <si>
    <t>Замовник</t>
  </si>
  <si>
    <t>Додатки:</t>
  </si>
  <si>
    <t>МП</t>
  </si>
  <si>
    <t>на виконання комплексу робіт  з</t>
  </si>
  <si>
    <t>1. Ми,</t>
  </si>
  <si>
    <t xml:space="preserve">Директор </t>
  </si>
  <si>
    <t xml:space="preserve">    будівництвом робіт (місяців)-</t>
  </si>
  <si>
    <t>Період
 виконання</t>
  </si>
  <si>
    <t>Примітки</t>
  </si>
  <si>
    <t>2. Копії ліцензії та дозволу на виконання робіт</t>
  </si>
  <si>
    <t xml:space="preserve">3. Умови оплати  (% аванс) - </t>
  </si>
  <si>
    <t xml:space="preserve">4. Вид договірної ціни  (тверда, динамічна) - </t>
  </si>
  <si>
    <t>м3</t>
  </si>
  <si>
    <t>кг</t>
  </si>
  <si>
    <t>шт</t>
  </si>
  <si>
    <t>5. Перелік  об’єктів , на яких виконувались аналогічні види робіт:</t>
  </si>
  <si>
    <t>6. Гарантійний  строк  на  виконаний  комплекс робіт  з  моменту  здачі  завершених</t>
  </si>
  <si>
    <t>7. Термін дії тендерної пропозиції до (дата) -</t>
  </si>
  <si>
    <t xml:space="preserve">8. Контактна особа (ПІБ, тел.) - </t>
  </si>
  <si>
    <t>Од. вим.</t>
  </si>
  <si>
    <t>Секція А</t>
  </si>
  <si>
    <t>Секція Б</t>
  </si>
  <si>
    <t>Всього</t>
  </si>
  <si>
    <t xml:space="preserve">Арматура </t>
  </si>
  <si>
    <t>Монтаж вентиляційних блоків, 2-17поверх</t>
  </si>
  <si>
    <r>
      <rPr>
        <b/>
        <sz val="14"/>
        <color theme="1"/>
        <rFont val="Calibri"/>
        <family val="2"/>
        <charset val="204"/>
        <scheme val="minor"/>
      </rPr>
      <t>влаштування монолітних залізобетонних конструкцій будинку №26</t>
    </r>
    <r>
      <rPr>
        <sz val="14"/>
        <color theme="1"/>
        <rFont val="Calibri"/>
        <family val="2"/>
        <charset val="204"/>
        <scheme val="minor"/>
      </rPr>
      <t xml:space="preserve">
  на об’єкті "Будівництво житлових будинків з об’єктами соціально – культурного призначення по вул.. Сагайдака, 101 в Дніпровському районі  м. Києва".</t>
    </r>
  </si>
  <si>
    <t>Найменування робіт і матеріалів</t>
  </si>
  <si>
    <t>Норма витрат</t>
  </si>
  <si>
    <t xml:space="preserve">Кількість  </t>
  </si>
  <si>
    <t>РОБОТИ</t>
  </si>
  <si>
    <t>ціна од., грн без ПДВ</t>
  </si>
  <si>
    <t>разом, грн без ПДВ</t>
  </si>
  <si>
    <t>ЗЕМЛЯНІ РОБОТИ, додаткові та супутні</t>
  </si>
  <si>
    <t>1.1</t>
  </si>
  <si>
    <t>Планування та трамбування (ущільнення) грунту вібротрамбовками</t>
  </si>
  <si>
    <t>1.2</t>
  </si>
  <si>
    <t>Демонтаж оголовків паль діаметром 620мм з відм. 93.100 до відм. 92.000</t>
  </si>
  <si>
    <t>2</t>
  </si>
  <si>
    <t>Фундаменти монолітні:</t>
  </si>
  <si>
    <t>2.1</t>
  </si>
  <si>
    <t>Влаштування монолітної з/б фундаментної
плити під баштовий кран</t>
  </si>
  <si>
    <t>2.1.1</t>
  </si>
  <si>
    <t xml:space="preserve">Бетон В35 Р4 W6 F200 </t>
  </si>
  <si>
    <t>2.1.2</t>
  </si>
  <si>
    <t xml:space="preserve">Арматура ф12  А500С  </t>
  </si>
  <si>
    <t>т</t>
  </si>
  <si>
    <t>2.1.3</t>
  </si>
  <si>
    <t xml:space="preserve">Арматура ф16  А500С  </t>
  </si>
  <si>
    <t>2.1.4</t>
  </si>
  <si>
    <t xml:space="preserve">Арматура ф20  А500С  </t>
  </si>
  <si>
    <t>2.1.5</t>
  </si>
  <si>
    <t xml:space="preserve">Арматура ф25  А500С  </t>
  </si>
  <si>
    <t>2.1.6</t>
  </si>
  <si>
    <t xml:space="preserve">Дріт в'язальний ф1,2мм  </t>
  </si>
  <si>
    <t>2.2</t>
  </si>
  <si>
    <t>Влаштування бетонної підготовки</t>
  </si>
  <si>
    <t>2.2.1</t>
  </si>
  <si>
    <t xml:space="preserve"> Бетон БСГ С10/12,5</t>
  </si>
  <si>
    <t>2.3</t>
  </si>
  <si>
    <t>Гідроізоляція по бетонній підготовці та розклал геотекстилю</t>
  </si>
  <si>
    <t>2.3.1</t>
  </si>
  <si>
    <t>Праймер бітумний Техноніколь №01 або аналог</t>
  </si>
  <si>
    <t>2.3.2</t>
  </si>
  <si>
    <t>Мастіка Техноніколь №21 або аналог (2 шари)</t>
  </si>
  <si>
    <t>2.3.3</t>
  </si>
  <si>
    <t>Геотекстиль голкопробивний 400 г/м2</t>
  </si>
  <si>
    <t>2.4</t>
  </si>
  <si>
    <t xml:space="preserve">Монтаж гідрошпонки </t>
  </si>
  <si>
    <t>м.п.</t>
  </si>
  <si>
    <t>2.4.1</t>
  </si>
  <si>
    <t>Гідрошпонка Аквастоп ДО-320/50-6/30"</t>
  </si>
  <si>
    <t>2.5</t>
  </si>
  <si>
    <t>Монтаж гідрофільного щнура 10х20 мм</t>
  </si>
  <si>
    <t>2.5.1</t>
  </si>
  <si>
    <t>гідрофільний шнур 10х20 мм</t>
  </si>
  <si>
    <t>2.6</t>
  </si>
  <si>
    <t>Деформаційний шов з відм. 93,050 до 94,250</t>
  </si>
  <si>
    <t>2.6.1</t>
  </si>
  <si>
    <t>Екструдований пінополістірол 50 мм</t>
  </si>
  <si>
    <t>2.7</t>
  </si>
  <si>
    <t>Влаштування монолітного з/б ростверку, включно приямки та блисковкозахист</t>
  </si>
  <si>
    <t>2.7.1</t>
  </si>
  <si>
    <t xml:space="preserve">Бетон БСГ С25/30 Р4 W8 F200 </t>
  </si>
  <si>
    <t>2.7.2</t>
  </si>
  <si>
    <t>2.7.3</t>
  </si>
  <si>
    <t>2.7.4</t>
  </si>
  <si>
    <t>2.7.5</t>
  </si>
  <si>
    <t>2.7.6</t>
  </si>
  <si>
    <t xml:space="preserve">Арматура ф32  А500С  </t>
  </si>
  <si>
    <t>2.7.7</t>
  </si>
  <si>
    <t>2.7.8</t>
  </si>
  <si>
    <t>Штаба 4х25 С235 ДСТУ 4747:2007 L=559,7 м.п.</t>
  </si>
  <si>
    <t>2.7.9</t>
  </si>
  <si>
    <t>Штаба 4х40 С235 ДСТУ 4747:2007 L=182,0 м.п.</t>
  </si>
  <si>
    <t>3</t>
  </si>
  <si>
    <t>Підвал/паркінг</t>
  </si>
  <si>
    <t>3.1</t>
  </si>
  <si>
    <t xml:space="preserve">Влаштування монолітних вертикальних конструкцій </t>
  </si>
  <si>
    <t>3.1.1</t>
  </si>
  <si>
    <t xml:space="preserve">Бетон В40 Р4 W8 F200 </t>
  </si>
  <si>
    <t>3.1.2</t>
  </si>
  <si>
    <t xml:space="preserve">Арматура  А500С  </t>
  </si>
  <si>
    <t>3.1.3</t>
  </si>
  <si>
    <t>3.2</t>
  </si>
  <si>
    <t>Влаштування монолітних горизонтальних конструкцій</t>
  </si>
  <si>
    <t>3.2.1</t>
  </si>
  <si>
    <t xml:space="preserve">Бетон В30 Р4 W8 F200 </t>
  </si>
  <si>
    <t>3.2.2</t>
  </si>
  <si>
    <t>3.2.3</t>
  </si>
  <si>
    <t>4</t>
  </si>
  <si>
    <t>1-й поверх</t>
  </si>
  <si>
    <t xml:space="preserve"> </t>
  </si>
  <si>
    <t>4.1</t>
  </si>
  <si>
    <t>4.1.1</t>
  </si>
  <si>
    <t xml:space="preserve">Бетон В40 Р4 W6 F200 </t>
  </si>
  <si>
    <t>4.1.2</t>
  </si>
  <si>
    <t>4.1.3</t>
  </si>
  <si>
    <t xml:space="preserve">Дріт в'язальний ф1,2мм </t>
  </si>
  <si>
    <t>4.2</t>
  </si>
  <si>
    <t>4.2.1</t>
  </si>
  <si>
    <t>4.2.2</t>
  </si>
  <si>
    <t>4.2.3</t>
  </si>
  <si>
    <t>4.3</t>
  </si>
  <si>
    <t>Влаштування монолітних балок</t>
  </si>
  <si>
    <t>4.3.1</t>
  </si>
  <si>
    <t>4.3.2</t>
  </si>
  <si>
    <t>4.3.3</t>
  </si>
  <si>
    <t>Дріт в'язальний ф1,2мм</t>
  </si>
  <si>
    <t>5</t>
  </si>
  <si>
    <t>З 2-го по 3-й поверх</t>
  </si>
  <si>
    <t>5.1</t>
  </si>
  <si>
    <t>5.1.1</t>
  </si>
  <si>
    <t>5.1.2</t>
  </si>
  <si>
    <t>5.1.3</t>
  </si>
  <si>
    <t>5.2</t>
  </si>
  <si>
    <t>5.2.1</t>
  </si>
  <si>
    <t xml:space="preserve">Бетон В30 Р4 W6 F200 </t>
  </si>
  <si>
    <t>5.2.2</t>
  </si>
  <si>
    <t>5.2.3</t>
  </si>
  <si>
    <t>5.3</t>
  </si>
  <si>
    <t>5.3.1</t>
  </si>
  <si>
    <t>5.3.2</t>
  </si>
  <si>
    <t>5.3.3</t>
  </si>
  <si>
    <t>6</t>
  </si>
  <si>
    <t>З 4-го по 6-й поверх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</si>
  <si>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</si>
  <si>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</si>
  <si>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</si>
  <si>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</si>
  <si>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</si>
  <si>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</si>
  <si>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</si>
  <si>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</si>
  <si>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</si>
  <si>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</si>
  <si>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</si>
  <si>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</si>
  <si>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7</t>
  </si>
  <si>
    <t>З 7-го по 8-й поверх</t>
  </si>
  <si>
    <t>7.1</t>
  </si>
  <si>
    <t>7.1.1</t>
  </si>
  <si>
    <t>7.1.2</t>
  </si>
  <si>
    <t>7.1.3</t>
  </si>
  <si>
    <t>7.2</t>
  </si>
  <si>
    <t>7.2.1</t>
  </si>
  <si>
    <t>7.2.2</t>
  </si>
  <si>
    <t>7.2.3</t>
  </si>
  <si>
    <t>7.3</t>
  </si>
  <si>
    <t>7.3.1</t>
  </si>
  <si>
    <t>7.3.2</t>
  </si>
  <si>
    <t>7.3.3</t>
  </si>
  <si>
    <t>8</t>
  </si>
  <si>
    <t>З 9-го по 17-й поверх</t>
  </si>
  <si>
    <t>8.1</t>
  </si>
  <si>
    <t>8.1.1</t>
  </si>
  <si>
    <t>8.1.2</t>
  </si>
  <si>
    <t>8.1.3</t>
  </si>
  <si>
    <t>8.2</t>
  </si>
  <si>
    <t>8.2.1</t>
  </si>
  <si>
    <t>8.2.2</t>
  </si>
  <si>
    <t>8.2.3</t>
  </si>
  <si>
    <t>8.3</t>
  </si>
  <si>
    <t>8.3.1</t>
  </si>
  <si>
    <t>8.3.2</t>
  </si>
  <si>
    <t>8.3.3</t>
  </si>
  <si>
    <t>9</t>
  </si>
  <si>
    <t>Влаштування монолітного парапету</t>
  </si>
  <si>
    <t>9.1</t>
  </si>
  <si>
    <t>9.2</t>
  </si>
  <si>
    <t>9.3</t>
  </si>
  <si>
    <t>10</t>
  </si>
  <si>
    <t>Влаштування  монолітних сходів</t>
  </si>
  <si>
    <t>10.1</t>
  </si>
  <si>
    <t xml:space="preserve">Бетон В30 Р4 W6 F200   </t>
  </si>
  <si>
    <t>10.2</t>
  </si>
  <si>
    <t>10.3</t>
  </si>
  <si>
    <t>Монтаж сходових маршів (з 2-го поверху)</t>
  </si>
  <si>
    <t>13</t>
  </si>
  <si>
    <t>Інші витрати:</t>
  </si>
  <si>
    <t>РАЗОМ   без ПДВ:</t>
  </si>
  <si>
    <t>ПДВ 20%</t>
  </si>
  <si>
    <t>ВСЬОГО з ПДВ:</t>
  </si>
  <si>
    <r>
      <t>м</t>
    </r>
    <r>
      <rPr>
        <vertAlign val="superscript"/>
        <sz val="14"/>
        <color indexed="8"/>
        <rFont val="Calibri"/>
        <family val="2"/>
        <charset val="204"/>
      </rPr>
      <t>2</t>
    </r>
  </si>
  <si>
    <r>
      <t>м</t>
    </r>
    <r>
      <rPr>
        <b/>
        <vertAlign val="superscript"/>
        <sz val="14"/>
        <color indexed="8"/>
        <rFont val="Calibri"/>
        <family val="2"/>
        <charset val="204"/>
      </rPr>
      <t>3</t>
    </r>
  </si>
  <si>
    <r>
      <t>м</t>
    </r>
    <r>
      <rPr>
        <b/>
        <vertAlign val="superscript"/>
        <sz val="14"/>
        <color indexed="8"/>
        <rFont val="Calibri"/>
        <family val="2"/>
        <charset val="204"/>
      </rPr>
      <t>2</t>
    </r>
  </si>
  <si>
    <r>
      <t>м</t>
    </r>
    <r>
      <rPr>
        <vertAlign val="superscript"/>
        <sz val="14"/>
        <color indexed="8"/>
        <rFont val="Calibri"/>
        <family val="2"/>
        <charset val="204"/>
      </rPr>
      <t>3</t>
    </r>
  </si>
  <si>
    <t>1. Після підписання Договору розрахунок договірної ціни необхідно буде виконати в АВК</t>
  </si>
  <si>
    <t xml:space="preserve">розглянувши  тендерну документацію  </t>
  </si>
  <si>
    <t>на виконання комплексу робіт, подаємо свою тендерну  пропозицію, на загальну суму:</t>
  </si>
  <si>
    <t>2. Строк виконання комплексу робіт з дати підписання договору (днів)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</si>
</sst>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0&quot;₴&quot;"/>
    <numFmt numFmtId="166" formatCode="_-* #,##0.00_р_._-;\-* #,##0.00_р_._-;_-* &quot;-&quot;??_р_._-;_-@_-"/>
    <numFmt numFmtId="167" formatCode="#,##0.00_ ;\-#,##0.00\ "/>
    <numFmt numFmtId="168" formatCode="#,##0_ ;\-#,##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vertAlign val="superscript"/>
      <sz val="14"/>
      <color indexed="8"/>
      <name val="Calibri"/>
      <family val="2"/>
      <charset val="204"/>
    </font>
    <font>
      <b/>
      <sz val="14"/>
      <color rgb="FF000000"/>
      <name val="Calibri"/>
      <family val="2"/>
      <charset val="204"/>
    </font>
    <font>
      <i/>
      <sz val="14"/>
      <name val="Calibri"/>
      <family val="2"/>
      <charset val="204"/>
    </font>
    <font>
      <i/>
      <sz val="14"/>
      <color theme="1"/>
      <name val="Calibri"/>
      <family val="2"/>
      <charset val="204"/>
    </font>
    <font>
      <i/>
      <sz val="14"/>
      <color rgb="FF000000"/>
      <name val="Calibri"/>
      <family val="2"/>
      <charset val="204"/>
    </font>
    <font>
      <b/>
      <vertAlign val="superscript"/>
      <sz val="14"/>
      <color indexed="8"/>
      <name val="Calibri"/>
      <family val="2"/>
      <charset val="204"/>
    </font>
    <font>
      <b/>
      <i/>
      <sz val="14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72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4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66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top" wrapText="1"/>
    </xf>
    <xf numFmtId="166" fontId="6" fillId="0" borderId="0" xfId="0" applyNumberFormat="1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8" fillId="0" borderId="0" xfId="0" applyFont="1" applyFill="1"/>
    <xf numFmtId="0" fontId="8" fillId="0" borderId="0" xfId="0" applyFont="1" applyFill="1" applyBorder="1" applyAlignment="1">
      <alignment horizontal="left" vertical="center" wrapText="1" indent="1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wrapText="1"/>
    </xf>
    <xf numFmtId="2" fontId="9" fillId="0" borderId="25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12" xfId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right" vertical="top" wrapText="1"/>
    </xf>
    <xf numFmtId="0" fontId="16" fillId="0" borderId="4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164" fontId="14" fillId="0" borderId="4" xfId="1" applyFont="1" applyFill="1" applyBorder="1" applyAlignment="1">
      <alignment horizontal="center" vertical="center" wrapText="1"/>
    </xf>
    <xf numFmtId="164" fontId="14" fillId="0" borderId="12" xfId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4" fontId="15" fillId="0" borderId="4" xfId="2" applyNumberFormat="1" applyFont="1" applyFill="1" applyBorder="1" applyAlignment="1">
      <alignment horizontal="center" vertical="center" wrapText="1"/>
    </xf>
    <xf numFmtId="164" fontId="14" fillId="0" borderId="4" xfId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right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164" fontId="18" fillId="0" borderId="4" xfId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64" fontId="18" fillId="0" borderId="12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49" fontId="14" fillId="0" borderId="3" xfId="0" applyNumberFormat="1" applyFont="1" applyFill="1" applyBorder="1" applyAlignment="1">
      <alignment horizontal="center" vertical="center"/>
    </xf>
    <xf numFmtId="167" fontId="14" fillId="0" borderId="4" xfId="1" applyNumberFormat="1" applyFont="1" applyFill="1" applyBorder="1" applyAlignment="1">
      <alignment horizontal="right" vertical="center"/>
    </xf>
    <xf numFmtId="2" fontId="14" fillId="0" borderId="4" xfId="1" applyNumberFormat="1" applyFont="1" applyFill="1" applyBorder="1" applyAlignment="1">
      <alignment horizontal="right" vertical="center"/>
    </xf>
    <xf numFmtId="43" fontId="14" fillId="0" borderId="4" xfId="1" applyNumberFormat="1" applyFont="1" applyFill="1" applyBorder="1" applyAlignment="1">
      <alignment horizontal="right" vertical="center" wrapText="1"/>
    </xf>
    <xf numFmtId="2" fontId="14" fillId="0" borderId="4" xfId="1" applyNumberFormat="1" applyFont="1" applyFill="1" applyBorder="1" applyAlignment="1">
      <alignment horizontal="right" vertical="center" wrapText="1"/>
    </xf>
    <xf numFmtId="167" fontId="14" fillId="0" borderId="4" xfId="1" applyNumberFormat="1" applyFont="1" applyFill="1" applyBorder="1" applyAlignment="1">
      <alignment vertical="center"/>
    </xf>
    <xf numFmtId="49" fontId="19" fillId="3" borderId="3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164" fontId="9" fillId="3" borderId="4" xfId="1" applyFont="1" applyFill="1" applyBorder="1" applyAlignment="1">
      <alignment horizontal="center" vertical="center" wrapText="1"/>
    </xf>
    <xf numFmtId="164" fontId="9" fillId="3" borderId="12" xfId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top"/>
    </xf>
    <xf numFmtId="49" fontId="9" fillId="0" borderId="4" xfId="0" applyNumberFormat="1" applyFont="1" applyFill="1" applyBorder="1" applyAlignment="1">
      <alignment vertical="top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top" wrapText="1"/>
    </xf>
    <xf numFmtId="49" fontId="9" fillId="3" borderId="4" xfId="0" applyNumberFormat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center" vertical="center"/>
    </xf>
    <xf numFmtId="164" fontId="10" fillId="0" borderId="12" xfId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164" fontId="10" fillId="3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/>
    </xf>
    <xf numFmtId="164" fontId="10" fillId="3" borderId="12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164" fontId="14" fillId="0" borderId="4" xfId="1" applyFont="1" applyFill="1" applyBorder="1" applyAlignment="1">
      <alignment horizontal="right" vertical="center"/>
    </xf>
    <xf numFmtId="164" fontId="14" fillId="0" borderId="12" xfId="1" applyFont="1" applyFill="1" applyBorder="1" applyAlignment="1">
      <alignment horizontal="right" vertical="center"/>
    </xf>
    <xf numFmtId="164" fontId="14" fillId="3" borderId="4" xfId="1" applyFont="1" applyFill="1" applyBorder="1" applyAlignment="1">
      <alignment horizontal="right" vertical="center"/>
    </xf>
    <xf numFmtId="164" fontId="14" fillId="3" borderId="12" xfId="1" applyFont="1" applyFill="1" applyBorder="1" applyAlignment="1">
      <alignment horizontal="right" vertical="center"/>
    </xf>
    <xf numFmtId="164" fontId="9" fillId="0" borderId="4" xfId="1" applyFont="1" applyFill="1" applyBorder="1" applyAlignment="1">
      <alignment horizontal="right" vertical="center"/>
    </xf>
    <xf numFmtId="164" fontId="9" fillId="0" borderId="12" xfId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righ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right" vertical="center" wrapText="1"/>
    </xf>
    <xf numFmtId="1" fontId="9" fillId="0" borderId="4" xfId="1" applyNumberFormat="1" applyFont="1" applyFill="1" applyBorder="1" applyAlignment="1">
      <alignment horizontal="right" vertical="center" wrapText="1"/>
    </xf>
    <xf numFmtId="2" fontId="9" fillId="0" borderId="4" xfId="0" applyNumberFormat="1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1" fontId="20" fillId="0" borderId="4" xfId="0" applyNumberFormat="1" applyFont="1" applyFill="1" applyBorder="1" applyAlignment="1">
      <alignment horizontal="right" vertical="center"/>
    </xf>
    <xf numFmtId="168" fontId="9" fillId="0" borderId="4" xfId="1" applyNumberFormat="1" applyFont="1" applyFill="1" applyBorder="1" applyAlignment="1">
      <alignment horizontal="right" vertical="center" wrapText="1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27" xfId="0" applyNumberFormat="1" applyFont="1" applyFill="1" applyBorder="1" applyAlignment="1" applyProtection="1">
      <alignment horizontal="center" vertical="center" wrapText="1"/>
    </xf>
    <xf numFmtId="49" fontId="9" fillId="0" borderId="27" xfId="0" applyNumberFormat="1" applyFont="1" applyFill="1" applyBorder="1" applyAlignment="1">
      <alignment horizontal="center" vertical="center" wrapText="1"/>
    </xf>
    <xf numFmtId="49" fontId="9" fillId="0" borderId="27" xfId="0" applyNumberFormat="1" applyFont="1" applyFill="1" applyBorder="1" applyAlignment="1">
      <alignment vertical="center" wrapText="1"/>
    </xf>
    <xf numFmtId="2" fontId="9" fillId="0" borderId="27" xfId="0" applyNumberFormat="1" applyFont="1" applyFill="1" applyBorder="1" applyAlignment="1">
      <alignment horizontal="center" vertical="center" wrapText="1"/>
    </xf>
    <xf numFmtId="2" fontId="9" fillId="0" borderId="27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/>
    <xf numFmtId="0" fontId="10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vertical="center" wrapText="1"/>
    </xf>
    <xf numFmtId="164" fontId="9" fillId="0" borderId="2" xfId="1" applyFont="1" applyFill="1" applyBorder="1" applyAlignment="1">
      <alignment vertical="center" wrapText="1"/>
    </xf>
    <xf numFmtId="164" fontId="9" fillId="0" borderId="23" xfId="1" applyFont="1" applyFill="1" applyBorder="1" applyAlignment="1">
      <alignment horizontal="right" vertical="center" wrapText="1"/>
    </xf>
    <xf numFmtId="164" fontId="10" fillId="2" borderId="22" xfId="1" applyFont="1" applyFill="1" applyBorder="1" applyAlignment="1">
      <alignment horizontal="right" vertical="center" wrapText="1"/>
    </xf>
    <xf numFmtId="49" fontId="10" fillId="0" borderId="3" xfId="0" applyNumberFormat="1" applyFont="1" applyFill="1" applyBorder="1"/>
    <xf numFmtId="0" fontId="10" fillId="0" borderId="4" xfId="0" applyNumberFormat="1" applyFont="1" applyFill="1" applyBorder="1" applyAlignment="1">
      <alignment vertical="center" wrapText="1"/>
    </xf>
    <xf numFmtId="164" fontId="10" fillId="0" borderId="4" xfId="1" applyFont="1" applyFill="1" applyBorder="1" applyAlignment="1">
      <alignment vertical="center" wrapText="1"/>
    </xf>
    <xf numFmtId="164" fontId="10" fillId="0" borderId="16" xfId="1" applyFont="1" applyFill="1" applyBorder="1" applyAlignment="1">
      <alignment horizontal="right" vertical="center" wrapText="1"/>
    </xf>
    <xf numFmtId="49" fontId="10" fillId="0" borderId="5" xfId="0" applyNumberFormat="1" applyFont="1" applyFill="1" applyBorder="1"/>
    <xf numFmtId="0" fontId="9" fillId="0" borderId="6" xfId="0" applyNumberFormat="1" applyFont="1" applyFill="1" applyBorder="1" applyAlignment="1">
      <alignment vertical="center" wrapText="1"/>
    </xf>
    <xf numFmtId="164" fontId="9" fillId="0" borderId="6" xfId="1" applyFont="1" applyFill="1" applyBorder="1" applyAlignment="1">
      <alignment vertical="center" wrapText="1"/>
    </xf>
    <xf numFmtId="164" fontId="9" fillId="0" borderId="28" xfId="1" applyFont="1" applyFill="1" applyBorder="1" applyAlignment="1">
      <alignment horizontal="right" vertical="center" wrapText="1"/>
    </xf>
    <xf numFmtId="164" fontId="10" fillId="2" borderId="29" xfId="1" applyFont="1" applyFill="1" applyBorder="1" applyAlignment="1">
      <alignment horizontal="right" vertical="center" wrapText="1"/>
    </xf>
    <xf numFmtId="164" fontId="10" fillId="2" borderId="20" xfId="1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67" fontId="9" fillId="0" borderId="4" xfId="1" applyNumberFormat="1" applyFont="1" applyFill="1" applyBorder="1" applyAlignment="1">
      <alignment horizontal="center" vertical="center" wrapText="1"/>
    </xf>
    <xf numFmtId="167" fontId="14" fillId="0" borderId="4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65" fontId="5" fillId="2" borderId="8" xfId="1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/>
    </xf>
    <xf numFmtId="0" fontId="0" fillId="0" borderId="0" xfId="0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topLeftCell="A115" zoomScale="70" zoomScaleNormal="70" zoomScaleSheetLayoutView="100" workbookViewId="0">
      <selection activeCell="K133" sqref="K133"/>
    </sheetView>
  </sheetViews>
  <sheetFormatPr defaultColWidth="9.140625" defaultRowHeight="18.75" x14ac:dyDescent="0.25"/>
  <cols>
    <col min="1" max="1" width="8.140625" style="1" customWidth="1"/>
    <col min="2" max="2" width="51.85546875" style="1" customWidth="1"/>
    <col min="3" max="3" width="11.42578125" style="1" customWidth="1"/>
    <col min="4" max="4" width="11.85546875" style="1" customWidth="1"/>
    <col min="5" max="5" width="22.28515625" style="1" customWidth="1"/>
    <col min="6" max="6" width="18.140625" style="1" customWidth="1"/>
    <col min="7" max="7" width="17.140625" style="20" customWidth="1"/>
    <col min="8" max="8" width="17.7109375" style="1" customWidth="1"/>
    <col min="9" max="9" width="17.85546875" style="1" customWidth="1"/>
    <col min="10" max="10" width="11.28515625" style="1" customWidth="1"/>
    <col min="11" max="11" width="18.28515625" style="1" customWidth="1"/>
    <col min="12" max="12" width="12.7109375" style="1" customWidth="1"/>
    <col min="13" max="16384" width="9.140625" style="1"/>
  </cols>
  <sheetData>
    <row r="1" spans="1:12" x14ac:dyDescent="0.25">
      <c r="H1" s="143" t="s">
        <v>0</v>
      </c>
      <c r="I1" s="143"/>
    </row>
    <row r="2" spans="1:12" ht="23.25" customHeight="1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2"/>
      <c r="K2" s="2"/>
      <c r="L2" s="2"/>
    </row>
    <row r="3" spans="1:12" ht="21.75" customHeight="1" x14ac:dyDescent="0.25">
      <c r="A3" s="143" t="s">
        <v>7</v>
      </c>
      <c r="B3" s="143"/>
      <c r="C3" s="143"/>
      <c r="D3" s="143"/>
      <c r="E3" s="143"/>
      <c r="F3" s="143"/>
      <c r="G3" s="143"/>
      <c r="H3" s="143"/>
      <c r="I3" s="143"/>
      <c r="J3" s="2"/>
      <c r="K3" s="2"/>
      <c r="L3" s="2"/>
    </row>
    <row r="4" spans="1:12" ht="63.75" customHeight="1" x14ac:dyDescent="0.25">
      <c r="A4" s="143" t="s">
        <v>29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2" ht="20.100000000000001" customHeight="1" x14ac:dyDescent="0.25">
      <c r="A5" s="4" t="s">
        <v>8</v>
      </c>
      <c r="B5" s="155"/>
      <c r="C5" s="155"/>
      <c r="D5" s="145" t="s">
        <v>211</v>
      </c>
      <c r="E5" s="145"/>
      <c r="F5" s="145"/>
      <c r="G5" s="145"/>
      <c r="H5" s="145"/>
      <c r="I5" s="145"/>
      <c r="J5" s="4"/>
      <c r="K5" s="4"/>
      <c r="L5" s="4"/>
    </row>
    <row r="6" spans="1:12" ht="25.5" customHeight="1" x14ac:dyDescent="0.3">
      <c r="A6" s="142" t="s">
        <v>212</v>
      </c>
      <c r="B6" s="142"/>
      <c r="C6" s="142"/>
      <c r="D6" s="142"/>
      <c r="E6" s="142"/>
      <c r="F6" s="142"/>
      <c r="G6" s="171"/>
      <c r="H6" s="163" t="str">
        <f>I131</f>
        <v xml:space="preserve"> </v>
      </c>
      <c r="I6" s="163"/>
      <c r="J6" s="2"/>
      <c r="K6" s="2"/>
      <c r="L6" s="2"/>
    </row>
    <row r="7" spans="1:12" ht="7.5" customHeight="1" thickBot="1" x14ac:dyDescent="0.3">
      <c r="A7" s="156"/>
      <c r="B7" s="156"/>
      <c r="C7" s="156"/>
      <c r="D7" s="156"/>
      <c r="E7" s="156"/>
      <c r="F7" s="156"/>
      <c r="G7" s="2"/>
      <c r="H7" s="2"/>
      <c r="I7" s="2"/>
      <c r="J7" s="2"/>
      <c r="K7" s="2"/>
      <c r="L7" s="2"/>
    </row>
    <row r="8" spans="1:12" s="22" customFormat="1" ht="21" customHeight="1" thickBot="1" x14ac:dyDescent="0.25">
      <c r="A8" s="157" t="s">
        <v>2</v>
      </c>
      <c r="B8" s="159" t="s">
        <v>30</v>
      </c>
      <c r="C8" s="159" t="s">
        <v>23</v>
      </c>
      <c r="D8" s="161" t="s">
        <v>31</v>
      </c>
      <c r="E8" s="151" t="s">
        <v>32</v>
      </c>
      <c r="F8" s="162"/>
      <c r="G8" s="152"/>
      <c r="H8" s="151" t="s">
        <v>33</v>
      </c>
      <c r="I8" s="152"/>
      <c r="J8" s="21"/>
    </row>
    <row r="9" spans="1:12" s="22" customFormat="1" ht="41.25" customHeight="1" thickBot="1" x14ac:dyDescent="0.25">
      <c r="A9" s="158"/>
      <c r="B9" s="160"/>
      <c r="C9" s="160"/>
      <c r="D9" s="160"/>
      <c r="E9" s="33" t="s">
        <v>24</v>
      </c>
      <c r="F9" s="33" t="s">
        <v>25</v>
      </c>
      <c r="G9" s="33" t="s">
        <v>26</v>
      </c>
      <c r="H9" s="34" t="s">
        <v>34</v>
      </c>
      <c r="I9" s="35" t="s">
        <v>35</v>
      </c>
      <c r="J9" s="21"/>
    </row>
    <row r="10" spans="1:12" s="22" customFormat="1" ht="18.600000000000001" thickBot="1" x14ac:dyDescent="0.3">
      <c r="A10" s="36">
        <v>1</v>
      </c>
      <c r="B10" s="37">
        <v>2</v>
      </c>
      <c r="C10" s="37">
        <v>3</v>
      </c>
      <c r="D10" s="37">
        <v>4</v>
      </c>
      <c r="E10" s="37">
        <v>5</v>
      </c>
      <c r="F10" s="37">
        <v>6</v>
      </c>
      <c r="G10" s="37">
        <v>7</v>
      </c>
      <c r="H10" s="37">
        <v>8</v>
      </c>
      <c r="I10" s="38">
        <v>9</v>
      </c>
      <c r="J10" s="21"/>
    </row>
    <row r="11" spans="1:12" s="22" customFormat="1" ht="26.1" customHeight="1" x14ac:dyDescent="0.3">
      <c r="A11" s="39">
        <v>1</v>
      </c>
      <c r="B11" s="40" t="s">
        <v>36</v>
      </c>
      <c r="C11" s="41"/>
      <c r="D11" s="42"/>
      <c r="E11" s="42"/>
      <c r="F11" s="42"/>
      <c r="G11" s="42"/>
      <c r="H11" s="43"/>
      <c r="I11" s="44"/>
      <c r="J11" s="21"/>
    </row>
    <row r="12" spans="1:12" s="24" customFormat="1" ht="45" customHeight="1" x14ac:dyDescent="0.2">
      <c r="A12" s="45" t="s">
        <v>37</v>
      </c>
      <c r="B12" s="46" t="s">
        <v>38</v>
      </c>
      <c r="C12" s="47" t="s">
        <v>206</v>
      </c>
      <c r="D12" s="48"/>
      <c r="E12" s="49">
        <v>1360</v>
      </c>
      <c r="F12" s="49"/>
      <c r="G12" s="49">
        <f>E12+F12</f>
        <v>1360</v>
      </c>
      <c r="H12" s="49"/>
      <c r="I12" s="50">
        <f>G12*H12</f>
        <v>0</v>
      </c>
      <c r="J12" s="23"/>
    </row>
    <row r="13" spans="1:12" s="24" customFormat="1" ht="37.5" x14ac:dyDescent="0.2">
      <c r="A13" s="45" t="s">
        <v>39</v>
      </c>
      <c r="B13" s="46" t="s">
        <v>40</v>
      </c>
      <c r="C13" s="47" t="s">
        <v>18</v>
      </c>
      <c r="D13" s="48"/>
      <c r="E13" s="49">
        <v>2</v>
      </c>
      <c r="F13" s="49"/>
      <c r="G13" s="49">
        <f>E13+F13</f>
        <v>2</v>
      </c>
      <c r="H13" s="49"/>
      <c r="I13" s="50">
        <f>E13*H13</f>
        <v>0</v>
      </c>
      <c r="J13" s="21"/>
    </row>
    <row r="14" spans="1:12" s="24" customFormat="1" ht="26.1" customHeight="1" x14ac:dyDescent="0.2">
      <c r="A14" s="51" t="s">
        <v>41</v>
      </c>
      <c r="B14" s="52" t="s">
        <v>42</v>
      </c>
      <c r="C14" s="47"/>
      <c r="D14" s="48"/>
      <c r="E14" s="49"/>
      <c r="F14" s="49"/>
      <c r="G14" s="49"/>
      <c r="H14" s="49"/>
      <c r="I14" s="50"/>
      <c r="J14" s="21"/>
    </row>
    <row r="15" spans="1:12" s="24" customFormat="1" ht="26.1" customHeight="1" x14ac:dyDescent="0.2">
      <c r="A15" s="51" t="s">
        <v>43</v>
      </c>
      <c r="B15" s="53" t="s">
        <v>44</v>
      </c>
      <c r="C15" s="52" t="s">
        <v>16</v>
      </c>
      <c r="D15" s="48"/>
      <c r="E15" s="49">
        <v>67.599999999999994</v>
      </c>
      <c r="F15" s="49">
        <v>67.599999999999994</v>
      </c>
      <c r="G15" s="49">
        <f>E15+F15</f>
        <v>135.19999999999999</v>
      </c>
      <c r="H15" s="49"/>
      <c r="I15" s="50">
        <f>G15*H15</f>
        <v>0</v>
      </c>
      <c r="J15" s="21"/>
    </row>
    <row r="16" spans="1:12" s="24" customFormat="1" ht="15" customHeight="1" x14ac:dyDescent="0.2">
      <c r="A16" s="54" t="s">
        <v>45</v>
      </c>
      <c r="B16" s="55" t="s">
        <v>46</v>
      </c>
      <c r="C16" s="56" t="s">
        <v>16</v>
      </c>
      <c r="D16" s="57">
        <v>1.02</v>
      </c>
      <c r="E16" s="58">
        <f>D16*E15</f>
        <v>68.951999999999998</v>
      </c>
      <c r="F16" s="58">
        <f>F15*D16</f>
        <v>68.951999999999998</v>
      </c>
      <c r="G16" s="58">
        <f t="shared" ref="G16:G23" si="0">E16+F16</f>
        <v>137.904</v>
      </c>
      <c r="H16" s="58"/>
      <c r="I16" s="59"/>
      <c r="J16" s="21"/>
    </row>
    <row r="17" spans="1:10" s="24" customFormat="1" ht="20.100000000000001" customHeight="1" x14ac:dyDescent="0.2">
      <c r="A17" s="54" t="s">
        <v>47</v>
      </c>
      <c r="B17" s="55" t="s">
        <v>48</v>
      </c>
      <c r="C17" s="60" t="s">
        <v>49</v>
      </c>
      <c r="D17" s="61">
        <v>1.02</v>
      </c>
      <c r="E17" s="62">
        <f>0.2*D17</f>
        <v>0.20400000000000001</v>
      </c>
      <c r="F17" s="62">
        <f>0.2*D17</f>
        <v>0.20400000000000001</v>
      </c>
      <c r="G17" s="58">
        <f t="shared" si="0"/>
        <v>0.40800000000000003</v>
      </c>
      <c r="H17" s="58"/>
      <c r="I17" s="59"/>
      <c r="J17" s="21"/>
    </row>
    <row r="18" spans="1:10" s="24" customFormat="1" ht="20.100000000000001" customHeight="1" x14ac:dyDescent="0.2">
      <c r="A18" s="54" t="s">
        <v>50</v>
      </c>
      <c r="B18" s="55" t="s">
        <v>51</v>
      </c>
      <c r="C18" s="60" t="s">
        <v>49</v>
      </c>
      <c r="D18" s="57">
        <v>1.02</v>
      </c>
      <c r="E18" s="62">
        <f>0.817*D18</f>
        <v>0.83333999999999997</v>
      </c>
      <c r="F18" s="62">
        <f>0.817*D18</f>
        <v>0.83333999999999997</v>
      </c>
      <c r="G18" s="58">
        <f t="shared" si="0"/>
        <v>1.6666799999999999</v>
      </c>
      <c r="H18" s="58"/>
      <c r="I18" s="59"/>
      <c r="J18" s="21"/>
    </row>
    <row r="19" spans="1:10" s="24" customFormat="1" ht="20.100000000000001" customHeight="1" x14ac:dyDescent="0.2">
      <c r="A19" s="54" t="s">
        <v>52</v>
      </c>
      <c r="B19" s="55" t="s">
        <v>53</v>
      </c>
      <c r="C19" s="60" t="s">
        <v>49</v>
      </c>
      <c r="D19" s="61">
        <v>1.02</v>
      </c>
      <c r="E19" s="62">
        <f>1.26*D19</f>
        <v>1.2852000000000001</v>
      </c>
      <c r="F19" s="62">
        <f>1.26*D19</f>
        <v>1.2852000000000001</v>
      </c>
      <c r="G19" s="58">
        <f t="shared" si="0"/>
        <v>2.5704000000000002</v>
      </c>
      <c r="H19" s="58"/>
      <c r="I19" s="59"/>
      <c r="J19" s="21"/>
    </row>
    <row r="20" spans="1:10" s="24" customFormat="1" ht="20.100000000000001" customHeight="1" x14ac:dyDescent="0.2">
      <c r="A20" s="54" t="s">
        <v>54</v>
      </c>
      <c r="B20" s="55" t="s">
        <v>55</v>
      </c>
      <c r="C20" s="60" t="s">
        <v>49</v>
      </c>
      <c r="D20" s="57">
        <v>1.02</v>
      </c>
      <c r="E20" s="62">
        <f>2.58*D20</f>
        <v>2.6316000000000002</v>
      </c>
      <c r="F20" s="62">
        <f>2.58*D20</f>
        <v>2.6316000000000002</v>
      </c>
      <c r="G20" s="58">
        <f t="shared" si="0"/>
        <v>5.2632000000000003</v>
      </c>
      <c r="H20" s="58"/>
      <c r="I20" s="59"/>
      <c r="J20" s="21"/>
    </row>
    <row r="21" spans="1:10" s="24" customFormat="1" ht="20.100000000000001" customHeight="1" x14ac:dyDescent="0.2">
      <c r="A21" s="54" t="s">
        <v>56</v>
      </c>
      <c r="B21" s="55" t="s">
        <v>57</v>
      </c>
      <c r="C21" s="60" t="s">
        <v>17</v>
      </c>
      <c r="D21" s="61">
        <v>5</v>
      </c>
      <c r="E21" s="62">
        <f>SUM(E17:E20)*D21</f>
        <v>24.770700000000005</v>
      </c>
      <c r="F21" s="62">
        <f>SUM(F17:F20)*D21</f>
        <v>24.770700000000005</v>
      </c>
      <c r="G21" s="58">
        <f t="shared" si="0"/>
        <v>49.54140000000001</v>
      </c>
      <c r="H21" s="58"/>
      <c r="I21" s="59"/>
      <c r="J21" s="21"/>
    </row>
    <row r="22" spans="1:10" s="24" customFormat="1" ht="18" customHeight="1" x14ac:dyDescent="0.2">
      <c r="A22" s="63" t="s">
        <v>58</v>
      </c>
      <c r="B22" s="53" t="s">
        <v>59</v>
      </c>
      <c r="C22" s="52" t="s">
        <v>207</v>
      </c>
      <c r="D22" s="48"/>
      <c r="E22" s="49">
        <v>136</v>
      </c>
      <c r="F22" s="49"/>
      <c r="G22" s="49">
        <f t="shared" si="0"/>
        <v>136</v>
      </c>
      <c r="H22" s="49"/>
      <c r="I22" s="50">
        <f>E22*H22</f>
        <v>0</v>
      </c>
      <c r="J22" s="21"/>
    </row>
    <row r="23" spans="1:10" s="24" customFormat="1" ht="18" customHeight="1" x14ac:dyDescent="0.2">
      <c r="A23" s="64" t="s">
        <v>60</v>
      </c>
      <c r="B23" s="65" t="s">
        <v>61</v>
      </c>
      <c r="C23" s="56" t="s">
        <v>16</v>
      </c>
      <c r="D23" s="57">
        <v>1.02</v>
      </c>
      <c r="E23" s="58">
        <f>E22*D23</f>
        <v>138.72</v>
      </c>
      <c r="F23" s="58"/>
      <c r="G23" s="58">
        <f t="shared" si="0"/>
        <v>138.72</v>
      </c>
      <c r="H23" s="58"/>
      <c r="I23" s="59"/>
      <c r="J23" s="21"/>
    </row>
    <row r="24" spans="1:10" s="24" customFormat="1" ht="37.5" x14ac:dyDescent="0.2">
      <c r="A24" s="63" t="s">
        <v>62</v>
      </c>
      <c r="B24" s="53" t="s">
        <v>63</v>
      </c>
      <c r="C24" s="52" t="s">
        <v>208</v>
      </c>
      <c r="D24" s="66"/>
      <c r="E24" s="49">
        <v>1360</v>
      </c>
      <c r="F24" s="67">
        <v>1382</v>
      </c>
      <c r="G24" s="67">
        <f>E24+F24</f>
        <v>2742</v>
      </c>
      <c r="H24" s="49"/>
      <c r="I24" s="50">
        <f>G24*H24</f>
        <v>0</v>
      </c>
      <c r="J24" s="21"/>
    </row>
    <row r="25" spans="1:10" s="24" customFormat="1" ht="18" customHeight="1" x14ac:dyDescent="0.2">
      <c r="A25" s="68" t="s">
        <v>64</v>
      </c>
      <c r="B25" s="65" t="s">
        <v>65</v>
      </c>
      <c r="C25" s="56" t="s">
        <v>17</v>
      </c>
      <c r="D25" s="57">
        <v>0.35</v>
      </c>
      <c r="E25" s="58">
        <f>E24*0.35</f>
        <v>475.99999999999994</v>
      </c>
      <c r="F25" s="58">
        <f>F24*0.35</f>
        <v>483.7</v>
      </c>
      <c r="G25" s="58">
        <f>E25+F25</f>
        <v>959.69999999999993</v>
      </c>
      <c r="H25" s="58"/>
      <c r="I25" s="59"/>
      <c r="J25" s="21"/>
    </row>
    <row r="26" spans="1:10" s="24" customFormat="1" ht="18" customHeight="1" x14ac:dyDescent="0.2">
      <c r="A26" s="68" t="s">
        <v>66</v>
      </c>
      <c r="B26" s="65" t="s">
        <v>67</v>
      </c>
      <c r="C26" s="56" t="s">
        <v>17</v>
      </c>
      <c r="D26" s="57">
        <v>1</v>
      </c>
      <c r="E26" s="58">
        <f>2*E24*1</f>
        <v>2720</v>
      </c>
      <c r="F26" s="58">
        <f>2*F24*1</f>
        <v>2764</v>
      </c>
      <c r="G26" s="58">
        <f>E26+F26</f>
        <v>5484</v>
      </c>
      <c r="H26" s="58"/>
      <c r="I26" s="59"/>
      <c r="J26" s="21"/>
    </row>
    <row r="27" spans="1:10" s="24" customFormat="1" ht="18" customHeight="1" x14ac:dyDescent="0.2">
      <c r="A27" s="68" t="s">
        <v>68</v>
      </c>
      <c r="B27" s="65" t="s">
        <v>69</v>
      </c>
      <c r="C27" s="47" t="s">
        <v>206</v>
      </c>
      <c r="D27" s="57">
        <v>1.1000000000000001</v>
      </c>
      <c r="E27" s="58">
        <f>E24*D27</f>
        <v>1496.0000000000002</v>
      </c>
      <c r="F27" s="58">
        <f>D27*F24</f>
        <v>1520.2</v>
      </c>
      <c r="G27" s="58">
        <f>E27+F27</f>
        <v>3016.2000000000003</v>
      </c>
      <c r="H27" s="58"/>
      <c r="I27" s="59"/>
      <c r="J27" s="21"/>
    </row>
    <row r="28" spans="1:10" s="24" customFormat="1" ht="18" customHeight="1" x14ac:dyDescent="0.2">
      <c r="A28" s="63" t="s">
        <v>70</v>
      </c>
      <c r="B28" s="53" t="s">
        <v>71</v>
      </c>
      <c r="C28" s="52" t="s">
        <v>72</v>
      </c>
      <c r="D28" s="66"/>
      <c r="E28" s="153">
        <v>18.899999999999999</v>
      </c>
      <c r="F28" s="153"/>
      <c r="G28" s="49">
        <f>E28</f>
        <v>18.899999999999999</v>
      </c>
      <c r="H28" s="49"/>
      <c r="I28" s="69">
        <f>G28*H28</f>
        <v>0</v>
      </c>
      <c r="J28" s="21"/>
    </row>
    <row r="29" spans="1:10" s="24" customFormat="1" ht="18" customHeight="1" x14ac:dyDescent="0.2">
      <c r="A29" s="64" t="s">
        <v>73</v>
      </c>
      <c r="B29" s="65" t="s">
        <v>74</v>
      </c>
      <c r="C29" s="56" t="s">
        <v>72</v>
      </c>
      <c r="D29" s="57">
        <v>1.02</v>
      </c>
      <c r="E29" s="154">
        <f>E28*D29</f>
        <v>19.277999999999999</v>
      </c>
      <c r="F29" s="154"/>
      <c r="G29" s="58">
        <f>E29</f>
        <v>19.277999999999999</v>
      </c>
      <c r="H29" s="58"/>
      <c r="I29" s="59"/>
      <c r="J29" s="21"/>
    </row>
    <row r="30" spans="1:10" s="24" customFormat="1" ht="18" customHeight="1" x14ac:dyDescent="0.2">
      <c r="A30" s="63" t="s">
        <v>75</v>
      </c>
      <c r="B30" s="53" t="s">
        <v>76</v>
      </c>
      <c r="C30" s="52" t="s">
        <v>72</v>
      </c>
      <c r="D30" s="48"/>
      <c r="E30" s="49">
        <v>12.6</v>
      </c>
      <c r="F30" s="49">
        <v>12.6</v>
      </c>
      <c r="G30" s="49">
        <f>E30+F30</f>
        <v>25.2</v>
      </c>
      <c r="H30" s="49"/>
      <c r="I30" s="50">
        <f>G30*H30</f>
        <v>0</v>
      </c>
      <c r="J30" s="21"/>
    </row>
    <row r="31" spans="1:10" s="24" customFormat="1" ht="18" customHeight="1" x14ac:dyDescent="0.2">
      <c r="A31" s="64" t="s">
        <v>77</v>
      </c>
      <c r="B31" s="65" t="s">
        <v>78</v>
      </c>
      <c r="C31" s="47" t="s">
        <v>72</v>
      </c>
      <c r="D31" s="57">
        <v>1</v>
      </c>
      <c r="E31" s="58">
        <v>12.6</v>
      </c>
      <c r="F31" s="58">
        <v>12.6</v>
      </c>
      <c r="G31" s="58">
        <f>E31+F31</f>
        <v>25.2</v>
      </c>
      <c r="H31" s="58"/>
      <c r="I31" s="59"/>
      <c r="J31" s="21"/>
    </row>
    <row r="32" spans="1:10" s="24" customFormat="1" ht="18" customHeight="1" x14ac:dyDescent="0.2">
      <c r="A32" s="63" t="s">
        <v>79</v>
      </c>
      <c r="B32" s="53" t="s">
        <v>80</v>
      </c>
      <c r="C32" s="52" t="s">
        <v>208</v>
      </c>
      <c r="D32" s="48"/>
      <c r="E32" s="153">
        <f>18.9*1.2</f>
        <v>22.679999999999996</v>
      </c>
      <c r="F32" s="153"/>
      <c r="G32" s="49">
        <f>E32</f>
        <v>22.679999999999996</v>
      </c>
      <c r="H32" s="49"/>
      <c r="I32" s="50">
        <f>G32*H32</f>
        <v>0</v>
      </c>
      <c r="J32" s="21"/>
    </row>
    <row r="33" spans="1:10" s="24" customFormat="1" ht="18" customHeight="1" x14ac:dyDescent="0.2">
      <c r="A33" s="64" t="s">
        <v>81</v>
      </c>
      <c r="B33" s="65" t="s">
        <v>82</v>
      </c>
      <c r="C33" s="47" t="s">
        <v>209</v>
      </c>
      <c r="D33" s="57">
        <v>1</v>
      </c>
      <c r="E33" s="154">
        <f>E32*0.05</f>
        <v>1.1339999999999999</v>
      </c>
      <c r="F33" s="154"/>
      <c r="G33" s="58">
        <f>E33</f>
        <v>1.1339999999999999</v>
      </c>
      <c r="H33" s="58"/>
      <c r="I33" s="59"/>
      <c r="J33" s="21"/>
    </row>
    <row r="34" spans="1:10" s="24" customFormat="1" ht="37.5" x14ac:dyDescent="0.3">
      <c r="A34" s="63" t="s">
        <v>83</v>
      </c>
      <c r="B34" s="70" t="s">
        <v>84</v>
      </c>
      <c r="C34" s="52" t="s">
        <v>207</v>
      </c>
      <c r="D34" s="48"/>
      <c r="E34" s="49">
        <v>1593.61</v>
      </c>
      <c r="F34" s="49">
        <v>1668.2</v>
      </c>
      <c r="G34" s="49">
        <f>E34+F34</f>
        <v>3261.81</v>
      </c>
      <c r="H34" s="49"/>
      <c r="I34" s="50">
        <f>E34*H34</f>
        <v>0</v>
      </c>
      <c r="J34" s="23"/>
    </row>
    <row r="35" spans="1:10" s="24" customFormat="1" x14ac:dyDescent="0.2">
      <c r="A35" s="71" t="s">
        <v>85</v>
      </c>
      <c r="B35" s="55" t="s">
        <v>86</v>
      </c>
      <c r="C35" s="60" t="s">
        <v>16</v>
      </c>
      <c r="D35" s="61">
        <v>1.02</v>
      </c>
      <c r="E35" s="72">
        <f>E34*D35</f>
        <v>1625.4821999999999</v>
      </c>
      <c r="F35" s="73">
        <f>F34*D35</f>
        <v>1701.5640000000001</v>
      </c>
      <c r="G35" s="58">
        <f>E35+F35</f>
        <v>3327.0461999999998</v>
      </c>
      <c r="H35" s="49"/>
      <c r="I35" s="50"/>
      <c r="J35" s="21"/>
    </row>
    <row r="36" spans="1:10" s="24" customFormat="1" ht="18" customHeight="1" x14ac:dyDescent="0.2">
      <c r="A36" s="71" t="s">
        <v>87</v>
      </c>
      <c r="B36" s="55" t="s">
        <v>48</v>
      </c>
      <c r="C36" s="60" t="s">
        <v>17</v>
      </c>
      <c r="D36" s="61">
        <v>1.02</v>
      </c>
      <c r="E36" s="72">
        <f>6629.5*D36</f>
        <v>6762.09</v>
      </c>
      <c r="F36" s="73">
        <f>7521.6*D36</f>
        <v>7672.0320000000002</v>
      </c>
      <c r="G36" s="58">
        <f t="shared" ref="G36:G43" si="1">E36+F36</f>
        <v>14434.121999999999</v>
      </c>
      <c r="H36" s="49"/>
      <c r="I36" s="50"/>
      <c r="J36" s="21"/>
    </row>
    <row r="37" spans="1:10" s="24" customFormat="1" ht="18" customHeight="1" x14ac:dyDescent="0.2">
      <c r="A37" s="71" t="s">
        <v>88</v>
      </c>
      <c r="B37" s="55" t="s">
        <v>51</v>
      </c>
      <c r="C37" s="60" t="s">
        <v>17</v>
      </c>
      <c r="D37" s="61">
        <v>1.02</v>
      </c>
      <c r="E37" s="72">
        <f>8751.6*D37</f>
        <v>8926.6320000000014</v>
      </c>
      <c r="F37" s="73">
        <f>9183.2*D37</f>
        <v>9366.8640000000014</v>
      </c>
      <c r="G37" s="58">
        <f t="shared" si="1"/>
        <v>18293.496000000003</v>
      </c>
      <c r="H37" s="49"/>
      <c r="I37" s="50"/>
      <c r="J37" s="21"/>
    </row>
    <row r="38" spans="1:10" s="24" customFormat="1" ht="18" customHeight="1" x14ac:dyDescent="0.2">
      <c r="A38" s="71" t="s">
        <v>89</v>
      </c>
      <c r="B38" s="55" t="s">
        <v>53</v>
      </c>
      <c r="C38" s="60" t="s">
        <v>17</v>
      </c>
      <c r="D38" s="61">
        <v>1.02</v>
      </c>
      <c r="E38" s="72">
        <v>0</v>
      </c>
      <c r="F38" s="73">
        <f>2450.3*D38</f>
        <v>2499.306</v>
      </c>
      <c r="G38" s="58">
        <f t="shared" si="1"/>
        <v>2499.306</v>
      </c>
      <c r="H38" s="49"/>
      <c r="I38" s="50"/>
      <c r="J38" s="21"/>
    </row>
    <row r="39" spans="1:10" s="24" customFormat="1" ht="18" customHeight="1" x14ac:dyDescent="0.2">
      <c r="A39" s="71" t="s">
        <v>90</v>
      </c>
      <c r="B39" s="55" t="s">
        <v>55</v>
      </c>
      <c r="C39" s="60" t="s">
        <v>17</v>
      </c>
      <c r="D39" s="61">
        <v>1.02</v>
      </c>
      <c r="E39" s="72">
        <f>140361*D39</f>
        <v>143168.22</v>
      </c>
      <c r="F39" s="73">
        <f>151655.4*D39</f>
        <v>154688.508</v>
      </c>
      <c r="G39" s="58">
        <f t="shared" si="1"/>
        <v>297856.728</v>
      </c>
      <c r="H39" s="49"/>
      <c r="I39" s="50"/>
      <c r="J39" s="21"/>
    </row>
    <row r="40" spans="1:10" s="24" customFormat="1" ht="18" customHeight="1" x14ac:dyDescent="0.2">
      <c r="A40" s="71" t="s">
        <v>91</v>
      </c>
      <c r="B40" s="55" t="s">
        <v>92</v>
      </c>
      <c r="C40" s="60" t="s">
        <v>17</v>
      </c>
      <c r="D40" s="61">
        <v>1.02</v>
      </c>
      <c r="E40" s="72">
        <f>124474.5*D40</f>
        <v>126963.99</v>
      </c>
      <c r="F40" s="73">
        <f>84420.3*D40</f>
        <v>86108.706000000006</v>
      </c>
      <c r="G40" s="58">
        <f t="shared" si="1"/>
        <v>213072.696</v>
      </c>
      <c r="H40" s="49"/>
      <c r="I40" s="50"/>
      <c r="J40" s="21"/>
    </row>
    <row r="41" spans="1:10" s="24" customFormat="1" ht="18" customHeight="1" x14ac:dyDescent="0.2">
      <c r="A41" s="71" t="s">
        <v>93</v>
      </c>
      <c r="B41" s="55" t="s">
        <v>57</v>
      </c>
      <c r="C41" s="60" t="s">
        <v>17</v>
      </c>
      <c r="D41" s="61">
        <v>4.0999999999999996</v>
      </c>
      <c r="E41" s="72">
        <f>SUM(E36:E40)*D41/1000</f>
        <v>1171.8658212</v>
      </c>
      <c r="F41" s="73">
        <f>SUM(F36:F40)*D41/1000</f>
        <v>1067.3752056000001</v>
      </c>
      <c r="G41" s="58">
        <f t="shared" si="1"/>
        <v>2239.2410268000003</v>
      </c>
      <c r="H41" s="49"/>
      <c r="I41" s="50"/>
      <c r="J41" s="21"/>
    </row>
    <row r="42" spans="1:10" s="24" customFormat="1" ht="37.5" x14ac:dyDescent="0.2">
      <c r="A42" s="71" t="s">
        <v>94</v>
      </c>
      <c r="B42" s="55" t="s">
        <v>95</v>
      </c>
      <c r="C42" s="60" t="s">
        <v>17</v>
      </c>
      <c r="D42" s="57">
        <v>1.02</v>
      </c>
      <c r="E42" s="74">
        <f>D42*430.9</f>
        <v>439.51799999999997</v>
      </c>
      <c r="F42" s="75">
        <f>D42*442.7</f>
        <v>451.55399999999997</v>
      </c>
      <c r="G42" s="58">
        <f t="shared" si="1"/>
        <v>891.07199999999989</v>
      </c>
      <c r="H42" s="49"/>
      <c r="I42" s="50"/>
      <c r="J42" s="21"/>
    </row>
    <row r="43" spans="1:10" s="24" customFormat="1" ht="18" customHeight="1" x14ac:dyDescent="0.2">
      <c r="A43" s="71" t="s">
        <v>96</v>
      </c>
      <c r="B43" s="55" t="s">
        <v>97</v>
      </c>
      <c r="C43" s="60" t="s">
        <v>17</v>
      </c>
      <c r="D43" s="61">
        <v>1.02</v>
      </c>
      <c r="E43" s="76">
        <f>223.9*D43</f>
        <v>228.37800000000001</v>
      </c>
      <c r="F43" s="73">
        <f>D43*252.9</f>
        <v>257.95800000000003</v>
      </c>
      <c r="G43" s="58">
        <f t="shared" si="1"/>
        <v>486.33600000000001</v>
      </c>
      <c r="H43" s="49"/>
      <c r="I43" s="50"/>
      <c r="J43" s="21"/>
    </row>
    <row r="44" spans="1:10" s="24" customFormat="1" ht="27.75" customHeight="1" x14ac:dyDescent="0.2">
      <c r="A44" s="77" t="s">
        <v>98</v>
      </c>
      <c r="B44" s="78" t="s">
        <v>99</v>
      </c>
      <c r="C44" s="79"/>
      <c r="D44" s="80"/>
      <c r="E44" s="81"/>
      <c r="F44" s="81"/>
      <c r="G44" s="81"/>
      <c r="H44" s="81"/>
      <c r="I44" s="82"/>
      <c r="J44" s="21"/>
    </row>
    <row r="45" spans="1:10" s="24" customFormat="1" ht="31.5" customHeight="1" x14ac:dyDescent="0.2">
      <c r="A45" s="83" t="s">
        <v>100</v>
      </c>
      <c r="B45" s="84" t="s">
        <v>101</v>
      </c>
      <c r="C45" s="85" t="s">
        <v>16</v>
      </c>
      <c r="D45" s="85"/>
      <c r="E45" s="49">
        <v>285.3</v>
      </c>
      <c r="F45" s="49">
        <v>309.3</v>
      </c>
      <c r="G45" s="49">
        <f>E45+F45</f>
        <v>594.6</v>
      </c>
      <c r="H45" s="49"/>
      <c r="I45" s="50">
        <f>G45*H45</f>
        <v>0</v>
      </c>
      <c r="J45" s="21"/>
    </row>
    <row r="46" spans="1:10" s="24" customFormat="1" ht="27" customHeight="1" x14ac:dyDescent="0.2">
      <c r="A46" s="71" t="s">
        <v>102</v>
      </c>
      <c r="B46" s="86" t="s">
        <v>103</v>
      </c>
      <c r="C46" s="87" t="s">
        <v>16</v>
      </c>
      <c r="D46" s="87">
        <v>1.02</v>
      </c>
      <c r="E46" s="62">
        <f>E45*D46</f>
        <v>291.00600000000003</v>
      </c>
      <c r="F46" s="62">
        <f>F45*D46</f>
        <v>315.48599999999999</v>
      </c>
      <c r="G46" s="58">
        <f t="shared" ref="G46:G91" si="2">E46+F46</f>
        <v>606.49199999999996</v>
      </c>
      <c r="H46" s="62"/>
      <c r="I46" s="59"/>
      <c r="J46" s="25"/>
    </row>
    <row r="47" spans="1:10" s="24" customFormat="1" ht="18" customHeight="1" x14ac:dyDescent="0.2">
      <c r="A47" s="71" t="s">
        <v>104</v>
      </c>
      <c r="B47" s="55" t="s">
        <v>105</v>
      </c>
      <c r="C47" s="60" t="s">
        <v>17</v>
      </c>
      <c r="D47" s="61">
        <v>1.02</v>
      </c>
      <c r="E47" s="62">
        <f>E45*200*D47</f>
        <v>58201.200000000004</v>
      </c>
      <c r="F47" s="62">
        <f>F45*200*D47</f>
        <v>63097.200000000004</v>
      </c>
      <c r="G47" s="58">
        <f t="shared" si="2"/>
        <v>121298.40000000001</v>
      </c>
      <c r="H47" s="62"/>
      <c r="I47" s="59"/>
      <c r="J47" s="25"/>
    </row>
    <row r="48" spans="1:10" s="24" customFormat="1" ht="18" customHeight="1" x14ac:dyDescent="0.2">
      <c r="A48" s="71" t="s">
        <v>106</v>
      </c>
      <c r="B48" s="55" t="s">
        <v>57</v>
      </c>
      <c r="C48" s="60" t="s">
        <v>17</v>
      </c>
      <c r="D48" s="61">
        <v>4.0999999999999996</v>
      </c>
      <c r="E48" s="62">
        <f>SUM(E47:E47)*D48/1000</f>
        <v>238.62491999999997</v>
      </c>
      <c r="F48" s="62">
        <f>F47*D48/1000</f>
        <v>258.69851999999997</v>
      </c>
      <c r="G48" s="58">
        <f t="shared" si="2"/>
        <v>497.32343999999995</v>
      </c>
      <c r="H48" s="62"/>
      <c r="I48" s="59"/>
      <c r="J48" s="21"/>
    </row>
    <row r="49" spans="1:10" s="24" customFormat="1" ht="27.75" customHeight="1" x14ac:dyDescent="0.2">
      <c r="A49" s="83" t="s">
        <v>107</v>
      </c>
      <c r="B49" s="84" t="s">
        <v>108</v>
      </c>
      <c r="C49" s="85" t="s">
        <v>16</v>
      </c>
      <c r="D49" s="85"/>
      <c r="E49" s="49">
        <v>245</v>
      </c>
      <c r="F49" s="49">
        <v>260</v>
      </c>
      <c r="G49" s="49">
        <f t="shared" si="2"/>
        <v>505</v>
      </c>
      <c r="H49" s="49"/>
      <c r="I49" s="50">
        <f>G49*H49</f>
        <v>0</v>
      </c>
      <c r="J49" s="21"/>
    </row>
    <row r="50" spans="1:10" s="24" customFormat="1" ht="14.25" customHeight="1" x14ac:dyDescent="0.2">
      <c r="A50" s="71" t="s">
        <v>109</v>
      </c>
      <c r="B50" s="55" t="s">
        <v>110</v>
      </c>
      <c r="C50" s="87" t="s">
        <v>16</v>
      </c>
      <c r="D50" s="87">
        <v>1.02</v>
      </c>
      <c r="E50" s="62">
        <f>E49*1.02</f>
        <v>249.9</v>
      </c>
      <c r="F50" s="62">
        <f>F49*D50</f>
        <v>265.2</v>
      </c>
      <c r="G50" s="58">
        <f t="shared" si="2"/>
        <v>515.1</v>
      </c>
      <c r="H50" s="62"/>
      <c r="I50" s="59"/>
      <c r="J50" s="25"/>
    </row>
    <row r="51" spans="1:10" s="24" customFormat="1" ht="18" customHeight="1" x14ac:dyDescent="0.2">
      <c r="A51" s="71" t="s">
        <v>111</v>
      </c>
      <c r="B51" s="55" t="s">
        <v>27</v>
      </c>
      <c r="C51" s="60" t="s">
        <v>17</v>
      </c>
      <c r="D51" s="61">
        <v>1.02</v>
      </c>
      <c r="E51" s="62">
        <f>E49*D51*150</f>
        <v>37485</v>
      </c>
      <c r="F51" s="62">
        <f>F49*D51*150</f>
        <v>39780</v>
      </c>
      <c r="G51" s="58">
        <f t="shared" si="2"/>
        <v>77265</v>
      </c>
      <c r="H51" s="62"/>
      <c r="I51" s="59"/>
      <c r="J51" s="25"/>
    </row>
    <row r="52" spans="1:10" s="24" customFormat="1" ht="18" customHeight="1" x14ac:dyDescent="0.2">
      <c r="A52" s="71" t="s">
        <v>112</v>
      </c>
      <c r="B52" s="55" t="s">
        <v>57</v>
      </c>
      <c r="C52" s="60" t="s">
        <v>17</v>
      </c>
      <c r="D52" s="61">
        <v>4.0999999999999996</v>
      </c>
      <c r="E52" s="62">
        <f>E51*D52/1000</f>
        <v>153.6885</v>
      </c>
      <c r="F52" s="62">
        <f>F51*D52/1000</f>
        <v>163.09800000000001</v>
      </c>
      <c r="G52" s="58">
        <f t="shared" si="2"/>
        <v>316.78650000000005</v>
      </c>
      <c r="H52" s="62"/>
      <c r="I52" s="59"/>
      <c r="J52" s="21"/>
    </row>
    <row r="53" spans="1:10" s="24" customFormat="1" ht="20.25" customHeight="1" x14ac:dyDescent="0.2">
      <c r="A53" s="88" t="s">
        <v>113</v>
      </c>
      <c r="B53" s="89" t="s">
        <v>114</v>
      </c>
      <c r="C53" s="90"/>
      <c r="D53" s="90"/>
      <c r="E53" s="81"/>
      <c r="F53" s="81"/>
      <c r="G53" s="81" t="s">
        <v>115</v>
      </c>
      <c r="H53" s="81"/>
      <c r="I53" s="82"/>
      <c r="J53" s="21"/>
    </row>
    <row r="54" spans="1:10" s="22" customFormat="1" ht="29.25" customHeight="1" x14ac:dyDescent="0.2">
      <c r="A54" s="83" t="s">
        <v>116</v>
      </c>
      <c r="B54" s="84" t="s">
        <v>101</v>
      </c>
      <c r="C54" s="85" t="s">
        <v>16</v>
      </c>
      <c r="D54" s="85"/>
      <c r="E54" s="49">
        <v>117.3</v>
      </c>
      <c r="F54" s="49">
        <v>123</v>
      </c>
      <c r="G54" s="49">
        <f t="shared" si="2"/>
        <v>240.3</v>
      </c>
      <c r="H54" s="49"/>
      <c r="I54" s="50">
        <f>G54*H54</f>
        <v>0</v>
      </c>
      <c r="J54" s="26"/>
    </row>
    <row r="55" spans="1:10" s="22" customFormat="1" ht="18" customHeight="1" x14ac:dyDescent="0.2">
      <c r="A55" s="71" t="s">
        <v>117</v>
      </c>
      <c r="B55" s="55" t="s">
        <v>118</v>
      </c>
      <c r="C55" s="87" t="s">
        <v>16</v>
      </c>
      <c r="D55" s="87">
        <v>1.02</v>
      </c>
      <c r="E55" s="62">
        <f>E54*D55</f>
        <v>119.646</v>
      </c>
      <c r="F55" s="62">
        <f>F54*D55</f>
        <v>125.46000000000001</v>
      </c>
      <c r="G55" s="58">
        <f t="shared" si="2"/>
        <v>245.10599999999999</v>
      </c>
      <c r="H55" s="91"/>
      <c r="I55" s="92"/>
      <c r="J55" s="25"/>
    </row>
    <row r="56" spans="1:10" s="22" customFormat="1" ht="18" customHeight="1" x14ac:dyDescent="0.2">
      <c r="A56" s="71" t="s">
        <v>119</v>
      </c>
      <c r="B56" s="55" t="s">
        <v>27</v>
      </c>
      <c r="C56" s="60" t="s">
        <v>17</v>
      </c>
      <c r="D56" s="61">
        <v>1.02</v>
      </c>
      <c r="E56" s="62">
        <f>250*E54</f>
        <v>29325</v>
      </c>
      <c r="F56" s="62">
        <f>250*F54</f>
        <v>30750</v>
      </c>
      <c r="G56" s="58">
        <f t="shared" si="2"/>
        <v>60075</v>
      </c>
      <c r="H56" s="91"/>
      <c r="I56" s="92"/>
      <c r="J56" s="27"/>
    </row>
    <row r="57" spans="1:10" s="22" customFormat="1" ht="18" customHeight="1" x14ac:dyDescent="0.2">
      <c r="A57" s="71" t="s">
        <v>120</v>
      </c>
      <c r="B57" s="55" t="s">
        <v>121</v>
      </c>
      <c r="C57" s="60" t="s">
        <v>17</v>
      </c>
      <c r="D57" s="61">
        <v>4.0999999999999996</v>
      </c>
      <c r="E57" s="62">
        <f>E56*D57/1000</f>
        <v>120.23249999999999</v>
      </c>
      <c r="F57" s="62">
        <f>F56*D57/1000</f>
        <v>126.07499999999999</v>
      </c>
      <c r="G57" s="58">
        <f t="shared" si="2"/>
        <v>246.30749999999998</v>
      </c>
      <c r="H57" s="91"/>
      <c r="I57" s="92"/>
      <c r="J57" s="28"/>
    </row>
    <row r="58" spans="1:10" s="22" customFormat="1" ht="18" customHeight="1" x14ac:dyDescent="0.2">
      <c r="A58" s="83" t="s">
        <v>122</v>
      </c>
      <c r="B58" s="84" t="s">
        <v>108</v>
      </c>
      <c r="C58" s="85" t="s">
        <v>16</v>
      </c>
      <c r="D58" s="85"/>
      <c r="E58" s="49">
        <v>245</v>
      </c>
      <c r="F58" s="49">
        <v>260</v>
      </c>
      <c r="G58" s="49">
        <f t="shared" si="2"/>
        <v>505</v>
      </c>
      <c r="H58" s="91"/>
      <c r="I58" s="92"/>
      <c r="J58" s="28"/>
    </row>
    <row r="59" spans="1:10" s="22" customFormat="1" ht="18" customHeight="1" x14ac:dyDescent="0.2">
      <c r="A59" s="71" t="s">
        <v>123</v>
      </c>
      <c r="B59" s="55" t="s">
        <v>110</v>
      </c>
      <c r="C59" s="87" t="s">
        <v>16</v>
      </c>
      <c r="D59" s="87">
        <v>1.02</v>
      </c>
      <c r="E59" s="62">
        <f>E58*1.02</f>
        <v>249.9</v>
      </c>
      <c r="F59" s="62">
        <f>F58*D59</f>
        <v>265.2</v>
      </c>
      <c r="G59" s="58">
        <f t="shared" si="2"/>
        <v>515.1</v>
      </c>
      <c r="H59" s="91"/>
      <c r="I59" s="92"/>
      <c r="J59" s="25"/>
    </row>
    <row r="60" spans="1:10" s="22" customFormat="1" ht="18" customHeight="1" x14ac:dyDescent="0.2">
      <c r="A60" s="71" t="s">
        <v>124</v>
      </c>
      <c r="B60" s="55" t="s">
        <v>27</v>
      </c>
      <c r="C60" s="60" t="s">
        <v>17</v>
      </c>
      <c r="D60" s="61">
        <v>1.02</v>
      </c>
      <c r="E60" s="62">
        <f>E58*D60*150</f>
        <v>37485</v>
      </c>
      <c r="F60" s="62">
        <f>F58*D60*150</f>
        <v>39780</v>
      </c>
      <c r="G60" s="58">
        <f t="shared" si="2"/>
        <v>77265</v>
      </c>
      <c r="H60" s="91"/>
      <c r="I60" s="92"/>
      <c r="J60" s="25"/>
    </row>
    <row r="61" spans="1:10" s="22" customFormat="1" ht="18" customHeight="1" x14ac:dyDescent="0.2">
      <c r="A61" s="71" t="s">
        <v>125</v>
      </c>
      <c r="B61" s="55" t="s">
        <v>57</v>
      </c>
      <c r="C61" s="60" t="s">
        <v>17</v>
      </c>
      <c r="D61" s="61">
        <v>4.0999999999999996</v>
      </c>
      <c r="E61" s="62">
        <f>E60*D61/1000</f>
        <v>153.6885</v>
      </c>
      <c r="F61" s="62">
        <f>F60*D61/1000</f>
        <v>163.09800000000001</v>
      </c>
      <c r="G61" s="58">
        <f t="shared" si="2"/>
        <v>316.78650000000005</v>
      </c>
      <c r="H61" s="91"/>
      <c r="I61" s="92"/>
      <c r="J61" s="28"/>
    </row>
    <row r="62" spans="1:10" s="22" customFormat="1" x14ac:dyDescent="0.2">
      <c r="A62" s="93" t="s">
        <v>126</v>
      </c>
      <c r="B62" s="53" t="s">
        <v>127</v>
      </c>
      <c r="C62" s="52" t="s">
        <v>16</v>
      </c>
      <c r="D62" s="48"/>
      <c r="E62" s="49">
        <v>1.5</v>
      </c>
      <c r="F62" s="49">
        <v>1.5</v>
      </c>
      <c r="G62" s="49">
        <f t="shared" si="2"/>
        <v>3</v>
      </c>
      <c r="H62" s="49"/>
      <c r="I62" s="50">
        <f>G62*H62</f>
        <v>0</v>
      </c>
      <c r="J62" s="28"/>
    </row>
    <row r="63" spans="1:10" s="22" customFormat="1" ht="18" customHeight="1" x14ac:dyDescent="0.2">
      <c r="A63" s="71" t="s">
        <v>128</v>
      </c>
      <c r="B63" s="55" t="s">
        <v>118</v>
      </c>
      <c r="C63" s="87" t="s">
        <v>16</v>
      </c>
      <c r="D63" s="87">
        <v>1.02</v>
      </c>
      <c r="E63" s="62">
        <f>E62*D63</f>
        <v>1.53</v>
      </c>
      <c r="F63" s="62">
        <f>F62*D63</f>
        <v>1.53</v>
      </c>
      <c r="G63" s="58">
        <f t="shared" si="2"/>
        <v>3.06</v>
      </c>
      <c r="H63" s="91"/>
      <c r="I63" s="92"/>
      <c r="J63" s="25"/>
    </row>
    <row r="64" spans="1:10" s="22" customFormat="1" ht="18" customHeight="1" x14ac:dyDescent="0.2">
      <c r="A64" s="71" t="s">
        <v>129</v>
      </c>
      <c r="B64" s="55" t="s">
        <v>27</v>
      </c>
      <c r="C64" s="60" t="s">
        <v>17</v>
      </c>
      <c r="D64" s="61">
        <v>1.02</v>
      </c>
      <c r="E64" s="62">
        <f>E63*200*D64</f>
        <v>312.12</v>
      </c>
      <c r="F64" s="62">
        <f>F62*200*D64</f>
        <v>306</v>
      </c>
      <c r="G64" s="58">
        <f t="shared" si="2"/>
        <v>618.12</v>
      </c>
      <c r="H64" s="91"/>
      <c r="I64" s="92"/>
      <c r="J64" s="25"/>
    </row>
    <row r="65" spans="1:10" s="22" customFormat="1" ht="18" customHeight="1" x14ac:dyDescent="0.2">
      <c r="A65" s="71" t="s">
        <v>130</v>
      </c>
      <c r="B65" s="55" t="s">
        <v>131</v>
      </c>
      <c r="C65" s="60" t="s">
        <v>17</v>
      </c>
      <c r="D65" s="61">
        <v>4.0999999999999996</v>
      </c>
      <c r="E65" s="62">
        <f>E64*D65/1000</f>
        <v>1.2796920000000001</v>
      </c>
      <c r="F65" s="62">
        <f>F64*D65/1000</f>
        <v>1.2545999999999999</v>
      </c>
      <c r="G65" s="58">
        <f t="shared" si="2"/>
        <v>2.5342919999999998</v>
      </c>
      <c r="H65" s="91"/>
      <c r="I65" s="92"/>
      <c r="J65" s="28"/>
    </row>
    <row r="66" spans="1:10" s="22" customFormat="1" ht="18.75" customHeight="1" x14ac:dyDescent="0.2">
      <c r="A66" s="94" t="s">
        <v>132</v>
      </c>
      <c r="B66" s="95" t="s">
        <v>133</v>
      </c>
      <c r="C66" s="96"/>
      <c r="D66" s="96"/>
      <c r="E66" s="97"/>
      <c r="F66" s="97"/>
      <c r="G66" s="81" t="s">
        <v>115</v>
      </c>
      <c r="H66" s="97"/>
      <c r="I66" s="82"/>
      <c r="J66" s="28"/>
    </row>
    <row r="67" spans="1:10" s="22" customFormat="1" ht="37.5" x14ac:dyDescent="0.2">
      <c r="A67" s="83" t="s">
        <v>134</v>
      </c>
      <c r="B67" s="84" t="s">
        <v>101</v>
      </c>
      <c r="C67" s="98"/>
      <c r="D67" s="98"/>
      <c r="E67" s="49">
        <f>105.7*2</f>
        <v>211.4</v>
      </c>
      <c r="F67" s="49">
        <f>109.6*2</f>
        <v>219.2</v>
      </c>
      <c r="G67" s="49">
        <f t="shared" si="2"/>
        <v>430.6</v>
      </c>
      <c r="H67" s="99"/>
      <c r="I67" s="50">
        <f>G67*H67</f>
        <v>0</v>
      </c>
      <c r="J67" s="28"/>
    </row>
    <row r="68" spans="1:10" s="29" customFormat="1" ht="18" customHeight="1" x14ac:dyDescent="0.2">
      <c r="A68" s="71" t="s">
        <v>135</v>
      </c>
      <c r="B68" s="55" t="s">
        <v>118</v>
      </c>
      <c r="C68" s="87" t="s">
        <v>16</v>
      </c>
      <c r="D68" s="87">
        <v>1.02</v>
      </c>
      <c r="E68" s="62">
        <f>E67*1.02</f>
        <v>215.62800000000001</v>
      </c>
      <c r="F68" s="62">
        <f>F67*D68</f>
        <v>223.584</v>
      </c>
      <c r="G68" s="58">
        <f t="shared" si="2"/>
        <v>439.21199999999999</v>
      </c>
      <c r="H68" s="62"/>
      <c r="I68" s="59"/>
      <c r="J68" s="25"/>
    </row>
    <row r="69" spans="1:10" s="22" customFormat="1" ht="18" customHeight="1" x14ac:dyDescent="0.2">
      <c r="A69" s="71" t="s">
        <v>136</v>
      </c>
      <c r="B69" s="55" t="s">
        <v>27</v>
      </c>
      <c r="C69" s="60" t="s">
        <v>17</v>
      </c>
      <c r="D69" s="61">
        <v>1.02</v>
      </c>
      <c r="E69" s="62">
        <f>E67*250*D69</f>
        <v>53907</v>
      </c>
      <c r="F69" s="62">
        <f>F67*250*D69</f>
        <v>55896</v>
      </c>
      <c r="G69" s="58">
        <f>E69+F69</f>
        <v>109803</v>
      </c>
      <c r="H69" s="91"/>
      <c r="I69" s="92"/>
      <c r="J69" s="25"/>
    </row>
    <row r="70" spans="1:10" s="22" customFormat="1" ht="18" customHeight="1" x14ac:dyDescent="0.2">
      <c r="A70" s="71" t="s">
        <v>137</v>
      </c>
      <c r="B70" s="55" t="s">
        <v>121</v>
      </c>
      <c r="C70" s="60" t="s">
        <v>17</v>
      </c>
      <c r="D70" s="61">
        <v>4.0999999999999996</v>
      </c>
      <c r="E70" s="62">
        <f>E69*D70/1000</f>
        <v>221.0187</v>
      </c>
      <c r="F70" s="62">
        <f>F69*D70/1000</f>
        <v>229.17359999999996</v>
      </c>
      <c r="G70" s="58">
        <f t="shared" si="2"/>
        <v>450.19229999999993</v>
      </c>
      <c r="H70" s="91"/>
      <c r="I70" s="92"/>
      <c r="J70" s="28"/>
    </row>
    <row r="71" spans="1:10" s="22" customFormat="1" ht="18" customHeight="1" x14ac:dyDescent="0.2">
      <c r="A71" s="83" t="s">
        <v>138</v>
      </c>
      <c r="B71" s="84" t="s">
        <v>108</v>
      </c>
      <c r="C71" s="85" t="s">
        <v>16</v>
      </c>
      <c r="D71" s="85"/>
      <c r="E71" s="49">
        <f>245*2</f>
        <v>490</v>
      </c>
      <c r="F71" s="49">
        <f>260*2</f>
        <v>520</v>
      </c>
      <c r="G71" s="49">
        <f t="shared" si="2"/>
        <v>1010</v>
      </c>
      <c r="H71" s="99"/>
      <c r="I71" s="50">
        <f>G71*H71</f>
        <v>0</v>
      </c>
      <c r="J71" s="28"/>
    </row>
    <row r="72" spans="1:10" s="22" customFormat="1" ht="18" customHeight="1" x14ac:dyDescent="0.2">
      <c r="A72" s="71" t="s">
        <v>139</v>
      </c>
      <c r="B72" s="55" t="s">
        <v>140</v>
      </c>
      <c r="C72" s="87" t="s">
        <v>16</v>
      </c>
      <c r="D72" s="87">
        <v>1.02</v>
      </c>
      <c r="E72" s="62">
        <f>E71*1.02</f>
        <v>499.8</v>
      </c>
      <c r="F72" s="62">
        <f>F71*D72</f>
        <v>530.4</v>
      </c>
      <c r="G72" s="58">
        <f t="shared" si="2"/>
        <v>1030.2</v>
      </c>
      <c r="H72" s="91"/>
      <c r="I72" s="92"/>
      <c r="J72" s="25"/>
    </row>
    <row r="73" spans="1:10" s="22" customFormat="1" ht="18" customHeight="1" x14ac:dyDescent="0.2">
      <c r="A73" s="71" t="s">
        <v>141</v>
      </c>
      <c r="B73" s="55" t="s">
        <v>27</v>
      </c>
      <c r="C73" s="60" t="s">
        <v>17</v>
      </c>
      <c r="D73" s="61">
        <v>1.02</v>
      </c>
      <c r="E73" s="62">
        <f>E71*D73*150</f>
        <v>74970</v>
      </c>
      <c r="F73" s="62">
        <f>F71*D73*150</f>
        <v>79560</v>
      </c>
      <c r="G73" s="58">
        <f t="shared" si="2"/>
        <v>154530</v>
      </c>
      <c r="H73" s="91"/>
      <c r="I73" s="92"/>
      <c r="J73" s="25"/>
    </row>
    <row r="74" spans="1:10" s="22" customFormat="1" ht="18" customHeight="1" x14ac:dyDescent="0.2">
      <c r="A74" s="71" t="s">
        <v>142</v>
      </c>
      <c r="B74" s="55" t="s">
        <v>57</v>
      </c>
      <c r="C74" s="60" t="s">
        <v>17</v>
      </c>
      <c r="D74" s="61">
        <v>4.0999999999999996</v>
      </c>
      <c r="E74" s="62">
        <f>E73*D74/1000</f>
        <v>307.37700000000001</v>
      </c>
      <c r="F74" s="62">
        <f>F73*D74/1000</f>
        <v>326.19600000000003</v>
      </c>
      <c r="G74" s="58">
        <f t="shared" si="2"/>
        <v>633.57300000000009</v>
      </c>
      <c r="H74" s="91"/>
      <c r="I74" s="92"/>
      <c r="J74" s="28"/>
    </row>
    <row r="75" spans="1:10" s="22" customFormat="1" ht="18" customHeight="1" x14ac:dyDescent="0.2">
      <c r="A75" s="93" t="s">
        <v>143</v>
      </c>
      <c r="B75" s="53" t="s">
        <v>127</v>
      </c>
      <c r="C75" s="52" t="s">
        <v>16</v>
      </c>
      <c r="D75" s="48"/>
      <c r="E75" s="49">
        <f>1.5*2</f>
        <v>3</v>
      </c>
      <c r="F75" s="49">
        <f>1.5*2</f>
        <v>3</v>
      </c>
      <c r="G75" s="49">
        <f t="shared" si="2"/>
        <v>6</v>
      </c>
      <c r="H75" s="99"/>
      <c r="I75" s="50">
        <f>G75*H75</f>
        <v>0</v>
      </c>
      <c r="J75" s="28"/>
    </row>
    <row r="76" spans="1:10" s="22" customFormat="1" ht="18" customHeight="1" x14ac:dyDescent="0.2">
      <c r="A76" s="71" t="s">
        <v>144</v>
      </c>
      <c r="B76" s="55" t="s">
        <v>118</v>
      </c>
      <c r="C76" s="87" t="s">
        <v>16</v>
      </c>
      <c r="D76" s="87">
        <v>1.02</v>
      </c>
      <c r="E76" s="62">
        <f>E75*D76</f>
        <v>3.06</v>
      </c>
      <c r="F76" s="62">
        <f>F75*D76</f>
        <v>3.06</v>
      </c>
      <c r="G76" s="58">
        <f t="shared" si="2"/>
        <v>6.12</v>
      </c>
      <c r="H76" s="62"/>
      <c r="I76" s="92"/>
      <c r="J76" s="25"/>
    </row>
    <row r="77" spans="1:10" s="22" customFormat="1" ht="18" customHeight="1" x14ac:dyDescent="0.2">
      <c r="A77" s="71" t="s">
        <v>145</v>
      </c>
      <c r="B77" s="55" t="s">
        <v>27</v>
      </c>
      <c r="C77" s="60" t="s">
        <v>17</v>
      </c>
      <c r="D77" s="61">
        <v>1.02</v>
      </c>
      <c r="E77" s="62">
        <f>E76*200*D77</f>
        <v>624.24</v>
      </c>
      <c r="F77" s="62">
        <f>F75*200*D77</f>
        <v>612</v>
      </c>
      <c r="G77" s="58">
        <f t="shared" si="2"/>
        <v>1236.24</v>
      </c>
      <c r="H77" s="62"/>
      <c r="I77" s="92"/>
      <c r="J77" s="25"/>
    </row>
    <row r="78" spans="1:10" s="22" customFormat="1" ht="18" customHeight="1" x14ac:dyDescent="0.2">
      <c r="A78" s="71" t="s">
        <v>146</v>
      </c>
      <c r="B78" s="55" t="s">
        <v>131</v>
      </c>
      <c r="C78" s="60" t="s">
        <v>17</v>
      </c>
      <c r="D78" s="61">
        <v>4.0999999999999996</v>
      </c>
      <c r="E78" s="62">
        <f>E77*D78/1000</f>
        <v>2.5593840000000001</v>
      </c>
      <c r="F78" s="62">
        <f>F77*D78/1000</f>
        <v>2.5091999999999999</v>
      </c>
      <c r="G78" s="58">
        <f t="shared" si="2"/>
        <v>5.0685839999999995</v>
      </c>
      <c r="H78" s="62"/>
      <c r="I78" s="92"/>
      <c r="J78" s="28"/>
    </row>
    <row r="79" spans="1:10" s="22" customFormat="1" ht="18" customHeight="1" x14ac:dyDescent="0.2">
      <c r="A79" s="94" t="s">
        <v>147</v>
      </c>
      <c r="B79" s="95" t="s">
        <v>148</v>
      </c>
      <c r="C79" s="96"/>
      <c r="D79" s="96"/>
      <c r="E79" s="97"/>
      <c r="F79" s="97"/>
      <c r="G79" s="81" t="s">
        <v>115</v>
      </c>
      <c r="H79" s="97"/>
      <c r="I79" s="100"/>
      <c r="J79" s="28"/>
    </row>
    <row r="80" spans="1:10" s="22" customFormat="1" ht="18" customHeight="1" x14ac:dyDescent="0.2">
      <c r="A80" s="83" t="s">
        <v>149</v>
      </c>
      <c r="B80" s="84" t="s">
        <v>101</v>
      </c>
      <c r="C80" s="98"/>
      <c r="D80" s="98"/>
      <c r="E80" s="49">
        <f>105.7*3</f>
        <v>317.10000000000002</v>
      </c>
      <c r="F80" s="49">
        <f>109.6*3</f>
        <v>328.79999999999995</v>
      </c>
      <c r="G80" s="49">
        <f t="shared" si="2"/>
        <v>645.9</v>
      </c>
      <c r="H80" s="99"/>
      <c r="I80" s="50">
        <f>G80*H80</f>
        <v>0</v>
      </c>
      <c r="J80" s="28"/>
    </row>
    <row r="81" spans="1:10" s="22" customFormat="1" ht="18" customHeight="1" x14ac:dyDescent="0.2">
      <c r="A81" s="71" t="s">
        <v>150</v>
      </c>
      <c r="B81" s="55" t="s">
        <v>140</v>
      </c>
      <c r="C81" s="101" t="s">
        <v>16</v>
      </c>
      <c r="D81" s="87">
        <v>1.02</v>
      </c>
      <c r="E81" s="62">
        <f>E80*1.02</f>
        <v>323.44200000000001</v>
      </c>
      <c r="F81" s="62">
        <f>F80*D81</f>
        <v>335.37599999999998</v>
      </c>
      <c r="G81" s="58">
        <f t="shared" si="2"/>
        <v>658.81799999999998</v>
      </c>
      <c r="H81" s="91"/>
      <c r="I81" s="92"/>
      <c r="J81" s="25"/>
    </row>
    <row r="82" spans="1:10" s="22" customFormat="1" ht="18" customHeight="1" x14ac:dyDescent="0.2">
      <c r="A82" s="71" t="s">
        <v>151</v>
      </c>
      <c r="B82" s="55" t="s">
        <v>27</v>
      </c>
      <c r="C82" s="60" t="s">
        <v>17</v>
      </c>
      <c r="D82" s="61">
        <v>1.02</v>
      </c>
      <c r="E82" s="62">
        <f>E80*200*D82</f>
        <v>64688.400000000009</v>
      </c>
      <c r="F82" s="62">
        <f>F80*200*D82</f>
        <v>67075.199999999983</v>
      </c>
      <c r="G82" s="58">
        <f t="shared" si="2"/>
        <v>131763.59999999998</v>
      </c>
      <c r="H82" s="91"/>
      <c r="I82" s="92"/>
      <c r="J82" s="25"/>
    </row>
    <row r="83" spans="1:10" s="22" customFormat="1" ht="18" customHeight="1" x14ac:dyDescent="0.2">
      <c r="A83" s="71" t="s">
        <v>152</v>
      </c>
      <c r="B83" s="55" t="s">
        <v>121</v>
      </c>
      <c r="C83" s="60" t="s">
        <v>17</v>
      </c>
      <c r="D83" s="61">
        <v>4.0999999999999996</v>
      </c>
      <c r="E83" s="62">
        <f>E82*D83/1000</f>
        <v>265.22244000000001</v>
      </c>
      <c r="F83" s="62">
        <f>F82*D83/1000</f>
        <v>275.00831999999991</v>
      </c>
      <c r="G83" s="58">
        <f t="shared" si="2"/>
        <v>540.23075999999992</v>
      </c>
      <c r="H83" s="91"/>
      <c r="I83" s="92"/>
      <c r="J83" s="28"/>
    </row>
    <row r="84" spans="1:10" s="22" customFormat="1" ht="18" customHeight="1" x14ac:dyDescent="0.2">
      <c r="A84" s="83" t="s">
        <v>153</v>
      </c>
      <c r="B84" s="84" t="s">
        <v>108</v>
      </c>
      <c r="C84" s="85" t="s">
        <v>16</v>
      </c>
      <c r="D84" s="85"/>
      <c r="E84" s="49">
        <f>245*3</f>
        <v>735</v>
      </c>
      <c r="F84" s="49">
        <f>260*3</f>
        <v>780</v>
      </c>
      <c r="G84" s="49">
        <f t="shared" si="2"/>
        <v>1515</v>
      </c>
      <c r="H84" s="99"/>
      <c r="I84" s="50">
        <f>G84*H84</f>
        <v>0</v>
      </c>
      <c r="J84" s="28"/>
    </row>
    <row r="85" spans="1:10" s="22" customFormat="1" ht="18" customHeight="1" x14ac:dyDescent="0.2">
      <c r="A85" s="71" t="s">
        <v>154</v>
      </c>
      <c r="B85" s="55" t="s">
        <v>140</v>
      </c>
      <c r="C85" s="87" t="s">
        <v>16</v>
      </c>
      <c r="D85" s="87">
        <v>1.02</v>
      </c>
      <c r="E85" s="62">
        <f>E84*1.02</f>
        <v>749.7</v>
      </c>
      <c r="F85" s="62">
        <f>F84*D85</f>
        <v>795.6</v>
      </c>
      <c r="G85" s="58">
        <f t="shared" si="2"/>
        <v>1545.3000000000002</v>
      </c>
      <c r="H85" s="62"/>
      <c r="I85" s="59"/>
      <c r="J85" s="25"/>
    </row>
    <row r="86" spans="1:10" s="22" customFormat="1" ht="18" customHeight="1" x14ac:dyDescent="0.2">
      <c r="A86" s="71" t="s">
        <v>155</v>
      </c>
      <c r="B86" s="55" t="s">
        <v>27</v>
      </c>
      <c r="C86" s="60" t="s">
        <v>17</v>
      </c>
      <c r="D86" s="61">
        <v>1.02</v>
      </c>
      <c r="E86" s="62">
        <f>E84*D86*150</f>
        <v>112455</v>
      </c>
      <c r="F86" s="62">
        <f>F84*D86*150</f>
        <v>119340</v>
      </c>
      <c r="G86" s="58">
        <f t="shared" si="2"/>
        <v>231795</v>
      </c>
      <c r="H86" s="62"/>
      <c r="I86" s="59"/>
      <c r="J86" s="25"/>
    </row>
    <row r="87" spans="1:10" s="22" customFormat="1" x14ac:dyDescent="0.2">
      <c r="A87" s="71" t="s">
        <v>156</v>
      </c>
      <c r="B87" s="55" t="s">
        <v>57</v>
      </c>
      <c r="C87" s="60" t="s">
        <v>17</v>
      </c>
      <c r="D87" s="61">
        <v>4.0999999999999996</v>
      </c>
      <c r="E87" s="62">
        <f>E86*D87/1000</f>
        <v>461.06549999999993</v>
      </c>
      <c r="F87" s="62">
        <f>F86*D87/1000</f>
        <v>489.29399999999993</v>
      </c>
      <c r="G87" s="58">
        <f t="shared" si="2"/>
        <v>950.3594999999998</v>
      </c>
      <c r="H87" s="62"/>
      <c r="I87" s="59" t="s">
        <v>115</v>
      </c>
      <c r="J87" s="30"/>
    </row>
    <row r="88" spans="1:10" s="29" customFormat="1" ht="18" customHeight="1" x14ac:dyDescent="0.2">
      <c r="A88" s="93" t="s">
        <v>157</v>
      </c>
      <c r="B88" s="53" t="s">
        <v>127</v>
      </c>
      <c r="C88" s="52" t="s">
        <v>16</v>
      </c>
      <c r="D88" s="48"/>
      <c r="E88" s="49">
        <f>1.5*2</f>
        <v>3</v>
      </c>
      <c r="F88" s="49">
        <f>1.5*2</f>
        <v>3</v>
      </c>
      <c r="G88" s="49">
        <f t="shared" si="2"/>
        <v>6</v>
      </c>
      <c r="H88" s="99"/>
      <c r="I88" s="50">
        <f>G88*H88</f>
        <v>0</v>
      </c>
      <c r="J88" s="30"/>
    </row>
    <row r="89" spans="1:10" s="22" customFormat="1" ht="18" customHeight="1" x14ac:dyDescent="0.2">
      <c r="A89" s="71" t="s">
        <v>158</v>
      </c>
      <c r="B89" s="55" t="s">
        <v>140</v>
      </c>
      <c r="C89" s="87" t="s">
        <v>16</v>
      </c>
      <c r="D89" s="87">
        <v>1.02</v>
      </c>
      <c r="E89" s="62">
        <f>E88*D89</f>
        <v>3.06</v>
      </c>
      <c r="F89" s="62">
        <f>F88*D89</f>
        <v>3.06</v>
      </c>
      <c r="G89" s="58">
        <f t="shared" si="2"/>
        <v>6.12</v>
      </c>
      <c r="H89" s="102"/>
      <c r="I89" s="103"/>
      <c r="J89" s="25"/>
    </row>
    <row r="90" spans="1:10" s="22" customFormat="1" ht="18" customHeight="1" x14ac:dyDescent="0.2">
      <c r="A90" s="71" t="s">
        <v>159</v>
      </c>
      <c r="B90" s="55" t="s">
        <v>27</v>
      </c>
      <c r="C90" s="60" t="s">
        <v>17</v>
      </c>
      <c r="D90" s="61">
        <v>1.02</v>
      </c>
      <c r="E90" s="62">
        <f>E89*200*D90</f>
        <v>624.24</v>
      </c>
      <c r="F90" s="62">
        <f>F88*200*D90</f>
        <v>612</v>
      </c>
      <c r="G90" s="58">
        <f t="shared" si="2"/>
        <v>1236.24</v>
      </c>
      <c r="H90" s="102"/>
      <c r="I90" s="103"/>
      <c r="J90" s="25"/>
    </row>
    <row r="91" spans="1:10" s="22" customFormat="1" ht="18" customHeight="1" x14ac:dyDescent="0.2">
      <c r="A91" s="71" t="s">
        <v>160</v>
      </c>
      <c r="B91" s="55" t="s">
        <v>131</v>
      </c>
      <c r="C91" s="60" t="s">
        <v>17</v>
      </c>
      <c r="D91" s="61">
        <v>4.0999999999999996</v>
      </c>
      <c r="E91" s="62">
        <f>E90*D91/1000</f>
        <v>2.5593840000000001</v>
      </c>
      <c r="F91" s="62">
        <f>F90*D91/1000</f>
        <v>2.5091999999999999</v>
      </c>
      <c r="G91" s="58">
        <f t="shared" si="2"/>
        <v>5.0685839999999995</v>
      </c>
      <c r="H91" s="102"/>
      <c r="I91" s="103"/>
      <c r="J91" s="31"/>
    </row>
    <row r="92" spans="1:10" s="22" customFormat="1" ht="18" customHeight="1" x14ac:dyDescent="0.2">
      <c r="A92" s="94" t="s">
        <v>161</v>
      </c>
      <c r="B92" s="95" t="s">
        <v>162</v>
      </c>
      <c r="C92" s="96"/>
      <c r="D92" s="96"/>
      <c r="E92" s="97"/>
      <c r="F92" s="97"/>
      <c r="G92" s="81" t="s">
        <v>115</v>
      </c>
      <c r="H92" s="104"/>
      <c r="I92" s="105"/>
      <c r="J92" s="31"/>
    </row>
    <row r="93" spans="1:10" s="22" customFormat="1" ht="18" customHeight="1" x14ac:dyDescent="0.2">
      <c r="A93" s="83" t="s">
        <v>163</v>
      </c>
      <c r="B93" s="84" t="s">
        <v>101</v>
      </c>
      <c r="C93" s="98"/>
      <c r="D93" s="98"/>
      <c r="E93" s="49">
        <f>105.7*2</f>
        <v>211.4</v>
      </c>
      <c r="F93" s="49">
        <f>109.6*2</f>
        <v>219.2</v>
      </c>
      <c r="G93" s="49">
        <f t="shared" ref="G93:G104" si="3">E93+F93</f>
        <v>430.6</v>
      </c>
      <c r="H93" s="106"/>
      <c r="I93" s="50">
        <f>G93*H93</f>
        <v>0</v>
      </c>
      <c r="J93" s="31"/>
    </row>
    <row r="94" spans="1:10" s="22" customFormat="1" ht="18" customHeight="1" x14ac:dyDescent="0.2">
      <c r="A94" s="71" t="s">
        <v>164</v>
      </c>
      <c r="B94" s="55" t="s">
        <v>140</v>
      </c>
      <c r="C94" s="87" t="s">
        <v>16</v>
      </c>
      <c r="D94" s="87">
        <v>1.02</v>
      </c>
      <c r="E94" s="62">
        <f>E93*1.02</f>
        <v>215.62800000000001</v>
      </c>
      <c r="F94" s="62">
        <f>F93*D94</f>
        <v>223.584</v>
      </c>
      <c r="G94" s="58">
        <f t="shared" si="3"/>
        <v>439.21199999999999</v>
      </c>
      <c r="H94" s="102"/>
      <c r="I94" s="103"/>
      <c r="J94" s="25"/>
    </row>
    <row r="95" spans="1:10" s="22" customFormat="1" ht="18" customHeight="1" x14ac:dyDescent="0.2">
      <c r="A95" s="71" t="s">
        <v>165</v>
      </c>
      <c r="B95" s="55" t="s">
        <v>27</v>
      </c>
      <c r="C95" s="60" t="s">
        <v>17</v>
      </c>
      <c r="D95" s="61">
        <v>1.02</v>
      </c>
      <c r="E95" s="62">
        <f>E93*150*D95</f>
        <v>32344.2</v>
      </c>
      <c r="F95" s="62">
        <f>F93*150*D95</f>
        <v>33537.599999999999</v>
      </c>
      <c r="G95" s="58">
        <f t="shared" si="3"/>
        <v>65881.8</v>
      </c>
      <c r="H95" s="102"/>
      <c r="I95" s="103"/>
      <c r="J95" s="25"/>
    </row>
    <row r="96" spans="1:10" s="22" customFormat="1" ht="18" customHeight="1" x14ac:dyDescent="0.2">
      <c r="A96" s="71" t="s">
        <v>166</v>
      </c>
      <c r="B96" s="55" t="s">
        <v>121</v>
      </c>
      <c r="C96" s="60" t="s">
        <v>17</v>
      </c>
      <c r="D96" s="61">
        <v>4.0999999999999996</v>
      </c>
      <c r="E96" s="62">
        <f>E95*D96/1000</f>
        <v>132.61122</v>
      </c>
      <c r="F96" s="62">
        <f>F95*D96/1000</f>
        <v>137.50415999999998</v>
      </c>
      <c r="G96" s="58">
        <f t="shared" si="3"/>
        <v>270.11537999999996</v>
      </c>
      <c r="H96" s="102"/>
      <c r="I96" s="103"/>
      <c r="J96" s="31"/>
    </row>
    <row r="97" spans="1:10" s="22" customFormat="1" ht="18" customHeight="1" x14ac:dyDescent="0.2">
      <c r="A97" s="83" t="s">
        <v>167</v>
      </c>
      <c r="B97" s="84" t="s">
        <v>108</v>
      </c>
      <c r="C97" s="85" t="s">
        <v>16</v>
      </c>
      <c r="D97" s="85"/>
      <c r="E97" s="49">
        <f>245*2</f>
        <v>490</v>
      </c>
      <c r="F97" s="49">
        <f>260*2</f>
        <v>520</v>
      </c>
      <c r="G97" s="49">
        <f t="shared" si="3"/>
        <v>1010</v>
      </c>
      <c r="H97" s="106"/>
      <c r="I97" s="50">
        <f>G97*H97</f>
        <v>0</v>
      </c>
      <c r="J97" s="31"/>
    </row>
    <row r="98" spans="1:10" s="22" customFormat="1" ht="18" customHeight="1" x14ac:dyDescent="0.2">
      <c r="A98" s="71" t="s">
        <v>168</v>
      </c>
      <c r="B98" s="55" t="s">
        <v>140</v>
      </c>
      <c r="C98" s="87" t="s">
        <v>16</v>
      </c>
      <c r="D98" s="87">
        <v>1.02</v>
      </c>
      <c r="E98" s="62">
        <f>E97*1.02</f>
        <v>499.8</v>
      </c>
      <c r="F98" s="62">
        <f>F97*D98</f>
        <v>530.4</v>
      </c>
      <c r="G98" s="58">
        <f t="shared" si="3"/>
        <v>1030.2</v>
      </c>
      <c r="H98" s="106"/>
      <c r="I98" s="107"/>
      <c r="J98" s="25"/>
    </row>
    <row r="99" spans="1:10" s="22" customFormat="1" ht="18" customHeight="1" x14ac:dyDescent="0.2">
      <c r="A99" s="71" t="s">
        <v>169</v>
      </c>
      <c r="B99" s="55" t="s">
        <v>27</v>
      </c>
      <c r="C99" s="60" t="s">
        <v>17</v>
      </c>
      <c r="D99" s="61">
        <v>1.02</v>
      </c>
      <c r="E99" s="62">
        <f>E97*D99*150</f>
        <v>74970</v>
      </c>
      <c r="F99" s="62">
        <f>F97*D99*150</f>
        <v>79560</v>
      </c>
      <c r="G99" s="58">
        <f t="shared" si="3"/>
        <v>154530</v>
      </c>
      <c r="H99" s="106"/>
      <c r="I99" s="107"/>
      <c r="J99" s="25"/>
    </row>
    <row r="100" spans="1:10" s="22" customFormat="1" ht="18" customHeight="1" x14ac:dyDescent="0.2">
      <c r="A100" s="71" t="s">
        <v>170</v>
      </c>
      <c r="B100" s="55" t="s">
        <v>57</v>
      </c>
      <c r="C100" s="60" t="s">
        <v>17</v>
      </c>
      <c r="D100" s="61">
        <v>4.0999999999999996</v>
      </c>
      <c r="E100" s="62">
        <f>E99*D100/1000</f>
        <v>307.37700000000001</v>
      </c>
      <c r="F100" s="62">
        <f>F99*D100/1000</f>
        <v>326.19600000000003</v>
      </c>
      <c r="G100" s="58">
        <f t="shared" si="3"/>
        <v>633.57300000000009</v>
      </c>
      <c r="H100" s="106"/>
      <c r="I100" s="107"/>
      <c r="J100" s="31"/>
    </row>
    <row r="101" spans="1:10" s="22" customFormat="1" ht="18" customHeight="1" x14ac:dyDescent="0.2">
      <c r="A101" s="93" t="s">
        <v>171</v>
      </c>
      <c r="B101" s="53" t="s">
        <v>127</v>
      </c>
      <c r="C101" s="52" t="s">
        <v>16</v>
      </c>
      <c r="D101" s="48"/>
      <c r="E101" s="49">
        <f>1.5*2</f>
        <v>3</v>
      </c>
      <c r="F101" s="49">
        <f>1.5*2</f>
        <v>3</v>
      </c>
      <c r="G101" s="49">
        <f t="shared" si="3"/>
        <v>6</v>
      </c>
      <c r="H101" s="106"/>
      <c r="I101" s="50">
        <f>G101*H101</f>
        <v>0</v>
      </c>
      <c r="J101" s="31"/>
    </row>
    <row r="102" spans="1:10" s="22" customFormat="1" ht="18" customHeight="1" x14ac:dyDescent="0.2">
      <c r="A102" s="71" t="s">
        <v>172</v>
      </c>
      <c r="B102" s="55" t="s">
        <v>140</v>
      </c>
      <c r="C102" s="87" t="s">
        <v>16</v>
      </c>
      <c r="D102" s="87">
        <v>1.02</v>
      </c>
      <c r="E102" s="62">
        <f>E101*D102</f>
        <v>3.06</v>
      </c>
      <c r="F102" s="62">
        <f>F101*D102</f>
        <v>3.06</v>
      </c>
      <c r="G102" s="58">
        <f t="shared" si="3"/>
        <v>6.12</v>
      </c>
      <c r="H102" s="106"/>
      <c r="I102" s="107"/>
      <c r="J102" s="25"/>
    </row>
    <row r="103" spans="1:10" s="22" customFormat="1" ht="18" customHeight="1" x14ac:dyDescent="0.2">
      <c r="A103" s="71" t="s">
        <v>173</v>
      </c>
      <c r="B103" s="55" t="s">
        <v>27</v>
      </c>
      <c r="C103" s="60" t="s">
        <v>17</v>
      </c>
      <c r="D103" s="61">
        <v>1.02</v>
      </c>
      <c r="E103" s="62">
        <f>E102*200*D103</f>
        <v>624.24</v>
      </c>
      <c r="F103" s="62">
        <f>F101*200*D103</f>
        <v>612</v>
      </c>
      <c r="G103" s="58">
        <f t="shared" si="3"/>
        <v>1236.24</v>
      </c>
      <c r="H103" s="102"/>
      <c r="I103" s="103"/>
      <c r="J103" s="25"/>
    </row>
    <row r="104" spans="1:10" s="22" customFormat="1" ht="18" customHeight="1" x14ac:dyDescent="0.2">
      <c r="A104" s="71" t="s">
        <v>174</v>
      </c>
      <c r="B104" s="55" t="s">
        <v>131</v>
      </c>
      <c r="C104" s="60" t="s">
        <v>17</v>
      </c>
      <c r="D104" s="61">
        <v>4.0999999999999996</v>
      </c>
      <c r="E104" s="62">
        <f>E103*D104/1000</f>
        <v>2.5593840000000001</v>
      </c>
      <c r="F104" s="62">
        <f>F103*D104/1000</f>
        <v>2.5091999999999999</v>
      </c>
      <c r="G104" s="58">
        <f t="shared" si="3"/>
        <v>5.0685839999999995</v>
      </c>
      <c r="H104" s="102"/>
      <c r="I104" s="103"/>
      <c r="J104" s="31"/>
    </row>
    <row r="105" spans="1:10" s="22" customFormat="1" ht="18" customHeight="1" x14ac:dyDescent="0.2">
      <c r="A105" s="94" t="s">
        <v>175</v>
      </c>
      <c r="B105" s="95" t="s">
        <v>176</v>
      </c>
      <c r="C105" s="96"/>
      <c r="D105" s="96"/>
      <c r="E105" s="97"/>
      <c r="F105" s="97"/>
      <c r="G105" s="81" t="s">
        <v>115</v>
      </c>
      <c r="H105" s="104"/>
      <c r="I105" s="105"/>
      <c r="J105" s="31"/>
    </row>
    <row r="106" spans="1:10" s="22" customFormat="1" ht="18" customHeight="1" x14ac:dyDescent="0.2">
      <c r="A106" s="83" t="s">
        <v>177</v>
      </c>
      <c r="B106" s="84" t="s">
        <v>101</v>
      </c>
      <c r="C106" s="98"/>
      <c r="D106" s="98"/>
      <c r="E106" s="49">
        <f>105.7*9</f>
        <v>951.30000000000007</v>
      </c>
      <c r="F106" s="49">
        <f>109.6*9</f>
        <v>986.4</v>
      </c>
      <c r="G106" s="49">
        <f t="shared" ref="G106:G127" si="4">E106+F106</f>
        <v>1937.7</v>
      </c>
      <c r="H106" s="106"/>
      <c r="I106" s="50">
        <f>G106*H106</f>
        <v>0</v>
      </c>
      <c r="J106" s="31"/>
    </row>
    <row r="107" spans="1:10" s="22" customFormat="1" ht="18" customHeight="1" x14ac:dyDescent="0.2">
      <c r="A107" s="71" t="s">
        <v>178</v>
      </c>
      <c r="B107" s="55" t="s">
        <v>140</v>
      </c>
      <c r="C107" s="101" t="s">
        <v>16</v>
      </c>
      <c r="D107" s="87">
        <v>1.02</v>
      </c>
      <c r="E107" s="62">
        <f>E106*1.02</f>
        <v>970.32600000000014</v>
      </c>
      <c r="F107" s="62">
        <f>F106*D107</f>
        <v>1006.128</v>
      </c>
      <c r="G107" s="58">
        <f t="shared" si="4"/>
        <v>1976.4540000000002</v>
      </c>
      <c r="H107" s="106"/>
      <c r="I107" s="107"/>
      <c r="J107" s="25"/>
    </row>
    <row r="108" spans="1:10" s="22" customFormat="1" ht="18" customHeight="1" x14ac:dyDescent="0.2">
      <c r="A108" s="71" t="s">
        <v>179</v>
      </c>
      <c r="B108" s="55" t="s">
        <v>27</v>
      </c>
      <c r="C108" s="60" t="s">
        <v>17</v>
      </c>
      <c r="D108" s="61">
        <v>1.02</v>
      </c>
      <c r="E108" s="62">
        <f>E106*120*D108</f>
        <v>116439.12000000001</v>
      </c>
      <c r="F108" s="62">
        <f>F106*120*D108</f>
        <v>120735.36</v>
      </c>
      <c r="G108" s="58">
        <f t="shared" si="4"/>
        <v>237174.48</v>
      </c>
      <c r="H108" s="106"/>
      <c r="I108" s="107"/>
      <c r="J108" s="25"/>
    </row>
    <row r="109" spans="1:10" s="22" customFormat="1" ht="18" customHeight="1" x14ac:dyDescent="0.2">
      <c r="A109" s="71" t="s">
        <v>180</v>
      </c>
      <c r="B109" s="55" t="s">
        <v>121</v>
      </c>
      <c r="C109" s="60" t="s">
        <v>17</v>
      </c>
      <c r="D109" s="61">
        <v>4.0999999999999996</v>
      </c>
      <c r="E109" s="62">
        <f>E108*D109/1000</f>
        <v>477.40039200000001</v>
      </c>
      <c r="F109" s="62">
        <f>F108*D109/1000</f>
        <v>495.01497599999999</v>
      </c>
      <c r="G109" s="58">
        <f t="shared" si="4"/>
        <v>972.41536799999994</v>
      </c>
      <c r="H109" s="106"/>
      <c r="I109" s="107"/>
      <c r="J109" s="31"/>
    </row>
    <row r="110" spans="1:10" s="22" customFormat="1" ht="18" customHeight="1" x14ac:dyDescent="0.2">
      <c r="A110" s="83" t="s">
        <v>181</v>
      </c>
      <c r="B110" s="84" t="s">
        <v>108</v>
      </c>
      <c r="C110" s="85" t="s">
        <v>16</v>
      </c>
      <c r="D110" s="85"/>
      <c r="E110" s="49">
        <f>245*9</f>
        <v>2205</v>
      </c>
      <c r="F110" s="49">
        <f>260*9</f>
        <v>2340</v>
      </c>
      <c r="G110" s="49">
        <f t="shared" si="4"/>
        <v>4545</v>
      </c>
      <c r="H110" s="106"/>
      <c r="I110" s="50">
        <f>G110*H110</f>
        <v>0</v>
      </c>
      <c r="J110" s="31"/>
    </row>
    <row r="111" spans="1:10" s="22" customFormat="1" ht="18" customHeight="1" x14ac:dyDescent="0.2">
      <c r="A111" s="71" t="s">
        <v>182</v>
      </c>
      <c r="B111" s="55" t="s">
        <v>140</v>
      </c>
      <c r="C111" s="87" t="s">
        <v>16</v>
      </c>
      <c r="D111" s="87">
        <v>1.02</v>
      </c>
      <c r="E111" s="62">
        <f>E110*1.02</f>
        <v>2249.1</v>
      </c>
      <c r="F111" s="62">
        <f>F110*D111</f>
        <v>2386.8000000000002</v>
      </c>
      <c r="G111" s="58">
        <f t="shared" si="4"/>
        <v>4635.8999999999996</v>
      </c>
      <c r="H111" s="102"/>
      <c r="I111" s="103"/>
      <c r="J111" s="25"/>
    </row>
    <row r="112" spans="1:10" s="22" customFormat="1" ht="18" customHeight="1" x14ac:dyDescent="0.2">
      <c r="A112" s="71" t="s">
        <v>183</v>
      </c>
      <c r="B112" s="55" t="s">
        <v>27</v>
      </c>
      <c r="C112" s="60" t="s">
        <v>17</v>
      </c>
      <c r="D112" s="61">
        <v>1.02</v>
      </c>
      <c r="E112" s="62">
        <f>E110*D112*150</f>
        <v>337365</v>
      </c>
      <c r="F112" s="62">
        <f>F110*D112*150</f>
        <v>358020</v>
      </c>
      <c r="G112" s="58">
        <f t="shared" si="4"/>
        <v>695385</v>
      </c>
      <c r="H112" s="102"/>
      <c r="I112" s="103"/>
      <c r="J112" s="25"/>
    </row>
    <row r="113" spans="1:10" s="22" customFormat="1" ht="18" customHeight="1" x14ac:dyDescent="0.2">
      <c r="A113" s="71" t="s">
        <v>184</v>
      </c>
      <c r="B113" s="55" t="s">
        <v>57</v>
      </c>
      <c r="C113" s="60" t="s">
        <v>17</v>
      </c>
      <c r="D113" s="61">
        <v>4.0999999999999996</v>
      </c>
      <c r="E113" s="62">
        <f>E112*D113/1000</f>
        <v>1383.1964999999998</v>
      </c>
      <c r="F113" s="62">
        <f>F112*D113/1000</f>
        <v>1467.8819999999998</v>
      </c>
      <c r="G113" s="58">
        <f t="shared" si="4"/>
        <v>2851.0784999999996</v>
      </c>
      <c r="H113" s="102"/>
      <c r="I113" s="103"/>
      <c r="J113" s="31"/>
    </row>
    <row r="114" spans="1:10" s="22" customFormat="1" ht="18" customHeight="1" x14ac:dyDescent="0.2">
      <c r="A114" s="93" t="s">
        <v>185</v>
      </c>
      <c r="B114" s="53" t="s">
        <v>127</v>
      </c>
      <c r="C114" s="52" t="s">
        <v>16</v>
      </c>
      <c r="D114" s="48"/>
      <c r="E114" s="49">
        <f>1.5*9</f>
        <v>13.5</v>
      </c>
      <c r="F114" s="49">
        <f>1.5*9</f>
        <v>13.5</v>
      </c>
      <c r="G114" s="49">
        <f t="shared" si="4"/>
        <v>27</v>
      </c>
      <c r="H114" s="106"/>
      <c r="I114" s="50">
        <f>G114*H114</f>
        <v>0</v>
      </c>
      <c r="J114" s="31"/>
    </row>
    <row r="115" spans="1:10" s="22" customFormat="1" ht="18" customHeight="1" x14ac:dyDescent="0.2">
      <c r="A115" s="71" t="s">
        <v>186</v>
      </c>
      <c r="B115" s="55" t="s">
        <v>140</v>
      </c>
      <c r="C115" s="87" t="s">
        <v>16</v>
      </c>
      <c r="D115" s="87">
        <v>1.02</v>
      </c>
      <c r="E115" s="62">
        <f>E114*D115</f>
        <v>13.77</v>
      </c>
      <c r="F115" s="62">
        <f>F114*D115</f>
        <v>13.77</v>
      </c>
      <c r="G115" s="58">
        <f t="shared" si="4"/>
        <v>27.54</v>
      </c>
      <c r="H115" s="102"/>
      <c r="I115" s="103"/>
      <c r="J115" s="25"/>
    </row>
    <row r="116" spans="1:10" s="22" customFormat="1" ht="18" customHeight="1" x14ac:dyDescent="0.2">
      <c r="A116" s="71" t="s">
        <v>187</v>
      </c>
      <c r="B116" s="55" t="s">
        <v>27</v>
      </c>
      <c r="C116" s="60" t="s">
        <v>17</v>
      </c>
      <c r="D116" s="61">
        <v>1.02</v>
      </c>
      <c r="E116" s="62">
        <f>E115*200*D116</f>
        <v>2809.08</v>
      </c>
      <c r="F116" s="62">
        <f>F114*200*D116</f>
        <v>2754</v>
      </c>
      <c r="G116" s="58">
        <f t="shared" si="4"/>
        <v>5563.08</v>
      </c>
      <c r="H116" s="102"/>
      <c r="I116" s="103"/>
      <c r="J116" s="25"/>
    </row>
    <row r="117" spans="1:10" s="22" customFormat="1" ht="18" customHeight="1" x14ac:dyDescent="0.2">
      <c r="A117" s="71" t="s">
        <v>188</v>
      </c>
      <c r="B117" s="55" t="s">
        <v>131</v>
      </c>
      <c r="C117" s="60" t="s">
        <v>17</v>
      </c>
      <c r="D117" s="61">
        <v>4.0999999999999996</v>
      </c>
      <c r="E117" s="62">
        <f>E116*D117/1000</f>
        <v>11.517227999999999</v>
      </c>
      <c r="F117" s="62">
        <f>F116*D117/1000</f>
        <v>11.291399999999999</v>
      </c>
      <c r="G117" s="58">
        <f t="shared" si="4"/>
        <v>22.808627999999999</v>
      </c>
      <c r="H117" s="102"/>
      <c r="I117" s="103"/>
      <c r="J117" s="31"/>
    </row>
    <row r="118" spans="1:10" s="22" customFormat="1" x14ac:dyDescent="0.2">
      <c r="A118" s="83" t="s">
        <v>189</v>
      </c>
      <c r="B118" s="108" t="s">
        <v>190</v>
      </c>
      <c r="C118" s="98" t="s">
        <v>16</v>
      </c>
      <c r="D118" s="98"/>
      <c r="E118" s="49">
        <f>105.7/2</f>
        <v>52.85</v>
      </c>
      <c r="F118" s="49">
        <f>109.6/2</f>
        <v>54.8</v>
      </c>
      <c r="G118" s="49">
        <f t="shared" si="4"/>
        <v>107.65</v>
      </c>
      <c r="H118" s="99"/>
      <c r="I118" s="50">
        <f>G118*H118</f>
        <v>0</v>
      </c>
      <c r="J118" s="28"/>
    </row>
    <row r="119" spans="1:10" s="22" customFormat="1" x14ac:dyDescent="0.2">
      <c r="A119" s="71" t="s">
        <v>191</v>
      </c>
      <c r="B119" s="55" t="s">
        <v>140</v>
      </c>
      <c r="C119" s="87" t="s">
        <v>16</v>
      </c>
      <c r="D119" s="87">
        <v>1.02</v>
      </c>
      <c r="E119" s="62">
        <f>E118*1.02</f>
        <v>53.907000000000004</v>
      </c>
      <c r="F119" s="62">
        <f>F118*D119</f>
        <v>55.896000000000001</v>
      </c>
      <c r="G119" s="58">
        <f t="shared" si="4"/>
        <v>109.803</v>
      </c>
      <c r="H119" s="99"/>
      <c r="I119" s="50"/>
      <c r="J119" s="25"/>
    </row>
    <row r="120" spans="1:10" s="22" customFormat="1" x14ac:dyDescent="0.2">
      <c r="A120" s="71" t="s">
        <v>192</v>
      </c>
      <c r="B120" s="55" t="s">
        <v>27</v>
      </c>
      <c r="C120" s="60" t="s">
        <v>17</v>
      </c>
      <c r="D120" s="61">
        <v>1.02</v>
      </c>
      <c r="E120" s="62">
        <f>E118*120*D120</f>
        <v>6468.84</v>
      </c>
      <c r="F120" s="62">
        <f>F118*120*D120</f>
        <v>6707.52</v>
      </c>
      <c r="G120" s="58">
        <f t="shared" si="4"/>
        <v>13176.36</v>
      </c>
      <c r="H120" s="99"/>
      <c r="I120" s="50"/>
      <c r="J120" s="25"/>
    </row>
    <row r="121" spans="1:10" s="22" customFormat="1" x14ac:dyDescent="0.2">
      <c r="A121" s="71" t="s">
        <v>193</v>
      </c>
      <c r="B121" s="55" t="s">
        <v>121</v>
      </c>
      <c r="C121" s="60" t="s">
        <v>17</v>
      </c>
      <c r="D121" s="61">
        <v>4.0999999999999996</v>
      </c>
      <c r="E121" s="62">
        <f>E120*D121/1000</f>
        <v>26.522243999999997</v>
      </c>
      <c r="F121" s="62">
        <f>F120*D121/1000</f>
        <v>27.500831999999999</v>
      </c>
      <c r="G121" s="58">
        <f t="shared" si="4"/>
        <v>54.023075999999996</v>
      </c>
      <c r="H121" s="99"/>
      <c r="I121" s="50"/>
      <c r="J121" s="28"/>
    </row>
    <row r="122" spans="1:10" s="22" customFormat="1" ht="18" customHeight="1" x14ac:dyDescent="0.2">
      <c r="A122" s="93" t="s">
        <v>194</v>
      </c>
      <c r="B122" s="52" t="s">
        <v>195</v>
      </c>
      <c r="C122" s="52" t="s">
        <v>16</v>
      </c>
      <c r="D122" s="48"/>
      <c r="E122" s="49">
        <v>25</v>
      </c>
      <c r="F122" s="49">
        <v>25</v>
      </c>
      <c r="G122" s="49">
        <f t="shared" si="4"/>
        <v>50</v>
      </c>
      <c r="H122" s="49"/>
      <c r="I122" s="50">
        <f>G122*H122</f>
        <v>0</v>
      </c>
      <c r="J122" s="31"/>
    </row>
    <row r="123" spans="1:10" s="29" customFormat="1" ht="18" customHeight="1" x14ac:dyDescent="0.2">
      <c r="A123" s="71" t="s">
        <v>196</v>
      </c>
      <c r="B123" s="109" t="s">
        <v>197</v>
      </c>
      <c r="C123" s="87" t="s">
        <v>16</v>
      </c>
      <c r="D123" s="87">
        <v>1.02</v>
      </c>
      <c r="E123" s="62">
        <f>E122*D123</f>
        <v>25.5</v>
      </c>
      <c r="F123" s="62">
        <f>F122*D123</f>
        <v>25.5</v>
      </c>
      <c r="G123" s="58">
        <f t="shared" si="4"/>
        <v>51</v>
      </c>
      <c r="H123" s="62"/>
      <c r="I123" s="59"/>
      <c r="J123" s="25"/>
    </row>
    <row r="124" spans="1:10" s="22" customFormat="1" ht="18" customHeight="1" x14ac:dyDescent="0.2">
      <c r="A124" s="71" t="s">
        <v>198</v>
      </c>
      <c r="B124" s="55" t="s">
        <v>27</v>
      </c>
      <c r="C124" s="60" t="s">
        <v>17</v>
      </c>
      <c r="D124" s="61">
        <v>1.02</v>
      </c>
      <c r="E124" s="62">
        <f>2.9*D124</f>
        <v>2.9579999999999997</v>
      </c>
      <c r="F124" s="62">
        <f>2.9*D124</f>
        <v>2.9579999999999997</v>
      </c>
      <c r="G124" s="58">
        <f t="shared" si="4"/>
        <v>5.9159999999999995</v>
      </c>
      <c r="H124" s="62"/>
      <c r="I124" s="59"/>
      <c r="J124" s="25"/>
    </row>
    <row r="125" spans="1:10" s="22" customFormat="1" ht="18" customHeight="1" x14ac:dyDescent="0.2">
      <c r="A125" s="71" t="s">
        <v>199</v>
      </c>
      <c r="B125" s="55" t="s">
        <v>131</v>
      </c>
      <c r="C125" s="60" t="s">
        <v>17</v>
      </c>
      <c r="D125" s="61">
        <v>4.0999999999999996</v>
      </c>
      <c r="E125" s="62">
        <f>SUM(E124:E124)*D125</f>
        <v>12.127799999999997</v>
      </c>
      <c r="F125" s="62">
        <f>F124*D125</f>
        <v>12.127799999999997</v>
      </c>
      <c r="G125" s="58">
        <f t="shared" si="4"/>
        <v>24.255599999999994</v>
      </c>
      <c r="H125" s="62"/>
      <c r="I125" s="59"/>
      <c r="J125" s="31"/>
    </row>
    <row r="126" spans="1:10" s="22" customFormat="1" ht="27.75" customHeight="1" x14ac:dyDescent="0.2">
      <c r="A126" s="110">
        <v>11</v>
      </c>
      <c r="B126" s="85" t="s">
        <v>200</v>
      </c>
      <c r="C126" s="85" t="s">
        <v>18</v>
      </c>
      <c r="D126" s="85"/>
      <c r="E126" s="111">
        <v>34</v>
      </c>
      <c r="F126" s="111">
        <v>34</v>
      </c>
      <c r="G126" s="112">
        <f t="shared" si="4"/>
        <v>68</v>
      </c>
      <c r="H126" s="113"/>
      <c r="I126" s="50">
        <f>G126*H126</f>
        <v>0</v>
      </c>
      <c r="J126" s="26"/>
    </row>
    <row r="127" spans="1:10" s="22" customFormat="1" ht="27.75" customHeight="1" x14ac:dyDescent="0.2">
      <c r="A127" s="114">
        <v>12</v>
      </c>
      <c r="B127" s="115" t="s">
        <v>28</v>
      </c>
      <c r="C127" s="115" t="s">
        <v>18</v>
      </c>
      <c r="D127" s="116" t="s">
        <v>115</v>
      </c>
      <c r="E127" s="117">
        <v>576</v>
      </c>
      <c r="F127" s="118">
        <v>624</v>
      </c>
      <c r="G127" s="119">
        <f t="shared" si="4"/>
        <v>1200</v>
      </c>
      <c r="H127" s="113"/>
      <c r="I127" s="50">
        <f>G127*H127</f>
        <v>0</v>
      </c>
      <c r="J127" s="26"/>
    </row>
    <row r="128" spans="1:10" s="22" customFormat="1" ht="16.5" customHeight="1" thickBot="1" x14ac:dyDescent="0.25">
      <c r="A128" s="120" t="s">
        <v>201</v>
      </c>
      <c r="B128" s="121" t="s">
        <v>202</v>
      </c>
      <c r="C128" s="122" t="s">
        <v>115</v>
      </c>
      <c r="D128" s="123"/>
      <c r="E128" s="124" t="s">
        <v>115</v>
      </c>
      <c r="F128" s="124"/>
      <c r="G128" s="124"/>
      <c r="H128" s="125" t="s">
        <v>115</v>
      </c>
      <c r="I128" s="50"/>
      <c r="J128" s="26"/>
    </row>
    <row r="129" spans="1:12" s="22" customFormat="1" ht="18" customHeight="1" x14ac:dyDescent="0.3">
      <c r="A129" s="126"/>
      <c r="B129" s="127" t="s">
        <v>203</v>
      </c>
      <c r="C129" s="128"/>
      <c r="D129" s="128"/>
      <c r="E129" s="129"/>
      <c r="F129" s="129"/>
      <c r="G129" s="129"/>
      <c r="H129" s="130"/>
      <c r="I129" s="131"/>
      <c r="J129" s="31"/>
      <c r="K129" s="32"/>
      <c r="L129" s="32"/>
    </row>
    <row r="130" spans="1:12" s="22" customFormat="1" ht="18" customHeight="1" thickBot="1" x14ac:dyDescent="0.35">
      <c r="A130" s="132"/>
      <c r="B130" s="133" t="s">
        <v>204</v>
      </c>
      <c r="C130" s="133"/>
      <c r="D130" s="133"/>
      <c r="E130" s="134"/>
      <c r="F130" s="134"/>
      <c r="G130" s="134"/>
      <c r="H130" s="135"/>
      <c r="I130" s="140" t="s">
        <v>115</v>
      </c>
      <c r="J130" s="31"/>
    </row>
    <row r="131" spans="1:12" s="22" customFormat="1" ht="18" customHeight="1" thickBot="1" x14ac:dyDescent="0.35">
      <c r="A131" s="136"/>
      <c r="B131" s="137" t="s">
        <v>205</v>
      </c>
      <c r="C131" s="137"/>
      <c r="D131" s="137"/>
      <c r="E131" s="138"/>
      <c r="F131" s="138"/>
      <c r="G131" s="138"/>
      <c r="H131" s="139"/>
      <c r="I131" s="141" t="s">
        <v>115</v>
      </c>
      <c r="J131" s="31"/>
    </row>
    <row r="132" spans="1:12" ht="6.75" customHeight="1" x14ac:dyDescent="0.25">
      <c r="A132" s="5"/>
      <c r="B132" s="6"/>
      <c r="C132" s="6"/>
      <c r="D132" s="6"/>
      <c r="E132" s="7"/>
      <c r="F132" s="8"/>
    </row>
    <row r="133" spans="1:12" ht="20.100000000000001" customHeight="1" x14ac:dyDescent="0.25">
      <c r="A133" s="165" t="s">
        <v>213</v>
      </c>
      <c r="B133" s="165"/>
      <c r="C133" s="165"/>
      <c r="D133" s="165"/>
      <c r="E133" s="165"/>
      <c r="F133" s="9"/>
      <c r="G133" s="4"/>
      <c r="H133" s="4"/>
      <c r="I133" s="4"/>
      <c r="J133" s="4"/>
      <c r="K133" s="4"/>
      <c r="L133" s="4"/>
    </row>
    <row r="134" spans="1:12" ht="20.100000000000001" customHeight="1" x14ac:dyDescent="0.25">
      <c r="A134" s="165" t="s">
        <v>14</v>
      </c>
      <c r="B134" s="165"/>
      <c r="C134" s="165"/>
      <c r="D134" s="165"/>
      <c r="E134" s="165"/>
      <c r="F134" s="10"/>
      <c r="G134" s="4"/>
      <c r="H134" s="4"/>
      <c r="I134" s="4"/>
      <c r="J134" s="4"/>
      <c r="K134" s="4"/>
      <c r="L134" s="4"/>
    </row>
    <row r="135" spans="1:12" ht="20.100000000000001" customHeight="1" x14ac:dyDescent="0.25">
      <c r="A135" s="165" t="s">
        <v>15</v>
      </c>
      <c r="B135" s="165"/>
      <c r="C135" s="165"/>
      <c r="D135" s="165"/>
      <c r="E135" s="165"/>
      <c r="F135" s="9"/>
      <c r="G135" s="4"/>
      <c r="H135" s="4"/>
      <c r="I135" s="4"/>
      <c r="J135" s="4"/>
      <c r="K135" s="4"/>
      <c r="L135" s="4"/>
    </row>
    <row r="136" spans="1:12" ht="18" customHeight="1" thickBot="1" x14ac:dyDescent="0.35">
      <c r="A136" s="170" t="s">
        <v>19</v>
      </c>
      <c r="B136" s="170"/>
      <c r="C136" s="170"/>
      <c r="D136" s="170"/>
      <c r="E136" s="170"/>
      <c r="F136" s="2"/>
      <c r="G136" s="2"/>
      <c r="H136" s="4"/>
      <c r="I136" s="2"/>
      <c r="J136" s="2"/>
      <c r="K136" s="2"/>
      <c r="L136" s="2"/>
    </row>
    <row r="137" spans="1:12" ht="34.5" customHeight="1" x14ac:dyDescent="0.25">
      <c r="A137" s="11" t="s">
        <v>2</v>
      </c>
      <c r="B137" s="146" t="s">
        <v>3</v>
      </c>
      <c r="C137" s="146"/>
      <c r="D137" s="146"/>
      <c r="E137" s="146" t="s">
        <v>4</v>
      </c>
      <c r="F137" s="146"/>
      <c r="G137" s="146" t="s">
        <v>11</v>
      </c>
      <c r="H137" s="146"/>
      <c r="I137" s="12" t="s">
        <v>12</v>
      </c>
      <c r="J137" s="13"/>
    </row>
    <row r="138" spans="1:12" ht="18.75" customHeight="1" x14ac:dyDescent="0.3">
      <c r="A138" s="14"/>
      <c r="B138" s="149"/>
      <c r="C138" s="149"/>
      <c r="D138" s="149"/>
      <c r="E138" s="147"/>
      <c r="F138" s="147"/>
      <c r="G138" s="147"/>
      <c r="H138" s="147"/>
      <c r="I138" s="15"/>
      <c r="J138" s="13"/>
    </row>
    <row r="139" spans="1:12" ht="18.75" customHeight="1" x14ac:dyDescent="0.3">
      <c r="A139" s="14"/>
      <c r="B139" s="149"/>
      <c r="C139" s="149"/>
      <c r="D139" s="149"/>
      <c r="E139" s="147"/>
      <c r="F139" s="147"/>
      <c r="G139" s="147"/>
      <c r="H139" s="147"/>
      <c r="I139" s="15"/>
      <c r="J139" s="13"/>
    </row>
    <row r="140" spans="1:12" ht="18.75" customHeight="1" thickBot="1" x14ac:dyDescent="0.35">
      <c r="A140" s="16"/>
      <c r="B140" s="150"/>
      <c r="C140" s="150"/>
      <c r="D140" s="150"/>
      <c r="E140" s="148"/>
      <c r="F140" s="148"/>
      <c r="G140" s="148"/>
      <c r="H140" s="148"/>
      <c r="I140" s="17"/>
      <c r="J140" s="13"/>
    </row>
    <row r="141" spans="1:12" ht="8.2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13"/>
      <c r="L141" s="13"/>
    </row>
    <row r="142" spans="1:12" x14ac:dyDescent="0.25">
      <c r="A142" s="165" t="s">
        <v>20</v>
      </c>
      <c r="B142" s="165"/>
      <c r="C142" s="165"/>
      <c r="D142" s="165"/>
      <c r="E142" s="165"/>
      <c r="F142" s="165"/>
      <c r="G142" s="4"/>
      <c r="H142" s="4"/>
      <c r="I142" s="4"/>
      <c r="J142" s="4"/>
      <c r="K142" s="4"/>
      <c r="L142" s="4"/>
    </row>
    <row r="143" spans="1:12" ht="20.25" customHeight="1" x14ac:dyDescent="0.25">
      <c r="A143" s="165" t="s">
        <v>10</v>
      </c>
      <c r="B143" s="165"/>
      <c r="C143" s="165"/>
      <c r="D143" s="165"/>
      <c r="E143" s="165"/>
      <c r="F143" s="9"/>
      <c r="G143" s="4"/>
      <c r="H143" s="4"/>
      <c r="I143" s="4"/>
      <c r="J143" s="4"/>
      <c r="K143" s="4"/>
      <c r="L143" s="4"/>
    </row>
    <row r="144" spans="1:12" ht="20.100000000000001" customHeight="1" x14ac:dyDescent="0.25">
      <c r="A144" s="165" t="s">
        <v>21</v>
      </c>
      <c r="B144" s="165"/>
      <c r="C144" s="165"/>
      <c r="D144" s="165"/>
      <c r="E144" s="165"/>
      <c r="F144" s="10"/>
      <c r="G144" s="4"/>
      <c r="H144" s="4"/>
      <c r="I144" s="4"/>
      <c r="J144" s="4"/>
      <c r="K144" s="4"/>
      <c r="L144" s="4"/>
    </row>
    <row r="145" spans="1:12" ht="20.100000000000001" customHeight="1" x14ac:dyDescent="0.25">
      <c r="A145" s="165" t="s">
        <v>22</v>
      </c>
      <c r="B145" s="165"/>
      <c r="C145" s="165"/>
      <c r="D145" s="155"/>
      <c r="E145" s="155"/>
      <c r="F145" s="168"/>
      <c r="G145" s="4"/>
      <c r="H145" s="4"/>
      <c r="I145" s="4"/>
      <c r="J145" s="4"/>
      <c r="K145" s="4"/>
      <c r="L145" s="4"/>
    </row>
    <row r="146" spans="1:12" ht="23.25" customHeight="1" x14ac:dyDescent="0.3">
      <c r="A146" s="167" t="s">
        <v>5</v>
      </c>
      <c r="B146" s="167"/>
      <c r="C146" s="167"/>
      <c r="D146" s="167"/>
      <c r="E146" s="167"/>
      <c r="F146" s="2"/>
      <c r="G146" s="2"/>
      <c r="H146" s="2"/>
      <c r="I146" s="2"/>
      <c r="J146" s="2"/>
      <c r="K146" s="2"/>
      <c r="L146" s="2"/>
    </row>
    <row r="147" spans="1:12" ht="20.100000000000001" customHeight="1" x14ac:dyDescent="0.25">
      <c r="A147" s="166" t="s">
        <v>210</v>
      </c>
      <c r="B147" s="166"/>
      <c r="C147" s="166"/>
      <c r="D147" s="166"/>
      <c r="E147" s="166"/>
      <c r="F147" s="2"/>
      <c r="G147" s="2"/>
      <c r="H147" s="2"/>
      <c r="I147" s="2"/>
      <c r="J147" s="2"/>
      <c r="K147" s="2"/>
      <c r="L147" s="2"/>
    </row>
    <row r="148" spans="1:12" ht="20.100000000000001" customHeight="1" x14ac:dyDescent="0.25">
      <c r="A148" s="166" t="s">
        <v>13</v>
      </c>
      <c r="B148" s="166"/>
      <c r="C148" s="166"/>
      <c r="D148" s="166"/>
      <c r="E148" s="166"/>
      <c r="F148" s="2"/>
      <c r="G148" s="2"/>
      <c r="H148" s="2"/>
      <c r="I148" s="2"/>
      <c r="J148" s="2"/>
      <c r="K148" s="2"/>
      <c r="L148" s="2"/>
    </row>
    <row r="150" spans="1:12" ht="17.25" customHeight="1" x14ac:dyDescent="0.3">
      <c r="B150" s="18" t="s">
        <v>9</v>
      </c>
      <c r="C150" s="169"/>
      <c r="D150" s="169"/>
      <c r="E150" s="169"/>
      <c r="F150" s="19"/>
      <c r="G150" s="19"/>
      <c r="H150" s="19"/>
      <c r="I150" s="19"/>
      <c r="J150" s="19"/>
      <c r="K150" s="19"/>
      <c r="L150" s="19"/>
    </row>
    <row r="151" spans="1:12" x14ac:dyDescent="0.25">
      <c r="C151" s="164" t="s">
        <v>6</v>
      </c>
      <c r="D151" s="164"/>
      <c r="E151" s="164"/>
    </row>
  </sheetData>
  <sheetProtection formatCells="0"/>
  <mergeCells count="45">
    <mergeCell ref="A135:E135"/>
    <mergeCell ref="A136:E136"/>
    <mergeCell ref="A142:F142"/>
    <mergeCell ref="A133:E133"/>
    <mergeCell ref="A134:E134"/>
    <mergeCell ref="E137:F137"/>
    <mergeCell ref="E138:F138"/>
    <mergeCell ref="E139:F139"/>
    <mergeCell ref="C151:E151"/>
    <mergeCell ref="A143:E143"/>
    <mergeCell ref="A144:E144"/>
    <mergeCell ref="A148:E148"/>
    <mergeCell ref="A145:C145"/>
    <mergeCell ref="A146:E146"/>
    <mergeCell ref="A147:E147"/>
    <mergeCell ref="D145:F145"/>
    <mergeCell ref="C150:E150"/>
    <mergeCell ref="A7:F7"/>
    <mergeCell ref="A8:A9"/>
    <mergeCell ref="B8:B9"/>
    <mergeCell ref="C8:C9"/>
    <mergeCell ref="D8:D9"/>
    <mergeCell ref="E8:G8"/>
    <mergeCell ref="H8:I8"/>
    <mergeCell ref="E28:F28"/>
    <mergeCell ref="E29:F29"/>
    <mergeCell ref="E32:F32"/>
    <mergeCell ref="E33:F33"/>
    <mergeCell ref="G137:H137"/>
    <mergeCell ref="G138:H138"/>
    <mergeCell ref="G139:H139"/>
    <mergeCell ref="G140:H140"/>
    <mergeCell ref="B137:D137"/>
    <mergeCell ref="B138:D138"/>
    <mergeCell ref="B139:D139"/>
    <mergeCell ref="B140:D140"/>
    <mergeCell ref="E140:F140"/>
    <mergeCell ref="A4:I4"/>
    <mergeCell ref="A3:I3"/>
    <mergeCell ref="A2:I2"/>
    <mergeCell ref="H1:I1"/>
    <mergeCell ref="D5:I5"/>
    <mergeCell ref="B5:C5"/>
    <mergeCell ref="H6:I6"/>
    <mergeCell ref="A6:G6"/>
  </mergeCells>
  <pageMargins left="0.59055118110236227" right="0.19685039370078741" top="0.19685039370078741" bottom="0.19685039370078741" header="0" footer="0.19685039370078741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2024-12-26T13:04:44Z</dcterms:modified>
</cp:coreProperties>
</file>