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Работа\Изи проджект\Киев\Медцентр\"/>
    </mc:Choice>
  </mc:AlternateContent>
  <xr:revisionPtr revIDLastSave="0" documentId="8_{625F29C9-0655-471B-893C-B2FD74341F29}" xr6:coauthVersionLast="43" xr6:coauthVersionMax="43" xr10:uidLastSave="{00000000-0000-0000-0000-000000000000}"/>
  <bookViews>
    <workbookView xWindow="-108" yWindow="-108" windowWidth="23256" windowHeight="12456" tabRatio="602" xr2:uid="{00000000-000D-0000-FFFF-FFFF00000000}"/>
  </bookViews>
  <sheets>
    <sheet name="БМР (2поверхи)" sheetId="41" r:id="rId1"/>
  </sheets>
  <externalReferences>
    <externalReference r:id="rId2"/>
  </externalReferences>
  <definedNames>
    <definedName name="_xlnm._FilterDatabase" localSheetId="0" hidden="1">'БМР (2поверхи)'!$A$2:$ALZ$239</definedName>
    <definedName name="Excel_BuiltIn__FilterDatabase_2">#REF!</definedName>
    <definedName name="Excel_BuiltIn__FilterDatabase_4">#REF!</definedName>
    <definedName name="Excel_BuiltIn__FilterDatabase_5">#REF!</definedName>
    <definedName name="Excel_BuiltIn_Print_Titles_6">[1]SUMMARY!#REF!</definedName>
    <definedName name="materials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41" l="1"/>
  <c r="L8" i="41"/>
  <c r="L9" i="41"/>
  <c r="L10" i="41"/>
  <c r="L11" i="41"/>
  <c r="L12" i="41"/>
  <c r="L19" i="41"/>
  <c r="L25" i="41"/>
  <c r="L26" i="41"/>
  <c r="J27" i="41"/>
  <c r="L27" i="41" s="1"/>
  <c r="J29" i="41"/>
  <c r="L29" i="41" s="1"/>
  <c r="L31" i="41"/>
  <c r="L39" i="41"/>
  <c r="L40" i="41"/>
  <c r="L51" i="41"/>
  <c r="J52" i="41"/>
  <c r="L52" i="41" s="1"/>
  <c r="J53" i="41"/>
  <c r="L53" i="41" s="1"/>
  <c r="J54" i="41"/>
  <c r="L54" i="41"/>
  <c r="L55" i="41"/>
  <c r="J57" i="41"/>
  <c r="L57" i="41" s="1"/>
  <c r="L64" i="41"/>
  <c r="J65" i="41"/>
  <c r="L65" i="41"/>
  <c r="J66" i="41"/>
  <c r="L66" i="41"/>
  <c r="J67" i="41"/>
  <c r="L67" i="41"/>
  <c r="L68" i="41"/>
  <c r="L70" i="41"/>
  <c r="L79" i="41"/>
  <c r="L88" i="41"/>
  <c r="L110" i="41"/>
  <c r="L112" i="41"/>
  <c r="L116" i="41"/>
  <c r="J124" i="41"/>
  <c r="L124" i="41" s="1"/>
  <c r="L130" i="41"/>
  <c r="L148" i="41"/>
  <c r="L154" i="41"/>
  <c r="L155" i="41"/>
  <c r="L159" i="41"/>
  <c r="L163" i="41"/>
  <c r="L180" i="41"/>
  <c r="J181" i="41"/>
  <c r="L181" i="41" s="1"/>
  <c r="L182" i="41"/>
  <c r="J183" i="41"/>
  <c r="L183" i="41" s="1"/>
  <c r="J184" i="41"/>
  <c r="L184" i="41" s="1"/>
  <c r="J185" i="41"/>
  <c r="L185" i="41" s="1"/>
  <c r="L188" i="41"/>
  <c r="L189" i="41"/>
  <c r="L192" i="41"/>
  <c r="L193" i="41"/>
  <c r="L196" i="41"/>
  <c r="L197" i="41"/>
  <c r="L199" i="41"/>
  <c r="L201" i="41"/>
  <c r="L202" i="41"/>
  <c r="L208" i="41"/>
  <c r="L209" i="41"/>
  <c r="L211" i="41"/>
  <c r="L213" i="41"/>
  <c r="J232" i="41"/>
  <c r="L232" i="41"/>
  <c r="J233" i="41"/>
  <c r="L233" i="41" s="1"/>
  <c r="L234" i="41"/>
  <c r="L235" i="41"/>
  <c r="G208" i="41" l="1"/>
  <c r="A208" i="41"/>
  <c r="D226" i="41"/>
  <c r="G226" i="41" s="1"/>
  <c r="D225" i="41"/>
  <c r="G225" i="41" s="1"/>
  <c r="D223" i="41"/>
  <c r="G223" i="41" s="1"/>
  <c r="D222" i="41"/>
  <c r="G222" i="41" s="1"/>
  <c r="D221" i="41"/>
  <c r="G221" i="41" s="1"/>
  <c r="D220" i="41"/>
  <c r="G220" i="41" s="1"/>
  <c r="D219" i="41"/>
  <c r="G219" i="41" s="1"/>
  <c r="D218" i="41"/>
  <c r="G218" i="41" s="1"/>
  <c r="D217" i="41"/>
  <c r="D216" i="41"/>
  <c r="G216" i="41" s="1"/>
  <c r="D215" i="41"/>
  <c r="G215" i="41" s="1"/>
  <c r="D214" i="41"/>
  <c r="G214" i="41" s="1"/>
  <c r="D213" i="41"/>
  <c r="G213" i="41" s="1"/>
  <c r="D212" i="41"/>
  <c r="G212" i="41" s="1"/>
  <c r="D211" i="41"/>
  <c r="G211" i="41" s="1"/>
  <c r="D210" i="41"/>
  <c r="A224" i="41"/>
  <c r="G224" i="41"/>
  <c r="G217" i="41"/>
  <c r="G209" i="41"/>
  <c r="A209" i="41"/>
  <c r="A227" i="41"/>
  <c r="A132" i="41"/>
  <c r="A133" i="41"/>
  <c r="A134" i="41"/>
  <c r="A135" i="41"/>
  <c r="A136" i="41"/>
  <c r="A137" i="41"/>
  <c r="A138" i="41"/>
  <c r="A139" i="41"/>
  <c r="A140" i="41"/>
  <c r="A141" i="41"/>
  <c r="A142" i="41"/>
  <c r="A143" i="41"/>
  <c r="A146" i="41"/>
  <c r="A147" i="41"/>
  <c r="A148" i="41"/>
  <c r="A152" i="41"/>
  <c r="A153" i="41"/>
  <c r="A154" i="41"/>
  <c r="A155" i="41"/>
  <c r="A158" i="41"/>
  <c r="A159" i="41"/>
  <c r="A162" i="41"/>
  <c r="A163" i="41"/>
  <c r="A166" i="41"/>
  <c r="A167" i="41"/>
  <c r="A168" i="41"/>
  <c r="A169" i="41"/>
  <c r="A170" i="41"/>
  <c r="A171" i="41"/>
  <c r="A172" i="41"/>
  <c r="A173" i="41"/>
  <c r="A175" i="41"/>
  <c r="A53" i="41"/>
  <c r="A54" i="41"/>
  <c r="A55" i="41"/>
  <c r="A57" i="41"/>
  <c r="A59" i="41"/>
  <c r="A62" i="41"/>
  <c r="A63" i="41"/>
  <c r="A64" i="41"/>
  <c r="A67" i="41"/>
  <c r="A68" i="41"/>
  <c r="A69" i="41"/>
  <c r="A70" i="41"/>
  <c r="A74" i="41"/>
  <c r="A75" i="41"/>
  <c r="A76" i="41"/>
  <c r="A77" i="41"/>
  <c r="A78" i="41"/>
  <c r="A79" i="41"/>
  <c r="A83" i="41"/>
  <c r="A84" i="41"/>
  <c r="A85" i="41"/>
  <c r="A86" i="41"/>
  <c r="A87" i="41"/>
  <c r="A88" i="41"/>
  <c r="A90" i="41"/>
  <c r="A91" i="41"/>
  <c r="A94" i="41"/>
  <c r="A97" i="41"/>
  <c r="A100" i="41"/>
  <c r="A103" i="41"/>
  <c r="A106" i="41"/>
  <c r="A109" i="41"/>
  <c r="A110" i="41"/>
  <c r="A115" i="41"/>
  <c r="A116" i="41"/>
  <c r="A119" i="41"/>
  <c r="A120" i="41"/>
  <c r="A121" i="41"/>
  <c r="A122" i="41"/>
  <c r="A123" i="41"/>
  <c r="A43" i="41"/>
  <c r="A23" i="41"/>
  <c r="A24" i="41"/>
  <c r="A25" i="41"/>
  <c r="A26" i="41"/>
  <c r="A29" i="41"/>
  <c r="A31" i="41"/>
  <c r="A34" i="41"/>
  <c r="A35" i="41"/>
  <c r="A36" i="41"/>
  <c r="A37" i="41"/>
  <c r="A38" i="41"/>
  <c r="A39" i="41"/>
  <c r="A45" i="41"/>
  <c r="G24" i="41"/>
  <c r="L206" i="41" l="1"/>
  <c r="L228" i="41" s="1"/>
  <c r="G210" i="41"/>
  <c r="D234" i="41"/>
  <c r="D44" i="41" l="1"/>
  <c r="G182" i="41"/>
  <c r="A182" i="41"/>
  <c r="D200" i="41"/>
  <c r="J200" i="41" s="1"/>
  <c r="L200" i="41" s="1"/>
  <c r="D6" i="41"/>
  <c r="D156" i="41"/>
  <c r="J156" i="41" s="1"/>
  <c r="L156" i="41" s="1"/>
  <c r="D151" i="41"/>
  <c r="D165" i="41"/>
  <c r="G119" i="41"/>
  <c r="G120" i="41"/>
  <c r="G121" i="41"/>
  <c r="G122" i="41"/>
  <c r="G123" i="41"/>
  <c r="G124" i="41"/>
  <c r="D117" i="41"/>
  <c r="D89" i="41"/>
  <c r="D82" i="41"/>
  <c r="D111" i="41"/>
  <c r="J111" i="41" s="1"/>
  <c r="L111" i="41" s="1"/>
  <c r="D98" i="41"/>
  <c r="J98" i="41" s="1"/>
  <c r="L98" i="41" s="1"/>
  <c r="D95" i="41"/>
  <c r="J95" i="41" s="1"/>
  <c r="L95" i="41" s="1"/>
  <c r="D131" i="41"/>
  <c r="D40" i="41"/>
  <c r="D22" i="41"/>
  <c r="D20" i="41"/>
  <c r="J20" i="41" s="1"/>
  <c r="L20" i="41" s="1"/>
  <c r="D32" i="41"/>
  <c r="J32" i="41" s="1"/>
  <c r="L32" i="41" s="1"/>
  <c r="D11" i="41"/>
  <c r="D7" i="41"/>
  <c r="G7" i="41" s="1"/>
  <c r="D56" i="41"/>
  <c r="D8" i="41"/>
  <c r="G8" i="41" s="1"/>
  <c r="A238" i="41"/>
  <c r="G237" i="41"/>
  <c r="A237" i="41"/>
  <c r="D236" i="41"/>
  <c r="J236" i="41" s="1"/>
  <c r="L236" i="41" s="1"/>
  <c r="L238" i="41" s="1"/>
  <c r="G235" i="41"/>
  <c r="G234" i="41"/>
  <c r="G233" i="41"/>
  <c r="A233" i="41"/>
  <c r="G232" i="41"/>
  <c r="A231" i="41"/>
  <c r="A230" i="41"/>
  <c r="A205" i="41"/>
  <c r="A204" i="41"/>
  <c r="A202" i="41"/>
  <c r="G201" i="41"/>
  <c r="A201" i="41"/>
  <c r="G199" i="41"/>
  <c r="A199" i="41"/>
  <c r="G198" i="41"/>
  <c r="A198" i="41"/>
  <c r="D197" i="41"/>
  <c r="G196" i="41"/>
  <c r="A196" i="41"/>
  <c r="G195" i="41"/>
  <c r="A195" i="41"/>
  <c r="G194" i="41"/>
  <c r="A194" i="41"/>
  <c r="D193" i="41"/>
  <c r="G192" i="41"/>
  <c r="A192" i="41"/>
  <c r="G191" i="41"/>
  <c r="A191" i="41"/>
  <c r="G190" i="41"/>
  <c r="A190" i="41"/>
  <c r="D189" i="41"/>
  <c r="G188" i="41"/>
  <c r="A188" i="41"/>
  <c r="G187" i="41"/>
  <c r="A187" i="41"/>
  <c r="G186" i="41"/>
  <c r="A186" i="41"/>
  <c r="G185" i="41"/>
  <c r="A185" i="41"/>
  <c r="G184" i="41"/>
  <c r="A184" i="41"/>
  <c r="G183" i="41"/>
  <c r="A183" i="41"/>
  <c r="G180" i="41"/>
  <c r="G173" i="41"/>
  <c r="G172" i="41"/>
  <c r="G171" i="41"/>
  <c r="G170" i="41"/>
  <c r="G169" i="41"/>
  <c r="G168" i="41"/>
  <c r="G167" i="41"/>
  <c r="G166" i="41"/>
  <c r="G163" i="41"/>
  <c r="G162" i="41"/>
  <c r="G159" i="41"/>
  <c r="G158" i="41"/>
  <c r="G155" i="41"/>
  <c r="G154" i="41"/>
  <c r="G153" i="41"/>
  <c r="G152" i="41"/>
  <c r="G148" i="41"/>
  <c r="G147" i="41"/>
  <c r="G146" i="41"/>
  <c r="G143" i="41"/>
  <c r="G142" i="41"/>
  <c r="G141" i="41"/>
  <c r="G140" i="41"/>
  <c r="G139" i="41"/>
  <c r="G138" i="41"/>
  <c r="G137" i="41"/>
  <c r="G136" i="41"/>
  <c r="G135" i="41"/>
  <c r="G134" i="41"/>
  <c r="G133" i="41"/>
  <c r="G132" i="41"/>
  <c r="G130" i="41"/>
  <c r="A130" i="41"/>
  <c r="G116" i="41"/>
  <c r="G115" i="41"/>
  <c r="G112" i="41"/>
  <c r="G110" i="41"/>
  <c r="G109" i="41"/>
  <c r="G106" i="41"/>
  <c r="G103" i="41"/>
  <c r="G100" i="41"/>
  <c r="G97" i="41"/>
  <c r="G94" i="41"/>
  <c r="G91" i="41"/>
  <c r="G90" i="41"/>
  <c r="G88" i="41"/>
  <c r="G87" i="41"/>
  <c r="G86" i="41"/>
  <c r="G85" i="41"/>
  <c r="G84" i="41"/>
  <c r="G83" i="41"/>
  <c r="G79" i="41"/>
  <c r="G78" i="41"/>
  <c r="G77" i="41"/>
  <c r="G76" i="41"/>
  <c r="G75" i="41"/>
  <c r="G74" i="41"/>
  <c r="G70" i="41"/>
  <c r="G69" i="41"/>
  <c r="G68" i="41"/>
  <c r="G67" i="41"/>
  <c r="G66" i="41"/>
  <c r="G64" i="41"/>
  <c r="G63" i="41"/>
  <c r="G62" i="41"/>
  <c r="G59" i="41"/>
  <c r="G57" i="41"/>
  <c r="G55" i="41"/>
  <c r="G54" i="41"/>
  <c r="G53" i="41"/>
  <c r="G52" i="41"/>
  <c r="G51" i="41"/>
  <c r="A51" i="41"/>
  <c r="A50" i="41"/>
  <c r="A49" i="41"/>
  <c r="A48" i="41"/>
  <c r="A47" i="41"/>
  <c r="A46" i="41"/>
  <c r="G45" i="41"/>
  <c r="G43" i="41"/>
  <c r="G39" i="41"/>
  <c r="G38" i="41"/>
  <c r="G37" i="41"/>
  <c r="G36" i="41"/>
  <c r="G35" i="41"/>
  <c r="G34" i="41"/>
  <c r="G31" i="41"/>
  <c r="D30" i="41"/>
  <c r="J30" i="41" s="1"/>
  <c r="L30" i="41" s="1"/>
  <c r="D28" i="41"/>
  <c r="G27" i="41"/>
  <c r="G26" i="41"/>
  <c r="G25" i="41"/>
  <c r="G19" i="41"/>
  <c r="A19" i="41"/>
  <c r="A18" i="41"/>
  <c r="A17" i="41"/>
  <c r="A14" i="41"/>
  <c r="G10" i="41"/>
  <c r="A10" i="41"/>
  <c r="D9" i="41"/>
  <c r="G9" i="41" s="1"/>
  <c r="G197" i="41" l="1"/>
  <c r="J198" i="41"/>
  <c r="L198" i="41" s="1"/>
  <c r="J191" i="41"/>
  <c r="L191" i="41" s="1"/>
  <c r="J190" i="41"/>
  <c r="L190" i="41" s="1"/>
  <c r="J89" i="41"/>
  <c r="L89" i="41" s="1"/>
  <c r="J90" i="41"/>
  <c r="L90" i="41" s="1"/>
  <c r="J91" i="41"/>
  <c r="L91" i="41" s="1"/>
  <c r="J166" i="41"/>
  <c r="L166" i="41" s="1"/>
  <c r="J170" i="41"/>
  <c r="L170" i="41" s="1"/>
  <c r="J172" i="41"/>
  <c r="L172" i="41" s="1"/>
  <c r="J167" i="41"/>
  <c r="L167" i="41" s="1"/>
  <c r="J171" i="41"/>
  <c r="L171" i="41" s="1"/>
  <c r="J168" i="41"/>
  <c r="L168" i="41" s="1"/>
  <c r="J165" i="41"/>
  <c r="L165" i="41" s="1"/>
  <c r="J169" i="41"/>
  <c r="L169" i="41" s="1"/>
  <c r="J173" i="41"/>
  <c r="L173" i="41" s="1"/>
  <c r="J24" i="41"/>
  <c r="L24" i="41" s="1"/>
  <c r="J21" i="41"/>
  <c r="L21" i="41" s="1"/>
  <c r="J117" i="41"/>
  <c r="L117" i="41" s="1"/>
  <c r="J121" i="41"/>
  <c r="L121" i="41" s="1"/>
  <c r="J122" i="41"/>
  <c r="L122" i="41" s="1"/>
  <c r="J152" i="41"/>
  <c r="L152" i="41" s="1"/>
  <c r="J153" i="41"/>
  <c r="L153" i="41" s="1"/>
  <c r="J151" i="41"/>
  <c r="L151" i="41" s="1"/>
  <c r="J131" i="41"/>
  <c r="L131" i="41" s="1"/>
  <c r="J135" i="41"/>
  <c r="L135" i="41" s="1"/>
  <c r="J143" i="41"/>
  <c r="L143" i="41" s="1"/>
  <c r="J132" i="41"/>
  <c r="L132" i="41" s="1"/>
  <c r="J136" i="41"/>
  <c r="L136" i="41" s="1"/>
  <c r="J140" i="41"/>
  <c r="L140" i="41" s="1"/>
  <c r="J133" i="41"/>
  <c r="J137" i="41"/>
  <c r="L137" i="41" s="1"/>
  <c r="J134" i="41"/>
  <c r="L134" i="41" s="1"/>
  <c r="J138" i="41"/>
  <c r="L138" i="41" s="1"/>
  <c r="J142" i="41"/>
  <c r="L142" i="41" s="1"/>
  <c r="J63" i="41"/>
  <c r="L63" i="41" s="1"/>
  <c r="J61" i="41"/>
  <c r="L61" i="41" s="1"/>
  <c r="J56" i="41"/>
  <c r="L56" i="41" s="1"/>
  <c r="J62" i="41"/>
  <c r="L62" i="41" s="1"/>
  <c r="D12" i="41"/>
  <c r="A12" i="41" s="1"/>
  <c r="J13" i="41"/>
  <c r="L13" i="41" s="1"/>
  <c r="J195" i="41"/>
  <c r="L195" i="41" s="1"/>
  <c r="J194" i="41"/>
  <c r="L194" i="41" s="1"/>
  <c r="J83" i="41"/>
  <c r="J82" i="41"/>
  <c r="L82" i="41" s="1"/>
  <c r="J86" i="41"/>
  <c r="L86" i="41" s="1"/>
  <c r="J84" i="41"/>
  <c r="L84" i="41" s="1"/>
  <c r="J87" i="41"/>
  <c r="L87" i="41" s="1"/>
  <c r="J44" i="41"/>
  <c r="L44" i="41" s="1"/>
  <c r="J45" i="41"/>
  <c r="L45" i="41" s="1"/>
  <c r="G95" i="41"/>
  <c r="D99" i="41"/>
  <c r="D113" i="41"/>
  <c r="D58" i="41"/>
  <c r="G151" i="41"/>
  <c r="G228" i="41"/>
  <c r="D33" i="41"/>
  <c r="D41" i="41"/>
  <c r="G11" i="41"/>
  <c r="D174" i="41"/>
  <c r="J174" i="41" s="1"/>
  <c r="L174" i="41" s="1"/>
  <c r="D157" i="41"/>
  <c r="G40" i="41"/>
  <c r="G156" i="41"/>
  <c r="G200" i="41"/>
  <c r="D96" i="41"/>
  <c r="G89" i="41"/>
  <c r="G44" i="41"/>
  <c r="D164" i="41"/>
  <c r="J164" i="41" s="1"/>
  <c r="L164" i="41" s="1"/>
  <c r="G22" i="41"/>
  <c r="G117" i="41"/>
  <c r="D80" i="41"/>
  <c r="J80" i="41" s="1"/>
  <c r="L80" i="41" s="1"/>
  <c r="D81" i="41"/>
  <c r="J81" i="41" s="1"/>
  <c r="L81" i="41" s="1"/>
  <c r="G82" i="41"/>
  <c r="D145" i="41"/>
  <c r="D181" i="41"/>
  <c r="D65" i="41"/>
  <c r="J69" i="41" s="1"/>
  <c r="L69" i="41" s="1"/>
  <c r="A8" i="41"/>
  <c r="G98" i="41"/>
  <c r="A11" i="41"/>
  <c r="A6" i="41"/>
  <c r="A9" i="41"/>
  <c r="G6" i="41"/>
  <c r="G131" i="41"/>
  <c r="A7" i="41"/>
  <c r="D144" i="41"/>
  <c r="J144" i="41" s="1"/>
  <c r="L144" i="41" s="1"/>
  <c r="D149" i="41"/>
  <c r="J149" i="41" s="1"/>
  <c r="L149" i="41" s="1"/>
  <c r="G165" i="41"/>
  <c r="D118" i="41"/>
  <c r="D92" i="41"/>
  <c r="J92" i="41" s="1"/>
  <c r="L92" i="41" s="1"/>
  <c r="G111" i="41"/>
  <c r="D60" i="41"/>
  <c r="J60" i="41" s="1"/>
  <c r="L60" i="41" s="1"/>
  <c r="G56" i="41"/>
  <c r="G28" i="41"/>
  <c r="D21" i="41"/>
  <c r="G236" i="41"/>
  <c r="G238" i="41" s="1"/>
  <c r="G20" i="41"/>
  <c r="G30" i="41"/>
  <c r="G32" i="41"/>
  <c r="G189" i="41"/>
  <c r="G193" i="41"/>
  <c r="G12" i="41" l="1"/>
  <c r="D13" i="41"/>
  <c r="A20" i="41" s="1"/>
  <c r="G113" i="41"/>
  <c r="J113" i="41"/>
  <c r="L113" i="41" s="1"/>
  <c r="J147" i="41"/>
  <c r="L147" i="41" s="1"/>
  <c r="J145" i="41"/>
  <c r="L145" i="41" s="1"/>
  <c r="J146" i="41"/>
  <c r="L146" i="41" s="1"/>
  <c r="G41" i="41"/>
  <c r="J41" i="41"/>
  <c r="L41" i="41" s="1"/>
  <c r="J157" i="41"/>
  <c r="L157" i="41" s="1"/>
  <c r="J158" i="41"/>
  <c r="L158" i="41" s="1"/>
  <c r="J97" i="41"/>
  <c r="L97" i="41" s="1"/>
  <c r="J96" i="41"/>
  <c r="L96" i="41" s="1"/>
  <c r="J33" i="41"/>
  <c r="L33" i="41" s="1"/>
  <c r="J37" i="41"/>
  <c r="L37" i="41" s="1"/>
  <c r="J34" i="41"/>
  <c r="L34" i="41" s="1"/>
  <c r="J38" i="41"/>
  <c r="L38" i="41" s="1"/>
  <c r="J35" i="41"/>
  <c r="L35" i="41" s="1"/>
  <c r="J36" i="41"/>
  <c r="L36" i="41" s="1"/>
  <c r="J187" i="41"/>
  <c r="L187" i="41" s="1"/>
  <c r="J186" i="41"/>
  <c r="L186" i="41" s="1"/>
  <c r="J22" i="41"/>
  <c r="L22" i="41" s="1"/>
  <c r="J23" i="41"/>
  <c r="L23" i="41" s="1"/>
  <c r="J119" i="41"/>
  <c r="L119" i="41" s="1"/>
  <c r="J123" i="41"/>
  <c r="L123" i="41" s="1"/>
  <c r="J120" i="41"/>
  <c r="L120" i="41" s="1"/>
  <c r="J118" i="41"/>
  <c r="L118" i="41" s="1"/>
  <c r="J139" i="41"/>
  <c r="L139" i="41" s="1"/>
  <c r="J141" i="41"/>
  <c r="L141" i="41" s="1"/>
  <c r="L133" i="41"/>
  <c r="J59" i="41"/>
  <c r="L59" i="41" s="1"/>
  <c r="J58" i="41"/>
  <c r="L58" i="41" s="1"/>
  <c r="L230" i="41"/>
  <c r="J99" i="41"/>
  <c r="L99" i="41" s="1"/>
  <c r="J100" i="41"/>
  <c r="L100" i="41" s="1"/>
  <c r="J85" i="41"/>
  <c r="L85" i="41" s="1"/>
  <c r="L83" i="41"/>
  <c r="G99" i="41"/>
  <c r="G33" i="41"/>
  <c r="D42" i="41"/>
  <c r="G58" i="41"/>
  <c r="D73" i="41"/>
  <c r="G60" i="41"/>
  <c r="G174" i="41"/>
  <c r="D93" i="41"/>
  <c r="G157" i="41"/>
  <c r="G96" i="41"/>
  <c r="D160" i="41"/>
  <c r="J160" i="41" s="1"/>
  <c r="L160" i="41" s="1"/>
  <c r="G164" i="41"/>
  <c r="G81" i="41"/>
  <c r="G65" i="41"/>
  <c r="G145" i="41"/>
  <c r="D104" i="41"/>
  <c r="J104" i="41" s="1"/>
  <c r="L104" i="41" s="1"/>
  <c r="G80" i="41"/>
  <c r="G181" i="41"/>
  <c r="G144" i="41"/>
  <c r="G118" i="41"/>
  <c r="G92" i="41"/>
  <c r="D61" i="41"/>
  <c r="D150" i="41"/>
  <c r="J150" i="41" s="1"/>
  <c r="L150" i="41" s="1"/>
  <c r="G149" i="41"/>
  <c r="D114" i="41"/>
  <c r="G21" i="41"/>
  <c r="A13" i="41"/>
  <c r="A32" i="41" l="1"/>
  <c r="A27" i="41"/>
  <c r="A28" i="41"/>
  <c r="A21" i="41"/>
  <c r="A41" i="41"/>
  <c r="G13" i="41"/>
  <c r="G15" i="41" s="1"/>
  <c r="A30" i="41"/>
  <c r="A33" i="41"/>
  <c r="A40" i="41"/>
  <c r="A22" i="41"/>
  <c r="J73" i="41"/>
  <c r="L73" i="41" s="1"/>
  <c r="J77" i="41"/>
  <c r="L77" i="41" s="1"/>
  <c r="J74" i="41"/>
  <c r="J78" i="41"/>
  <c r="L78" i="41" s="1"/>
  <c r="J75" i="41"/>
  <c r="L75" i="41" s="1"/>
  <c r="L204" i="41"/>
  <c r="L4" i="41"/>
  <c r="J93" i="41"/>
  <c r="L93" i="41" s="1"/>
  <c r="J94" i="41"/>
  <c r="L94" i="41" s="1"/>
  <c r="G204" i="41"/>
  <c r="L178" i="41"/>
  <c r="A52" i="41"/>
  <c r="J42" i="41"/>
  <c r="L42" i="41" s="1"/>
  <c r="J43" i="41"/>
  <c r="L43" i="41" s="1"/>
  <c r="J114" i="41"/>
  <c r="L114" i="41" s="1"/>
  <c r="J115" i="41"/>
  <c r="L115" i="41" s="1"/>
  <c r="A42" i="41"/>
  <c r="A44" i="41"/>
  <c r="A56" i="41"/>
  <c r="A60" i="41"/>
  <c r="A58" i="41"/>
  <c r="D71" i="41"/>
  <c r="G42" i="41"/>
  <c r="G47" i="41" s="1"/>
  <c r="A66" i="41"/>
  <c r="G73" i="41"/>
  <c r="A61" i="41"/>
  <c r="G104" i="41"/>
  <c r="A65" i="41"/>
  <c r="D72" i="41"/>
  <c r="J72" i="41" s="1"/>
  <c r="L72" i="41" s="1"/>
  <c r="G93" i="41"/>
  <c r="G160" i="41"/>
  <c r="D161" i="41"/>
  <c r="D101" i="41"/>
  <c r="J101" i="41" s="1"/>
  <c r="L101" i="41" s="1"/>
  <c r="D105" i="41"/>
  <c r="G114" i="41"/>
  <c r="G61" i="41"/>
  <c r="G150" i="41"/>
  <c r="L47" i="41" l="1"/>
  <c r="J76" i="41"/>
  <c r="L76" i="41" s="1"/>
  <c r="L74" i="41"/>
  <c r="L15" i="41"/>
  <c r="G71" i="41"/>
  <c r="J71" i="41"/>
  <c r="L71" i="41" s="1"/>
  <c r="J105" i="41"/>
  <c r="L105" i="41" s="1"/>
  <c r="J106" i="41"/>
  <c r="L106" i="41" s="1"/>
  <c r="J161" i="41"/>
  <c r="L161" i="41" s="1"/>
  <c r="J162" i="41"/>
  <c r="L162" i="41" s="1"/>
  <c r="L176" i="41" s="1"/>
  <c r="L17" i="41"/>
  <c r="A71" i="41"/>
  <c r="A95" i="41"/>
  <c r="G101" i="41"/>
  <c r="A101" i="41"/>
  <c r="A72" i="41"/>
  <c r="A81" i="41"/>
  <c r="A96" i="41"/>
  <c r="A99" i="41"/>
  <c r="A73" i="41"/>
  <c r="A93" i="41"/>
  <c r="A92" i="41"/>
  <c r="A82" i="41"/>
  <c r="A80" i="41"/>
  <c r="G72" i="41"/>
  <c r="A89" i="41"/>
  <c r="A98" i="41"/>
  <c r="G161" i="41"/>
  <c r="G105" i="41"/>
  <c r="D102" i="41"/>
  <c r="D107" i="41"/>
  <c r="J107" i="41" s="1"/>
  <c r="L107" i="41" s="1"/>
  <c r="J102" i="41" l="1"/>
  <c r="L102" i="41" s="1"/>
  <c r="J103" i="41"/>
  <c r="L103" i="41" s="1"/>
  <c r="G176" i="41"/>
  <c r="L128" i="41"/>
  <c r="A105" i="41"/>
  <c r="A104" i="41"/>
  <c r="A107" i="41"/>
  <c r="A102" i="41"/>
  <c r="G102" i="41"/>
  <c r="D108" i="41"/>
  <c r="G107" i="41"/>
  <c r="A213" i="41" l="1"/>
  <c r="J109" i="41"/>
  <c r="L109" i="41" s="1"/>
  <c r="J108" i="41"/>
  <c r="L108" i="41" s="1"/>
  <c r="A211" i="41"/>
  <c r="A219" i="41"/>
  <c r="A223" i="41"/>
  <c r="A214" i="41"/>
  <c r="A157" i="41"/>
  <c r="A215" i="41"/>
  <c r="A210" i="41"/>
  <c r="A221" i="41"/>
  <c r="A212" i="41"/>
  <c r="A226" i="41"/>
  <c r="A216" i="41"/>
  <c r="A150" i="41"/>
  <c r="A222" i="41"/>
  <c r="A225" i="41"/>
  <c r="A218" i="41"/>
  <c r="A220" i="41"/>
  <c r="A217" i="41"/>
  <c r="A108" i="41"/>
  <c r="A160" i="41"/>
  <c r="A145" i="41"/>
  <c r="A131" i="41"/>
  <c r="A151" i="41"/>
  <c r="A114" i="41"/>
  <c r="A156" i="41"/>
  <c r="A111" i="41"/>
  <c r="A149" i="41"/>
  <c r="A117" i="41"/>
  <c r="A174" i="41"/>
  <c r="A124" i="41"/>
  <c r="A118" i="41"/>
  <c r="A165" i="41"/>
  <c r="A164" i="41"/>
  <c r="A144" i="41"/>
  <c r="A112" i="41"/>
  <c r="A161" i="41"/>
  <c r="A113" i="41"/>
  <c r="A197" i="41"/>
  <c r="A232" i="41"/>
  <c r="A181" i="41"/>
  <c r="A234" i="41"/>
  <c r="A236" i="41"/>
  <c r="A200" i="41"/>
  <c r="A189" i="41"/>
  <c r="A235" i="41"/>
  <c r="G108" i="41"/>
  <c r="A193" i="41"/>
  <c r="L126" i="41" l="1"/>
  <c r="G126" i="41"/>
  <c r="G241" i="41" s="1"/>
  <c r="G243" i="41" s="1"/>
  <c r="G245" i="41" s="1"/>
  <c r="L49" i="41"/>
  <c r="L241" i="41" s="1"/>
  <c r="L242" i="41" l="1"/>
  <c r="L244" i="41"/>
  <c r="L243" i="41"/>
  <c r="G246" i="41"/>
  <c r="L245" i="41" l="1"/>
  <c r="L246" i="41" s="1"/>
  <c r="K247" i="41" s="1"/>
</calcChain>
</file>

<file path=xl/sharedStrings.xml><?xml version="1.0" encoding="utf-8"?>
<sst xmlns="http://schemas.openxmlformats.org/spreadsheetml/2006/main" count="544" uniqueCount="240">
  <si>
    <t>№ п/п</t>
  </si>
  <si>
    <t>Найменування робіт</t>
  </si>
  <si>
    <t>Од. вим.</t>
  </si>
  <si>
    <t>Кількість</t>
  </si>
  <si>
    <t>Вартість, грн</t>
  </si>
  <si>
    <t xml:space="preserve">Найменування матеріалів                                             </t>
  </si>
  <si>
    <t>Демонтаж</t>
  </si>
  <si>
    <t>м2</t>
  </si>
  <si>
    <t>шт</t>
  </si>
  <si>
    <t>Прибирання приміщення після демонтажних робіт</t>
  </si>
  <si>
    <t>Сміття</t>
  </si>
  <si>
    <t>Подрібнення та фасування будівельного сміття у мішки</t>
  </si>
  <si>
    <t>м3</t>
  </si>
  <si>
    <t>Перенесення та навантаження сміття на автомобіль</t>
  </si>
  <si>
    <t>маш</t>
  </si>
  <si>
    <t>Мішки для сміття</t>
  </si>
  <si>
    <t>Разом робіт по розділу</t>
  </si>
  <si>
    <t>Разом матеріалів по розділу</t>
  </si>
  <si>
    <t>Влаштування підлог</t>
  </si>
  <si>
    <t>мп</t>
  </si>
  <si>
    <t>уп</t>
  </si>
  <si>
    <t>л</t>
  </si>
  <si>
    <t>Шліфування підоги наждачним папером</t>
  </si>
  <si>
    <t>Наждачний папір Р-24</t>
  </si>
  <si>
    <t>зар</t>
  </si>
  <si>
    <t>Стяжка</t>
  </si>
  <si>
    <t>кг</t>
  </si>
  <si>
    <t>Армування стяжки сіткою зварною</t>
  </si>
  <si>
    <t>Сітка зварна</t>
  </si>
  <si>
    <t>т</t>
  </si>
  <si>
    <t>Фіброволокно</t>
  </si>
  <si>
    <t>Гідробар'єр (плівка поліетиленова 200 мкр)</t>
  </si>
  <si>
    <t>Грунтування адгезійною грунтівкою підлоги та стін  (для подальшого влаштування гідроізоляції)</t>
  </si>
  <si>
    <t>Грунтовка Knauf  Betokontakt</t>
  </si>
  <si>
    <t>Влаштування гідроізоляції підлоги та стін з заходом на 300 мм</t>
  </si>
  <si>
    <t xml:space="preserve">Влаштування гідроізоляційної стрічки </t>
  </si>
  <si>
    <t>Стрічка гідроізоляційна Ceresit CL82 Ultratape хімічно стійка 10 м</t>
  </si>
  <si>
    <t>компл</t>
  </si>
  <si>
    <t>Грунтування підлоги</t>
  </si>
  <si>
    <t>Грунтовка глибокопроникна Ceresit CT 17</t>
  </si>
  <si>
    <t>Клей для плитки Ceresit СМ 117</t>
  </si>
  <si>
    <t>Клин SVP Nova для плитки (200 шт)</t>
  </si>
  <si>
    <t>Затискач SVP-Nova для плитки (500шт)</t>
  </si>
  <si>
    <t>Диск для плитки керамічної 250x1,7x25,4</t>
  </si>
  <si>
    <t xml:space="preserve">Влаштування покриття підлоги з керамічної плитки, розмір 600х600мм </t>
  </si>
  <si>
    <t>Влаштування стін і перегородок</t>
  </si>
  <si>
    <t xml:space="preserve">Шуруп самонарізний 3,5Х 9,5 з буром  1000шт </t>
  </si>
  <si>
    <t>1000шт</t>
  </si>
  <si>
    <t xml:space="preserve">Лист гіпсокартонний - ГКЛ, 12,5 мм </t>
  </si>
  <si>
    <t>Саморіз зі свердлом на стрічці для гіпсокартону до сталі 3,5 × 41 фосфат PH2 (1000)</t>
  </si>
  <si>
    <t>Шпаклівка для швів Knauf FUGENFULLER</t>
  </si>
  <si>
    <t>Стрічка армована клейка</t>
  </si>
  <si>
    <t>Влаштування кутиків перфорованих</t>
  </si>
  <si>
    <t>Оздоблення стін</t>
  </si>
  <si>
    <t>Грунтування стін</t>
  </si>
  <si>
    <t>Шпаклювання стін по ГКЛ шпаклівкою</t>
  </si>
  <si>
    <t>Грунтування укосів стін</t>
  </si>
  <si>
    <t xml:space="preserve">Грунтування стін </t>
  </si>
  <si>
    <t>Грунтовка глибокопроникна Ceresit CT 17 Супер</t>
  </si>
  <si>
    <t>Водоемульсійне фарбування стін за 2 рази</t>
  </si>
  <si>
    <t>Фарба водоемульсійна, RAL 9016</t>
  </si>
  <si>
    <t>Стрічка  малярна 48 мм, рулон 20 м жовтий</t>
  </si>
  <si>
    <t>рул</t>
  </si>
  <si>
    <t>тюб</t>
  </si>
  <si>
    <t>Декоративна штукатурка</t>
  </si>
  <si>
    <t>Комплекс робіт з нанесення декоративного покриття</t>
  </si>
  <si>
    <t>Влаштування покриття стін з керамічної плитки, розмір 600х1200мм</t>
  </si>
  <si>
    <t>Свердлення отворів у плитці</t>
  </si>
  <si>
    <t>Коронка алмазна Haisser по керамограніту 65 мм HS 104965</t>
  </si>
  <si>
    <t>Влаштування стель</t>
  </si>
  <si>
    <t>Гіпсокартонна стеля</t>
  </si>
  <si>
    <t>Профіль стієчний CD-60, товщина 0,55 мм</t>
  </si>
  <si>
    <t>Профіль направляючий UD-27 товщина 0,55 мм</t>
  </si>
  <si>
    <t>Дюбель "К" 6/40</t>
  </si>
  <si>
    <t>100шт</t>
  </si>
  <si>
    <t xml:space="preserve">Стельовий анкерний дюбель TDN 6/40 </t>
  </si>
  <si>
    <t>Стрічка ущільнювальна, 90мм</t>
  </si>
  <si>
    <t>Зароблення швів ГКЛ стель армуючою сіткою та Фугенфюлером</t>
  </si>
  <si>
    <t xml:space="preserve">Шпатлювання стелі </t>
  </si>
  <si>
    <t>Грунтування стель</t>
  </si>
  <si>
    <t>Шпаклювання стель шпаклівкою</t>
  </si>
  <si>
    <t xml:space="preserve">Фарбування стелі </t>
  </si>
  <si>
    <t>Водоемульсійне фарбування стель за 2 рази</t>
  </si>
  <si>
    <t>Стеля Армстронг</t>
  </si>
  <si>
    <t>Влаштування підвісної стелі типу "Армстронг" 600х600 мм</t>
  </si>
  <si>
    <t>Підвіс Click-FIX</t>
  </si>
  <si>
    <t>Стержень закріплюючий 100мм</t>
  </si>
  <si>
    <t>Влаштування і заповнення прорізів</t>
  </si>
  <si>
    <t>Дверні блоки МДФ</t>
  </si>
  <si>
    <t>Монтаж дверного блоку одностулкового МДФ</t>
  </si>
  <si>
    <t>блок</t>
  </si>
  <si>
    <t>Монтажний комплект (очисник піни, рідкі цвяхи, цвяхи і т.д.)</t>
  </si>
  <si>
    <t>Монтаж дверного блоку двостулкового МДФ</t>
  </si>
  <si>
    <t>Інші роботи</t>
  </si>
  <si>
    <t>Скотч</t>
  </si>
  <si>
    <t xml:space="preserve">Влаштування захисту поверхjym під час виконання ремонтних робіт </t>
  </si>
  <si>
    <t xml:space="preserve">Плівка поліетиленова </t>
  </si>
  <si>
    <t>Прибирання після закінчення робіт</t>
  </si>
  <si>
    <t>Навантаження сміття на машину</t>
  </si>
  <si>
    <t>Вивіз будівельного сміття</t>
  </si>
  <si>
    <t xml:space="preserve">Разом по роботах </t>
  </si>
  <si>
    <t>Разом по матеріалах</t>
  </si>
  <si>
    <t>Витратний матеріал</t>
  </si>
  <si>
    <t>Загальновиробничі та адміністративні витрати</t>
  </si>
  <si>
    <t>Транспортні витрати</t>
  </si>
  <si>
    <t>Вантажно-розвантажувальні роботи</t>
  </si>
  <si>
    <t>Разом, грн без ПДВ</t>
  </si>
  <si>
    <t>ПДВ</t>
  </si>
  <si>
    <t>ВСЬОГО, грн з ПДВ:</t>
  </si>
  <si>
    <t>шт.</t>
  </si>
  <si>
    <t>посл</t>
  </si>
  <si>
    <t>кріплення для установки маяків</t>
  </si>
  <si>
    <t>штукатурка Ротбанд  30кг для маяков</t>
  </si>
  <si>
    <t>Шліфшкурка Mastertool Р 240 200 мм 10 м</t>
  </si>
  <si>
    <t>Цементна штукатурка</t>
  </si>
  <si>
    <t xml:space="preserve">висота до Н =4 м </t>
  </si>
  <si>
    <t>Штукатурка цементна механізованого нанесення Baumit (MPI-25, 25 кг.)</t>
  </si>
  <si>
    <t>рейка  штукатурна "маяк" 6/18 (0.30),  3м</t>
  </si>
  <si>
    <t>кутник  "плетінка" штукатурний пластиковий, 3м</t>
  </si>
  <si>
    <t>Набивання штукатурної сітки (30% від площі)</t>
  </si>
  <si>
    <t>Шпаклівка "Сатенгіпс"</t>
  </si>
  <si>
    <t xml:space="preserve"> Фарбування стін водостійкою фарбою за 2 рази</t>
  </si>
  <si>
    <t>Цементна штукатурка (Укоси)</t>
  </si>
  <si>
    <t>Шпаклювання укосів  стін по ГКЛ шпаклівкою</t>
  </si>
  <si>
    <t xml:space="preserve">Грунтування укосів стін </t>
  </si>
  <si>
    <t>Водоемульсійне фарбування укосів стін за 2 рази</t>
  </si>
  <si>
    <t xml:space="preserve">Плитка керамічна </t>
  </si>
  <si>
    <t>Влаштування підвісної стелі на  металевому каркасі CD, UD з обшивкою ГКЛ в 2 шари</t>
  </si>
  <si>
    <t>Влаштування звукоізоляції з плити мінераловатної, товщ. 50 мм в 2 шари</t>
  </si>
  <si>
    <t xml:space="preserve">Набивання штукатурної сітки </t>
  </si>
  <si>
    <t>Лезо Yoshimoto сегментоване 18мм, набір 10шт. (уп.10/200шт.)</t>
  </si>
  <si>
    <t>Влаштування цегляної кладки (розчин вручну)</t>
  </si>
  <si>
    <t>Розчин будівельний М 150</t>
  </si>
  <si>
    <t>Армування мурування цегляної кладки сіткою, кожні 8 рядів (крок 520мм)</t>
  </si>
  <si>
    <t>Дюбель</t>
  </si>
  <si>
    <t>50шт</t>
  </si>
  <si>
    <t>Забивання мінеральною ватою в місцях примикання перегородок до перекриття</t>
  </si>
  <si>
    <t>Минеральная вата ODE Starflex Silte 50 мм 24 кв.м</t>
  </si>
  <si>
    <t xml:space="preserve">Монтаж анкерів кріплення перегородок до існуючих стін </t>
  </si>
  <si>
    <t>Арматура діам. 8  L=300</t>
  </si>
  <si>
    <t>Арматура діам. 8 L=400</t>
  </si>
  <si>
    <t>Арматура діам. 8 L=500</t>
  </si>
  <si>
    <t>Н=4000 мм</t>
  </si>
  <si>
    <t xml:space="preserve">Цегляні перегородки </t>
  </si>
  <si>
    <t>Перемички</t>
  </si>
  <si>
    <t>Перемичка 2ПБ 17-2</t>
  </si>
  <si>
    <t>Перемички з/б марки 1ПБ10-1 серія 1.038.1-
1 вип.1</t>
  </si>
  <si>
    <t>Перемички з/б марки 1ПБ13-1 серія 1.038.1-</t>
  </si>
  <si>
    <t>Очищення стін та стель від існуючої штукатурки (демонтаж)</t>
  </si>
  <si>
    <t>Монтаж пароізоляції</t>
  </si>
  <si>
    <t xml:space="preserve"> Влаштування цементної стяжки,  товщ. 75мм </t>
  </si>
  <si>
    <t>Плитка</t>
  </si>
  <si>
    <t>Ламінат</t>
  </si>
  <si>
    <t>Обезпилювання основи</t>
  </si>
  <si>
    <t>Влаштування покриття підлоги з ламінату (з настиланням підоснови)</t>
  </si>
  <si>
    <t xml:space="preserve">Демонтаж віконних прорізів </t>
  </si>
  <si>
    <t>Монтаж підвіконня</t>
  </si>
  <si>
    <t>Двері металеві</t>
  </si>
  <si>
    <t>Монтаж дверних блоків металевих</t>
  </si>
  <si>
    <t>Демонтаж перегородок  із цегли</t>
  </si>
  <si>
    <t xml:space="preserve">Гідроізоляція  обмазувальна </t>
  </si>
  <si>
    <t>Плитка керамограніт 600х600</t>
  </si>
  <si>
    <t>Подовжувач профілів CD</t>
  </si>
  <si>
    <t>З'єднувач профілів хрестовий однорівневий Краб</t>
  </si>
  <si>
    <t>Кріплення звукоізоляційне Vibrafix SPU</t>
  </si>
  <si>
    <t xml:space="preserve">Монтаж  перемичок над прорізами </t>
  </si>
  <si>
    <t>Залізні вироби в комплекті</t>
  </si>
  <si>
    <t>Кутики штукатурні металеві оцинковані
перфоровані</t>
  </si>
  <si>
    <t>Шпарування для швів CE33 Супер</t>
  </si>
  <si>
    <t>Комплект матеріалів для створення декоративного покриття (Штукатурка декоративна акрилова
(камінцева) Ceresit  СT 60)</t>
  </si>
  <si>
    <t>Шпаклівка "Ізогіпс"</t>
  </si>
  <si>
    <t xml:space="preserve">Стартова шпаклівка укосів стін </t>
  </si>
  <si>
    <t xml:space="preserve">Стартова шпаклівка стін  </t>
  </si>
  <si>
    <t>Плити акустичні із мінеральної вати
AcousticWol Sonet, товщ. 50мм</t>
  </si>
  <si>
    <t>Дошки пiдвiконнi пластикові</t>
  </si>
  <si>
    <t>Наличники</t>
  </si>
  <si>
    <t xml:space="preserve">Головний профіль 3600 мм </t>
  </si>
  <si>
    <t xml:space="preserve">Поперечный профиль 1200 мм </t>
  </si>
  <si>
    <t xml:space="preserve">Поперечный профиль 600 мм </t>
  </si>
  <si>
    <t xml:space="preserve">Пристінний  кутник 3000 мм </t>
  </si>
  <si>
    <t>Цегла керамічна одинарна повнотіла,
розміри 250х120х65 мм, марка М100</t>
  </si>
  <si>
    <t>Розчин готовий кладковий важкий
цементний, марка М150</t>
  </si>
  <si>
    <t>Розчин готовий кладковий важкий цементно-
вапняковий, марка М25</t>
  </si>
  <si>
    <t>Розчин готовий кладковий важкий цементно-
вапняковий, марка М50</t>
  </si>
  <si>
    <t>Підвіс стельовий</t>
  </si>
  <si>
    <t>Монтажна піна</t>
  </si>
  <si>
    <t xml:space="preserve">Грунтування стель </t>
  </si>
  <si>
    <t>Дисперсійна ґрунтовка Thomsit R 777</t>
  </si>
  <si>
    <t>Люк</t>
  </si>
  <si>
    <t xml:space="preserve">Монтаж люка </t>
  </si>
  <si>
    <t>Люк 1400х700 пож. СС</t>
  </si>
  <si>
    <t>Блоки дверні дерев'яні марки ДДВГОд 21-7Л</t>
  </si>
  <si>
    <t>Блоки дверні дерев'яні марки ДСтВГДв 21-15</t>
  </si>
  <si>
    <t>Підвіконня</t>
  </si>
  <si>
    <t xml:space="preserve">Піна клей Soudabond Easy </t>
  </si>
  <si>
    <t>Підкладка шумогідроізоляційна</t>
  </si>
  <si>
    <t>Звукоізоляція Гемафон</t>
  </si>
  <si>
    <t>Інсталяція планок порогових та перехідних (з розшивкою основи)</t>
  </si>
  <si>
    <t>Клей-герметик Fiх All Crystal</t>
  </si>
  <si>
    <t>Планка перехідна Т-подібна</t>
  </si>
  <si>
    <t xml:space="preserve">Герметизація примикань </t>
  </si>
  <si>
    <t>Герметик силіконовий універсальний 
ПРОЗОРИЙ SOUDAL 280мл</t>
  </si>
  <si>
    <t>Сітка дротяна ткана з квадратними
чарунками N 05 без покриття</t>
  </si>
  <si>
    <t>Полімерна композиція К-9</t>
  </si>
  <si>
    <t>Грунтуюча фарба Ceresit CT 16</t>
  </si>
  <si>
    <t>Фарба вологостійка Skyline Premiumlatex 20 напівматова 3,6 кг</t>
  </si>
  <si>
    <t>Плитка керамограніт 600х600  мм</t>
  </si>
  <si>
    <r>
      <t xml:space="preserve">Мурування цегляної стіни з цегли, </t>
    </r>
    <r>
      <rPr>
        <b/>
        <sz val="10"/>
        <rFont val="Century Gothic"/>
        <family val="2"/>
      </rPr>
      <t xml:space="preserve">товщ. 250 </t>
    </r>
    <r>
      <rPr>
        <sz val="10"/>
        <rFont val="Century Gothic"/>
        <family val="2"/>
      </rPr>
      <t>мм (кладка чорнова в одну цеглину )</t>
    </r>
    <r>
      <rPr>
        <b/>
        <sz val="10"/>
        <rFont val="Century Gothic"/>
        <family val="2"/>
      </rPr>
      <t xml:space="preserve"> </t>
    </r>
  </si>
  <si>
    <r>
      <t>Мурування цегляної перегородки з цегли</t>
    </r>
    <r>
      <rPr>
        <b/>
        <sz val="10"/>
        <rFont val="Century Gothic"/>
        <family val="2"/>
      </rPr>
      <t xml:space="preserve"> товщина 125 мм</t>
    </r>
  </si>
  <si>
    <r>
      <t>Штукатурення стін</t>
    </r>
    <r>
      <rPr>
        <b/>
        <sz val="10"/>
        <rFont val="Century Gothic"/>
        <family val="2"/>
      </rPr>
      <t xml:space="preserve"> цементною сумішшю </t>
    </r>
    <r>
      <rPr>
        <sz val="10"/>
        <rFont val="Century Gothic"/>
        <family val="2"/>
      </rPr>
      <t>(30мм)  прямих стін машинним способом</t>
    </r>
  </si>
  <si>
    <r>
      <t>Штукатурення стін</t>
    </r>
    <r>
      <rPr>
        <b/>
        <sz val="10"/>
        <rFont val="Century Gothic"/>
        <family val="2"/>
      </rPr>
      <t xml:space="preserve"> цементною сумішшю</t>
    </r>
    <r>
      <rPr>
        <sz val="10"/>
        <rFont val="Century Gothic"/>
        <family val="2"/>
      </rPr>
      <t xml:space="preserve">  стель вручну </t>
    </r>
  </si>
  <si>
    <t>Блоки дверні дерев'яні марки ДДВГОд 21-10Л</t>
  </si>
  <si>
    <t>Блоки дверні дерев'яні марки ДДВГОд 21-11Л</t>
  </si>
  <si>
    <t>Блоки дверні дерев'яні марки ДДВГОд 21-9Л</t>
  </si>
  <si>
    <t>Двері протипожежні металеві (ЕІ-60) ДСПВГОд 21-10Л</t>
  </si>
  <si>
    <t xml:space="preserve"> ПАНЕЛЬ 13 мм TRENTO 600Х600 AMF</t>
  </si>
  <si>
    <t>Ламінат  Peli Туреччина</t>
  </si>
  <si>
    <t>Маніпулятор</t>
  </si>
  <si>
    <t>Сітка склотканинна 5х5 50 м.(145гр/м2) СИНЯ 
WORK'S</t>
  </si>
  <si>
    <t>саморізи 3,5х25 по металу пот PH фосф 
(1000шт)</t>
  </si>
  <si>
    <t xml:space="preserve">Заглушка до підвіконня </t>
  </si>
  <si>
    <t>НЕ прораховані роботи</t>
  </si>
  <si>
    <t>Розбирання монолітних залізобетонних перекриттів</t>
  </si>
  <si>
    <t>Підсилення отворів в цегляних стінах стальними</t>
  </si>
  <si>
    <t>Ґрунтування металевих поверхонь за один раз</t>
  </si>
  <si>
    <t>Фарбування металевих поґрунтованих поверхонь</t>
  </si>
  <si>
    <t>Нанесення вручну в один шар покриття з вогнезахисного
матеріалу типу УНИТЕРМ на горизонтальні і вертикальні
поверхні металевих конструкцій</t>
  </si>
  <si>
    <t>На кожний наступний шар нанесення вручну покриття з
вогнезахисного матеріалу типу УНИТЕРМ додавати до
норми 13-73-5</t>
  </si>
  <si>
    <t>Підсилення монолітних ділянок перекриття стальними
балками</t>
  </si>
  <si>
    <t>Ґрунтування металевих поверхонь за один раз
ґрунтовкою ГФ-021</t>
  </si>
  <si>
    <t>Фарбування металевих поґрунтованих поверхонь
емаллю ПФ-115</t>
  </si>
  <si>
    <t>Улаштування монолітних ділянок перекриттів товщиною
до 200 мм бетон важкий В 25 (М 350), крупнiсть
заповнювача 10-20мм</t>
  </si>
  <si>
    <t>Навантаження сміття екскаваторами на автомобілі-
самоскиди, місткість ковша екскаватора 0,25 м3.</t>
  </si>
  <si>
    <t>Перевезення сміття до 30 км</t>
  </si>
  <si>
    <t>Перекриття</t>
  </si>
  <si>
    <t>Заповнення віконних прорізів готовими блоками площею
до 2 м2 з металопластику в кам'яних стінах житлових і
громадських будівель</t>
  </si>
  <si>
    <t>Заповнення віконних прорізів готовими блоками площею
більше 3 м2 з металопластику в кам'яних стінах
житлових і громадських будівель</t>
  </si>
  <si>
    <t>Віконні прорізи</t>
  </si>
  <si>
    <t>Ціна, грн без ПДВ</t>
  </si>
  <si>
    <t>Для прорахунку необхідне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</si>
</sst>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₴_-;\-* #,##0.00\ _₴_-;_-* &quot;-&quot;??\ _₴_-;_-@_-"/>
    <numFmt numFmtId="165" formatCode="_-* #,##0.00_р_._-;\-* #,##0.00_р_._-;_-* &quot;-&quot;??_р_._-;_-@_-"/>
    <numFmt numFmtId="166" formatCode="0.0%"/>
    <numFmt numFmtId="167" formatCode="_-* #,##0.00_₴_-;\-* #,##0.00_₴_-;_-* &quot;-&quot;??_₴_-;_-@_-"/>
    <numFmt numFmtId="168" formatCode="&quot;в т.ч. НДС &quot;#,##0.00&quot; грн.&quot;"/>
    <numFmt numFmtId="169" formatCode="[$-419]General"/>
    <numFmt numFmtId="170" formatCode="_-* #,##0.00\ _г_р_н_._-;\-* #,##0.00\ _г_р_н_._-;_-* &quot;-&quot;??\ _г_р_н_._-;_-@_-"/>
    <numFmt numFmtId="172" formatCode="#,##0.000"/>
  </numFmts>
  <fonts count="77" x14ac:knownFonts="1">
    <font>
      <sz val="11"/>
      <color theme="1"/>
      <name val="Century Gothic"/>
      <family val="2"/>
      <charset val="204"/>
      <scheme val="minor"/>
    </font>
    <font>
      <sz val="10"/>
      <name val="Arial Cyr"/>
      <charset val="204"/>
    </font>
    <font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sz val="11"/>
      <color theme="1"/>
      <name val="Century Gothic"/>
      <family val="2"/>
      <charset val="204"/>
      <scheme val="minor"/>
    </font>
    <font>
      <sz val="11"/>
      <color theme="0"/>
      <name val="Century Gothic"/>
      <family val="2"/>
      <charset val="204"/>
      <scheme val="minor"/>
    </font>
    <font>
      <b/>
      <sz val="15"/>
      <color theme="3"/>
      <name val="Century Gothic"/>
      <family val="2"/>
      <charset val="204"/>
      <scheme val="minor"/>
    </font>
    <font>
      <b/>
      <sz val="11"/>
      <color theme="1"/>
      <name val="Century Gothic"/>
      <family val="2"/>
      <charset val="204"/>
      <scheme val="minor"/>
    </font>
    <font>
      <b/>
      <sz val="18"/>
      <color theme="3"/>
      <name val="Century Gothic"/>
      <family val="2"/>
      <charset val="204"/>
      <scheme val="major"/>
    </font>
    <font>
      <sz val="11"/>
      <name val="Century Gothic"/>
      <family val="2"/>
      <charset val="204"/>
    </font>
    <font>
      <sz val="11"/>
      <color rgb="FF000000"/>
      <name val="Century Gothic"/>
      <family val="2"/>
      <charset val="204"/>
    </font>
    <font>
      <sz val="11"/>
      <color rgb="FFFFFFFF"/>
      <name val="Century Gothic"/>
      <family val="2"/>
      <charset val="204"/>
    </font>
    <font>
      <b/>
      <i/>
      <sz val="10"/>
      <name val="Century Gothic"/>
      <family val="2"/>
      <charset val="204"/>
    </font>
    <font>
      <sz val="12"/>
      <name val="Century Gothic"/>
      <family val="2"/>
      <charset val="204"/>
    </font>
    <font>
      <b/>
      <sz val="12"/>
      <name val="Century Gothic"/>
      <family val="2"/>
      <charset val="204"/>
    </font>
    <font>
      <sz val="10"/>
      <name val="Century Gothic"/>
      <family val="2"/>
      <charset val="204"/>
      <scheme val="major"/>
    </font>
    <font>
      <sz val="10"/>
      <color rgb="FFFF0000"/>
      <name val="Century Gothic"/>
      <family val="2"/>
      <charset val="204"/>
    </font>
    <font>
      <i/>
      <sz val="11"/>
      <color rgb="FF7F7F7F"/>
      <name val="Century Gothic"/>
      <family val="2"/>
      <charset val="204"/>
      <scheme val="minor"/>
    </font>
    <font>
      <b/>
      <sz val="10"/>
      <color rgb="FFFF0000"/>
      <name val="Century Gothic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0"/>
      <name val="Century Gothic"/>
      <family val="2"/>
      <charset val="204"/>
    </font>
    <font>
      <sz val="14"/>
      <name val="Century Gothic"/>
      <family val="2"/>
      <charset val="204"/>
    </font>
    <font>
      <b/>
      <sz val="14"/>
      <name val="Century Gothic"/>
      <family val="2"/>
      <charset val="204"/>
    </font>
    <font>
      <b/>
      <sz val="14"/>
      <color rgb="FF0070C0"/>
      <name val="Century Gothic"/>
      <family val="2"/>
      <charset val="204"/>
    </font>
    <font>
      <sz val="14"/>
      <color theme="1"/>
      <name val="Century Gothic"/>
      <family val="2"/>
      <charset val="204"/>
    </font>
    <font>
      <sz val="12"/>
      <color rgb="FFFF0000"/>
      <name val="Century Gothic"/>
      <family val="2"/>
      <charset val="204"/>
    </font>
    <font>
      <sz val="14"/>
      <color rgb="FFFF0000"/>
      <name val="Century Gothic"/>
      <family val="2"/>
      <charset val="204"/>
    </font>
    <font>
      <b/>
      <sz val="14"/>
      <color rgb="FFFF0000"/>
      <name val="Century Gothic"/>
      <family val="2"/>
      <charset val="204"/>
    </font>
    <font>
      <sz val="10"/>
      <name val="Century Gothic"/>
      <family val="2"/>
    </font>
    <font>
      <b/>
      <u/>
      <sz val="10"/>
      <name val="Century Gothic"/>
      <family val="2"/>
    </font>
    <font>
      <sz val="10"/>
      <name val="Century Gothic"/>
      <family val="2"/>
      <scheme val="major"/>
    </font>
    <font>
      <sz val="11"/>
      <name val="Century Gothic"/>
      <family val="2"/>
      <scheme val="minor"/>
    </font>
    <font>
      <b/>
      <sz val="10"/>
      <name val="Century Gothic"/>
      <family val="2"/>
    </font>
    <font>
      <sz val="11"/>
      <color theme="1"/>
      <name val="Century Gothic"/>
      <family val="2"/>
      <scheme val="minor"/>
    </font>
    <font>
      <sz val="11"/>
      <name val="Century Gothic"/>
      <family val="2"/>
    </font>
    <font>
      <sz val="10"/>
      <color theme="1"/>
      <name val="Century Gothic"/>
      <family val="2"/>
      <charset val="204"/>
    </font>
    <font>
      <sz val="11"/>
      <name val="Century Gothic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entury Gothic"/>
      <family val="2"/>
      <charset val="204"/>
      <scheme val="major"/>
    </font>
    <font>
      <b/>
      <sz val="17"/>
      <color theme="0"/>
      <name val="Century Gothic"/>
      <family val="2"/>
      <charset val="204"/>
      <scheme val="major"/>
    </font>
    <font>
      <sz val="10"/>
      <color theme="0"/>
      <name val="Century Gothic"/>
      <family val="2"/>
      <charset val="204"/>
    </font>
    <font>
      <sz val="14"/>
      <name val="Century Gothic"/>
      <family val="2"/>
    </font>
    <font>
      <b/>
      <sz val="14"/>
      <name val="Century Gothic"/>
      <family val="2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8"/>
      <name val="Arial"/>
      <family val="2"/>
    </font>
    <font>
      <sz val="10"/>
      <color rgb="FF000000"/>
      <name val="Century Gothic"/>
      <family val="2"/>
      <charset val="204"/>
      <scheme val="major"/>
    </font>
    <font>
      <sz val="11"/>
      <color rgb="FFFF0000"/>
      <name val="Century Gothic"/>
      <family val="2"/>
      <charset val="204"/>
      <scheme val="minor"/>
    </font>
    <font>
      <sz val="10"/>
      <color rgb="FFFF0000"/>
      <name val="Century Gothic"/>
      <family val="2"/>
    </font>
    <font>
      <sz val="11"/>
      <color rgb="FFFF0000"/>
      <name val="Century Gothic"/>
      <family val="2"/>
      <charset val="204"/>
    </font>
    <font>
      <sz val="10"/>
      <color rgb="FFFF0000"/>
      <name val="Century Gothic"/>
      <family val="2"/>
      <charset val="204"/>
      <scheme val="major"/>
    </font>
    <font>
      <b/>
      <sz val="15"/>
      <color rgb="FFFF0000"/>
      <name val="Century Gothic"/>
      <family val="2"/>
      <charset val="204"/>
    </font>
    <font>
      <sz val="11"/>
      <color rgb="FFFF0000"/>
      <name val="Century Gothic"/>
      <family val="2"/>
    </font>
    <font>
      <sz val="11"/>
      <color rgb="FFFF0000"/>
      <name val="Century Gothic"/>
      <family val="2"/>
      <scheme val="major"/>
    </font>
    <font>
      <sz val="11"/>
      <color rgb="FFFF0000"/>
      <name val="Century Gothic"/>
      <family val="2"/>
      <scheme val="minor"/>
    </font>
    <font>
      <sz val="9"/>
      <color theme="1"/>
      <name val="Verdana"/>
      <family val="2"/>
    </font>
    <font>
      <sz val="11"/>
      <color rgb="FF000000"/>
      <name val="Arial"/>
      <family val="2"/>
    </font>
    <font>
      <b/>
      <sz val="15"/>
      <color rgb="FFFF0000"/>
      <name val="Century Gothic"/>
      <family val="2"/>
    </font>
    <font>
      <sz val="14"/>
      <color rgb="FFFF0000"/>
      <name val="Century Gothic"/>
      <family val="2"/>
    </font>
    <font>
      <sz val="11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3"/>
      <color theme="1"/>
      <name val="Century Gothic"/>
      <family val="2"/>
      <charset val="204"/>
    </font>
    <font>
      <b/>
      <sz val="11"/>
      <name val="Century Gothic"/>
      <family val="2"/>
      <charset val="204"/>
    </font>
    <font>
      <b/>
      <sz val="11"/>
      <name val="Century Gothic"/>
      <family val="2"/>
    </font>
    <font>
      <b/>
      <sz val="18"/>
      <color theme="0"/>
      <name val="Century Gothic"/>
      <family val="2"/>
      <charset val="204"/>
      <scheme val="major"/>
    </font>
    <font>
      <sz val="11"/>
      <color rgb="FFFF0000"/>
      <name val="Times New Roman"/>
      <family val="1"/>
      <charset val="204"/>
    </font>
    <font>
      <sz val="10"/>
      <color rgb="FF000000"/>
      <name val="Arial Cyr"/>
      <charset val="204"/>
    </font>
    <font>
      <sz val="10"/>
      <color rgb="FF000000"/>
      <name val="Century Gothic"/>
      <family val="2"/>
      <charset val="204"/>
      <scheme val="minor"/>
    </font>
    <font>
      <sz val="11"/>
      <color rgb="FF000000"/>
      <name val="Arial"/>
      <family val="2"/>
      <charset val="1"/>
    </font>
    <font>
      <u/>
      <sz val="10"/>
      <color rgb="FFFF0000"/>
      <name val="Century Gothic"/>
      <family val="2"/>
      <charset val="204"/>
    </font>
    <font>
      <sz val="10"/>
      <color rgb="FFFF0000"/>
      <name val="Times New Roman"/>
      <family val="1"/>
      <charset val="204"/>
    </font>
    <font>
      <b/>
      <i/>
      <sz val="10"/>
      <name val="Century Gothic"/>
      <family val="2"/>
    </font>
    <font>
      <b/>
      <sz val="11"/>
      <name val="Century Gothic"/>
      <family val="2"/>
      <scheme val="minor"/>
    </font>
    <font>
      <b/>
      <i/>
      <u/>
      <sz val="10"/>
      <name val="Century Gothic"/>
      <family val="2"/>
    </font>
    <font>
      <b/>
      <i/>
      <sz val="12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7A7A"/>
        <bgColor rgb="FF7F7F7F"/>
      </patternFill>
    </fill>
    <fill>
      <patternFill patternType="solid">
        <fgColor theme="0" tint="-4.9989318521683403E-2"/>
        <bgColor rgb="FFE4E4E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rgb="FF5F5F5F"/>
      </left>
      <right style="thin">
        <color rgb="FF5F5F5F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 style="thin">
        <color rgb="FF5F5F5F"/>
      </bottom>
      <diagonal/>
    </border>
    <border>
      <left/>
      <right style="thin">
        <color rgb="FF5F5F5F"/>
      </right>
      <top/>
      <bottom style="thin">
        <color theme="4"/>
      </bottom>
      <diagonal/>
    </border>
    <border>
      <left style="medium">
        <color indexed="64"/>
      </left>
      <right/>
      <top style="thin">
        <color rgb="FF5F5F5F"/>
      </top>
      <bottom style="thin">
        <color rgb="FF5F5F5F"/>
      </bottom>
      <diagonal/>
    </border>
    <border>
      <left/>
      <right style="medium">
        <color indexed="64"/>
      </right>
      <top style="thin">
        <color rgb="FF5F5F5F"/>
      </top>
      <bottom style="thin">
        <color rgb="FF5F5F5F"/>
      </bottom>
      <diagonal/>
    </border>
    <border>
      <left/>
      <right/>
      <top style="medium">
        <color indexed="64"/>
      </top>
      <bottom style="thin">
        <color rgb="FF5F5F5F"/>
      </bottom>
      <diagonal/>
    </border>
    <border>
      <left/>
      <right style="thin">
        <color rgb="FF5F5F5F"/>
      </right>
      <top style="medium">
        <color indexed="64"/>
      </top>
      <bottom style="thin">
        <color rgb="FF5F5F5F"/>
      </bottom>
      <diagonal/>
    </border>
    <border>
      <left/>
      <right style="medium">
        <color indexed="64"/>
      </right>
      <top style="medium">
        <color indexed="64"/>
      </top>
      <bottom style="thin">
        <color rgb="FF5F5F5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/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rgb="FF5F5F5F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5F5F5F"/>
      </top>
      <bottom/>
      <diagonal/>
    </border>
  </borders>
  <cellStyleXfs count="4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5" fillId="4" borderId="0" applyNumberFormat="0" applyBorder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8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0" fillId="0" borderId="0"/>
    <xf numFmtId="9" fontId="10" fillId="0" borderId="0" applyBorder="0" applyProtection="0"/>
    <xf numFmtId="0" fontId="11" fillId="7" borderId="0" applyBorder="0" applyProtection="0"/>
    <xf numFmtId="167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34" fillId="0" borderId="0"/>
    <xf numFmtId="169" fontId="38" fillId="0" borderId="0" applyBorder="0" applyProtection="0"/>
    <xf numFmtId="43" fontId="10" fillId="0" borderId="0" applyFont="0" applyFill="0" applyBorder="0" applyAlignment="0" applyProtection="0"/>
    <xf numFmtId="0" fontId="46" fillId="0" borderId="0"/>
    <xf numFmtId="0" fontId="56" fillId="0" borderId="0"/>
    <xf numFmtId="0" fontId="57" fillId="0" borderId="0"/>
    <xf numFmtId="169" fontId="38" fillId="0" borderId="0" applyBorder="0" applyProtection="0"/>
    <xf numFmtId="169" fontId="38" fillId="0" borderId="0" applyBorder="0" applyProtection="0"/>
    <xf numFmtId="0" fontId="61" fillId="0" borderId="0"/>
    <xf numFmtId="170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8" fillId="0" borderId="0" applyBorder="0" applyProtection="0"/>
    <xf numFmtId="0" fontId="34" fillId="0" borderId="0"/>
    <xf numFmtId="9" fontId="3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9" fontId="68" fillId="0" borderId="0" applyBorder="0" applyProtection="0"/>
    <xf numFmtId="164" fontId="4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0" applyFont="1"/>
    <xf numFmtId="0" fontId="3" fillId="5" borderId="13" xfId="2" applyFont="1" applyFill="1" applyBorder="1" applyAlignment="1" applyProtection="1">
      <alignment horizontal="center" vertical="center" wrapText="1"/>
      <protection hidden="1"/>
    </xf>
    <xf numFmtId="0" fontId="9" fillId="0" borderId="0" xfId="0" applyFont="1"/>
    <xf numFmtId="4" fontId="2" fillId="0" borderId="0" xfId="0" applyNumberFormat="1" applyFont="1"/>
    <xf numFmtId="0" fontId="2" fillId="6" borderId="0" xfId="0" applyFont="1" applyFill="1"/>
    <xf numFmtId="0" fontId="15" fillId="0" borderId="0" xfId="0" applyFont="1"/>
    <xf numFmtId="0" fontId="16" fillId="0" borderId="0" xfId="0" applyFont="1"/>
    <xf numFmtId="4" fontId="3" fillId="0" borderId="2" xfId="7" applyNumberFormat="1" applyFont="1" applyBorder="1" applyAlignment="1">
      <alignment horizontal="left" wrapText="1" indent="2"/>
    </xf>
    <xf numFmtId="0" fontId="13" fillId="0" borderId="0" xfId="0" applyFont="1"/>
    <xf numFmtId="4" fontId="2" fillId="0" borderId="4" xfId="0" applyNumberFormat="1" applyFont="1" applyBorder="1" applyAlignment="1">
      <alignment horizontal="left" wrapText="1"/>
    </xf>
    <xf numFmtId="4" fontId="2" fillId="0" borderId="22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19" fillId="0" borderId="0" xfId="0" applyNumberFormat="1" applyFont="1"/>
    <xf numFmtId="168" fontId="20" fillId="0" borderId="0" xfId="0" applyNumberFormat="1" applyFont="1" applyAlignment="1">
      <alignment horizontal="left"/>
    </xf>
    <xf numFmtId="4" fontId="2" fillId="6" borderId="22" xfId="0" applyNumberFormat="1" applyFont="1" applyFill="1" applyBorder="1" applyAlignment="1">
      <alignment wrapText="1"/>
    </xf>
    <xf numFmtId="4" fontId="2" fillId="0" borderId="4" xfId="0" applyNumberFormat="1" applyFont="1" applyBorder="1" applyAlignment="1">
      <alignment horizontal="right" wrapText="1"/>
    </xf>
    <xf numFmtId="4" fontId="2" fillId="0" borderId="22" xfId="0" applyNumberFormat="1" applyFont="1" applyBorder="1" applyAlignment="1">
      <alignment horizontal="left" wrapText="1"/>
    </xf>
    <xf numFmtId="4" fontId="2" fillId="0" borderId="22" xfId="0" applyNumberFormat="1" applyFont="1" applyBorder="1" applyAlignment="1">
      <alignment horizontal="left"/>
    </xf>
    <xf numFmtId="4" fontId="16" fillId="0" borderId="22" xfId="0" applyNumberFormat="1" applyFont="1" applyBorder="1" applyAlignment="1">
      <alignment wrapText="1"/>
    </xf>
    <xf numFmtId="4" fontId="2" fillId="6" borderId="4" xfId="0" applyNumberFormat="1" applyFont="1" applyFill="1" applyBorder="1" applyAlignment="1">
      <alignment horizontal="left" wrapText="1"/>
    </xf>
    <xf numFmtId="0" fontId="3" fillId="0" borderId="0" xfId="0" applyFont="1"/>
    <xf numFmtId="4" fontId="23" fillId="0" borderId="0" xfId="6" applyNumberFormat="1" applyFont="1" applyFill="1" applyBorder="1" applyAlignment="1">
      <alignment wrapText="1"/>
    </xf>
    <xf numFmtId="4" fontId="23" fillId="0" borderId="0" xfId="6" applyNumberFormat="1" applyFont="1" applyFill="1" applyBorder="1" applyAlignment="1"/>
    <xf numFmtId="4" fontId="24" fillId="0" borderId="0" xfId="15" applyNumberFormat="1" applyFont="1" applyFill="1" applyBorder="1" applyAlignment="1" applyProtection="1">
      <alignment horizontal="center"/>
    </xf>
    <xf numFmtId="0" fontId="25" fillId="0" borderId="0" xfId="0" applyFont="1"/>
    <xf numFmtId="0" fontId="22" fillId="6" borderId="0" xfId="0" applyFont="1" applyFill="1"/>
    <xf numFmtId="0" fontId="22" fillId="6" borderId="0" xfId="0" applyFont="1" applyFill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4" fontId="23" fillId="0" borderId="0" xfId="7" applyNumberFormat="1" applyFont="1" applyBorder="1" applyAlignment="1">
      <alignment horizontal="left" wrapText="1"/>
    </xf>
    <xf numFmtId="4" fontId="23" fillId="0" borderId="0" xfId="7" applyNumberFormat="1" applyFont="1" applyFill="1" applyBorder="1" applyAlignment="1">
      <alignment horizontal="left"/>
    </xf>
    <xf numFmtId="4" fontId="23" fillId="0" borderId="0" xfId="7" applyNumberFormat="1" applyFont="1" applyBorder="1" applyAlignment="1">
      <alignment horizontal="left"/>
    </xf>
    <xf numFmtId="0" fontId="22" fillId="0" borderId="0" xfId="0" applyFont="1"/>
    <xf numFmtId="4" fontId="28" fillId="0" borderId="0" xfId="7" applyNumberFormat="1" applyFont="1" applyBorder="1" applyAlignment="1">
      <alignment horizontal="left" wrapText="1"/>
    </xf>
    <xf numFmtId="4" fontId="28" fillId="0" borderId="0" xfId="7" applyNumberFormat="1" applyFont="1" applyBorder="1" applyAlignment="1">
      <alignment horizontal="left"/>
    </xf>
    <xf numFmtId="4" fontId="23" fillId="0" borderId="0" xfId="7" applyNumberFormat="1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" fontId="14" fillId="0" borderId="0" xfId="7" applyNumberFormat="1" applyFont="1" applyFill="1" applyBorder="1" applyAlignment="1">
      <alignment horizontal="left" wrapText="1"/>
    </xf>
    <xf numFmtId="4" fontId="14" fillId="0" borderId="0" xfId="7" applyNumberFormat="1" applyFont="1" applyFill="1" applyBorder="1" applyAlignment="1">
      <alignment horizontal="left"/>
    </xf>
    <xf numFmtId="0" fontId="2" fillId="6" borderId="8" xfId="0" applyFont="1" applyFill="1" applyBorder="1" applyAlignment="1">
      <alignment horizontal="right"/>
    </xf>
    <xf numFmtId="4" fontId="29" fillId="6" borderId="3" xfId="0" applyNumberFormat="1" applyFont="1" applyFill="1" applyBorder="1"/>
    <xf numFmtId="4" fontId="29" fillId="6" borderId="3" xfId="0" applyNumberFormat="1" applyFont="1" applyFill="1" applyBorder="1" applyAlignment="1">
      <alignment wrapText="1"/>
    </xf>
    <xf numFmtId="0" fontId="29" fillId="6" borderId="0" xfId="0" applyFont="1" applyFill="1"/>
    <xf numFmtId="0" fontId="29" fillId="6" borderId="6" xfId="0" applyFont="1" applyFill="1" applyBorder="1" applyAlignment="1">
      <alignment horizontal="right"/>
    </xf>
    <xf numFmtId="4" fontId="33" fillId="6" borderId="3" xfId="0" applyNumberFormat="1" applyFont="1" applyFill="1" applyBorder="1" applyAlignment="1">
      <alignment wrapText="1"/>
    </xf>
    <xf numFmtId="4" fontId="29" fillId="6" borderId="4" xfId="0" applyNumberFormat="1" applyFont="1" applyFill="1" applyBorder="1" applyAlignment="1">
      <alignment wrapText="1"/>
    </xf>
    <xf numFmtId="4" fontId="29" fillId="0" borderId="3" xfId="0" applyNumberFormat="1" applyFont="1" applyBorder="1" applyAlignment="1">
      <alignment wrapText="1"/>
    </xf>
    <xf numFmtId="0" fontId="29" fillId="0" borderId="0" xfId="0" applyFont="1"/>
    <xf numFmtId="4" fontId="33" fillId="6" borderId="3" xfId="0" applyNumberFormat="1" applyFont="1" applyFill="1" applyBorder="1" applyAlignment="1">
      <alignment horizontal="right" wrapText="1"/>
    </xf>
    <xf numFmtId="0" fontId="32" fillId="0" borderId="0" xfId="0" applyFont="1"/>
    <xf numFmtId="0" fontId="2" fillId="0" borderId="7" xfId="0" applyFont="1" applyBorder="1" applyAlignment="1">
      <alignment horizontal="right"/>
    </xf>
    <xf numFmtId="4" fontId="29" fillId="0" borderId="4" xfId="0" applyNumberFormat="1" applyFont="1" applyBorder="1" applyAlignment="1">
      <alignment wrapText="1"/>
    </xf>
    <xf numFmtId="0" fontId="35" fillId="0" borderId="0" xfId="0" applyFont="1"/>
    <xf numFmtId="4" fontId="29" fillId="6" borderId="3" xfId="0" applyNumberFormat="1" applyFont="1" applyFill="1" applyBorder="1" applyAlignment="1">
      <alignment horizontal="right"/>
    </xf>
    <xf numFmtId="4" fontId="29" fillId="0" borderId="3" xfId="0" applyNumberFormat="1" applyFont="1" applyBorder="1" applyAlignment="1">
      <alignment horizontal="right"/>
    </xf>
    <xf numFmtId="4" fontId="23" fillId="6" borderId="0" xfId="6" applyNumberFormat="1" applyFont="1" applyFill="1" applyBorder="1" applyAlignment="1">
      <alignment wrapText="1"/>
    </xf>
    <xf numFmtId="4" fontId="2" fillId="6" borderId="22" xfId="0" applyNumberFormat="1" applyFont="1" applyFill="1" applyBorder="1" applyAlignment="1">
      <alignment horizontal="left" wrapText="1"/>
    </xf>
    <xf numFmtId="4" fontId="2" fillId="6" borderId="22" xfId="0" applyNumberFormat="1" applyFont="1" applyFill="1" applyBorder="1" applyAlignment="1">
      <alignment horizontal="left"/>
    </xf>
    <xf numFmtId="4" fontId="29" fillId="0" borderId="3" xfId="0" applyNumberFormat="1" applyFont="1" applyBorder="1" applyAlignment="1">
      <alignment horizontal="right" wrapText="1"/>
    </xf>
    <xf numFmtId="0" fontId="39" fillId="0" borderId="0" xfId="0" applyFont="1"/>
    <xf numFmtId="0" fontId="41" fillId="0" borderId="0" xfId="0" applyFont="1"/>
    <xf numFmtId="4" fontId="12" fillId="6" borderId="22" xfId="0" applyNumberFormat="1" applyFont="1" applyFill="1" applyBorder="1" applyAlignment="1">
      <alignment horizontal="left" wrapText="1"/>
    </xf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27" fillId="6" borderId="0" xfId="0" applyFont="1" applyFill="1"/>
    <xf numFmtId="0" fontId="42" fillId="6" borderId="0" xfId="0" applyFont="1" applyFill="1" applyAlignment="1">
      <alignment horizontal="right"/>
    </xf>
    <xf numFmtId="4" fontId="43" fillId="6" borderId="0" xfId="6" applyNumberFormat="1" applyFont="1" applyFill="1" applyBorder="1" applyAlignment="1">
      <alignment wrapText="1"/>
    </xf>
    <xf numFmtId="0" fontId="29" fillId="6" borderId="8" xfId="0" applyFont="1" applyFill="1" applyBorder="1" applyAlignment="1">
      <alignment horizontal="right"/>
    </xf>
    <xf numFmtId="4" fontId="29" fillId="6" borderId="22" xfId="0" applyNumberFormat="1" applyFont="1" applyFill="1" applyBorder="1" applyAlignment="1">
      <alignment horizontal="left"/>
    </xf>
    <xf numFmtId="4" fontId="28" fillId="0" borderId="0" xfId="7" applyNumberFormat="1" applyFont="1" applyFill="1" applyBorder="1" applyAlignment="1">
      <alignment horizontal="left"/>
    </xf>
    <xf numFmtId="4" fontId="3" fillId="0" borderId="2" xfId="7" applyNumberFormat="1" applyFont="1" applyFill="1" applyBorder="1" applyAlignment="1">
      <alignment horizontal="left"/>
    </xf>
    <xf numFmtId="4" fontId="2" fillId="0" borderId="22" xfId="0" applyNumberFormat="1" applyFont="1" applyBorder="1" applyAlignment="1">
      <alignment horizontal="right"/>
    </xf>
    <xf numFmtId="4" fontId="29" fillId="6" borderId="30" xfId="0" applyNumberFormat="1" applyFont="1" applyFill="1" applyBorder="1" applyAlignment="1">
      <alignment wrapText="1"/>
    </xf>
    <xf numFmtId="0" fontId="44" fillId="6" borderId="17" xfId="0" applyFont="1" applyFill="1" applyBorder="1"/>
    <xf numFmtId="4" fontId="2" fillId="6" borderId="4" xfId="0" applyNumberFormat="1" applyFont="1" applyFill="1" applyBorder="1" applyAlignment="1">
      <alignment wrapText="1"/>
    </xf>
    <xf numFmtId="0" fontId="47" fillId="0" borderId="0" xfId="0" applyFont="1" applyAlignment="1">
      <alignment vertical="top" wrapText="1"/>
    </xf>
    <xf numFmtId="4" fontId="29" fillId="6" borderId="9" xfId="0" applyNumberFormat="1" applyFont="1" applyFill="1" applyBorder="1" applyAlignment="1">
      <alignment horizontal="right" wrapText="1"/>
    </xf>
    <xf numFmtId="4" fontId="29" fillId="6" borderId="3" xfId="0" applyNumberFormat="1" applyFont="1" applyFill="1" applyBorder="1" applyAlignment="1">
      <alignment horizontal="left"/>
    </xf>
    <xf numFmtId="4" fontId="29" fillId="6" borderId="31" xfId="0" applyNumberFormat="1" applyFont="1" applyFill="1" applyBorder="1" applyAlignment="1">
      <alignment wrapText="1"/>
    </xf>
    <xf numFmtId="0" fontId="29" fillId="6" borderId="0" xfId="0" applyFont="1" applyFill="1" applyAlignment="1">
      <alignment horizontal="right"/>
    </xf>
    <xf numFmtId="4" fontId="30" fillId="6" borderId="3" xfId="0" applyNumberFormat="1" applyFont="1" applyFill="1" applyBorder="1" applyAlignment="1">
      <alignment wrapText="1"/>
    </xf>
    <xf numFmtId="4" fontId="29" fillId="0" borderId="9" xfId="0" applyNumberFormat="1" applyFont="1" applyBorder="1" applyAlignment="1">
      <alignment horizontal="right" wrapText="1"/>
    </xf>
    <xf numFmtId="4" fontId="29" fillId="0" borderId="3" xfId="0" applyNumberFormat="1" applyFont="1" applyBorder="1" applyAlignment="1">
      <alignment horizontal="left"/>
    </xf>
    <xf numFmtId="4" fontId="29" fillId="0" borderId="22" xfId="0" applyNumberFormat="1" applyFont="1" applyBorder="1" applyAlignment="1">
      <alignment horizontal="left" wrapText="1"/>
    </xf>
    <xf numFmtId="4" fontId="29" fillId="0" borderId="22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wrapText="1"/>
    </xf>
    <xf numFmtId="4" fontId="29" fillId="0" borderId="30" xfId="0" applyNumberFormat="1" applyFont="1" applyBorder="1" applyAlignment="1">
      <alignment wrapText="1"/>
    </xf>
    <xf numFmtId="4" fontId="29" fillId="0" borderId="30" xfId="0" applyNumberFormat="1" applyFont="1" applyBorder="1" applyAlignment="1">
      <alignment horizontal="left"/>
    </xf>
    <xf numFmtId="0" fontId="45" fillId="0" borderId="0" xfId="0" applyFont="1"/>
    <xf numFmtId="0" fontId="36" fillId="0" borderId="0" xfId="0" applyFont="1"/>
    <xf numFmtId="0" fontId="50" fillId="0" borderId="0" xfId="0" applyFont="1"/>
    <xf numFmtId="0" fontId="48" fillId="0" borderId="0" xfId="0" applyFont="1"/>
    <xf numFmtId="4" fontId="52" fillId="0" borderId="0" xfId="6" applyNumberFormat="1" applyFont="1" applyFill="1" applyBorder="1" applyAlignment="1"/>
    <xf numFmtId="0" fontId="49" fillId="0" borderId="0" xfId="0" applyFont="1"/>
    <xf numFmtId="0" fontId="53" fillId="0" borderId="0" xfId="0" applyFont="1"/>
    <xf numFmtId="0" fontId="49" fillId="6" borderId="0" xfId="0" applyFont="1" applyFill="1"/>
    <xf numFmtId="0" fontId="55" fillId="6" borderId="0" xfId="0" applyFont="1" applyFill="1"/>
    <xf numFmtId="4" fontId="58" fillId="0" borderId="0" xfId="6" applyNumberFormat="1" applyFont="1" applyFill="1" applyBorder="1" applyAlignment="1"/>
    <xf numFmtId="0" fontId="59" fillId="6" borderId="0" xfId="0" applyFont="1" applyFill="1"/>
    <xf numFmtId="0" fontId="55" fillId="0" borderId="0" xfId="0" applyFont="1"/>
    <xf numFmtId="0" fontId="37" fillId="0" borderId="0" xfId="0" applyFont="1"/>
    <xf numFmtId="4" fontId="29" fillId="6" borderId="3" xfId="0" applyNumberFormat="1" applyFont="1" applyFill="1" applyBorder="1" applyAlignment="1">
      <alignment horizontal="right" wrapText="1"/>
    </xf>
    <xf numFmtId="0" fontId="23" fillId="0" borderId="0" xfId="6" applyNumberFormat="1" applyFont="1" applyFill="1" applyBorder="1" applyAlignment="1"/>
    <xf numFmtId="4" fontId="2" fillId="6" borderId="37" xfId="0" applyNumberFormat="1" applyFont="1" applyFill="1" applyBorder="1" applyAlignment="1">
      <alignment wrapText="1"/>
    </xf>
    <xf numFmtId="4" fontId="2" fillId="6" borderId="38" xfId="0" applyNumberFormat="1" applyFont="1" applyFill="1" applyBorder="1" applyAlignment="1">
      <alignment wrapText="1"/>
    </xf>
    <xf numFmtId="4" fontId="2" fillId="6" borderId="39" xfId="0" applyNumberFormat="1" applyFont="1" applyFill="1" applyBorder="1" applyAlignment="1">
      <alignment horizontal="left" wrapText="1"/>
    </xf>
    <xf numFmtId="4" fontId="2" fillId="6" borderId="38" xfId="0" applyNumberFormat="1" applyFont="1" applyFill="1" applyBorder="1" applyAlignment="1">
      <alignment horizontal="left"/>
    </xf>
    <xf numFmtId="4" fontId="16" fillId="6" borderId="4" xfId="0" applyNumberFormat="1" applyFont="1" applyFill="1" applyBorder="1" applyAlignment="1">
      <alignment horizontal="left" wrapText="1"/>
    </xf>
    <xf numFmtId="4" fontId="16" fillId="6" borderId="4" xfId="0" applyNumberFormat="1" applyFont="1" applyFill="1" applyBorder="1" applyAlignment="1">
      <alignment horizontal="left"/>
    </xf>
    <xf numFmtId="4" fontId="16" fillId="6" borderId="4" xfId="0" applyNumberFormat="1" applyFont="1" applyFill="1" applyBorder="1" applyAlignment="1">
      <alignment horizontal="right" vertical="center"/>
    </xf>
    <xf numFmtId="4" fontId="28" fillId="0" borderId="0" xfId="7" applyNumberFormat="1" applyFont="1" applyFill="1" applyBorder="1" applyAlignment="1">
      <alignment horizontal="right"/>
    </xf>
    <xf numFmtId="0" fontId="45" fillId="0" borderId="0" xfId="0" applyFont="1" applyAlignment="1">
      <alignment horizontal="center"/>
    </xf>
    <xf numFmtId="4" fontId="44" fillId="0" borderId="14" xfId="0" applyNumberFormat="1" applyFont="1" applyBorder="1" applyAlignment="1">
      <alignment horizontal="right" vertical="center"/>
    </xf>
    <xf numFmtId="4" fontId="13" fillId="0" borderId="44" xfId="0" applyNumberFormat="1" applyFont="1" applyBorder="1" applyAlignment="1">
      <alignment horizontal="right"/>
    </xf>
    <xf numFmtId="4" fontId="13" fillId="0" borderId="14" xfId="0" applyNumberFormat="1" applyFont="1" applyBorder="1" applyAlignment="1">
      <alignment wrapText="1"/>
    </xf>
    <xf numFmtId="0" fontId="36" fillId="0" borderId="0" xfId="0" applyFont="1" applyAlignment="1">
      <alignment horizontal="center"/>
    </xf>
    <xf numFmtId="0" fontId="13" fillId="0" borderId="17" xfId="0" applyFont="1" applyBorder="1"/>
    <xf numFmtId="4" fontId="13" fillId="0" borderId="14" xfId="0" applyNumberFormat="1" applyFont="1" applyBorder="1" applyAlignment="1">
      <alignment horizontal="right" vertical="center"/>
    </xf>
    <xf numFmtId="0" fontId="15" fillId="6" borderId="0" xfId="0" applyFont="1" applyFill="1" applyAlignment="1">
      <alignment horizontal="center"/>
    </xf>
    <xf numFmtId="4" fontId="26" fillId="0" borderId="14" xfId="0" applyNumberFormat="1" applyFont="1" applyBorder="1" applyAlignment="1">
      <alignment horizontal="right" vertical="center"/>
    </xf>
    <xf numFmtId="0" fontId="44" fillId="0" borderId="24" xfId="0" applyFont="1" applyBorder="1" applyAlignment="1">
      <alignment wrapText="1"/>
    </xf>
    <xf numFmtId="4" fontId="44" fillId="0" borderId="12" xfId="0" applyNumberFormat="1" applyFont="1" applyBorder="1" applyAlignment="1">
      <alignment horizontal="right"/>
    </xf>
    <xf numFmtId="9" fontId="44" fillId="0" borderId="14" xfId="0" applyNumberFormat="1" applyFont="1" applyBorder="1" applyAlignment="1">
      <alignment horizontal="right"/>
    </xf>
    <xf numFmtId="4" fontId="44" fillId="0" borderId="3" xfId="0" applyNumberFormat="1" applyFont="1" applyBorder="1" applyAlignment="1">
      <alignment horizontal="right"/>
    </xf>
    <xf numFmtId="4" fontId="44" fillId="0" borderId="12" xfId="0" applyNumberFormat="1" applyFont="1" applyBorder="1"/>
    <xf numFmtId="9" fontId="44" fillId="0" borderId="16" xfId="0" applyNumberFormat="1" applyFont="1" applyBorder="1" applyAlignment="1">
      <alignment horizontal="right"/>
    </xf>
    <xf numFmtId="4" fontId="44" fillId="0" borderId="25" xfId="0" applyNumberFormat="1" applyFont="1" applyBorder="1" applyAlignment="1">
      <alignment horizontal="right"/>
    </xf>
    <xf numFmtId="0" fontId="13" fillId="0" borderId="17" xfId="0" applyFont="1" applyBorder="1" applyAlignment="1">
      <alignment wrapText="1"/>
    </xf>
    <xf numFmtId="0" fontId="35" fillId="0" borderId="0" xfId="0" applyFont="1" applyAlignment="1">
      <alignment horizontal="right"/>
    </xf>
    <xf numFmtId="4" fontId="64" fillId="0" borderId="0" xfId="7" applyNumberFormat="1" applyFont="1" applyFill="1" applyBorder="1" applyAlignment="1">
      <alignment horizontal="right"/>
    </xf>
    <xf numFmtId="4" fontId="64" fillId="0" borderId="0" xfId="7" applyNumberFormat="1" applyFont="1" applyFill="1" applyBorder="1" applyAlignment="1">
      <alignment horizontal="left"/>
    </xf>
    <xf numFmtId="0" fontId="35" fillId="6" borderId="0" xfId="0" applyFont="1" applyFill="1" applyAlignment="1">
      <alignment horizontal="right"/>
    </xf>
    <xf numFmtId="4" fontId="65" fillId="0" borderId="0" xfId="7" applyNumberFormat="1" applyFont="1" applyFill="1" applyBorder="1" applyAlignment="1">
      <alignment horizontal="left"/>
    </xf>
    <xf numFmtId="0" fontId="9" fillId="0" borderId="0" xfId="0" applyFont="1" applyAlignment="1">
      <alignment horizontal="right"/>
    </xf>
    <xf numFmtId="4" fontId="64" fillId="0" borderId="0" xfId="7" applyNumberFormat="1" applyFont="1" applyFill="1" applyBorder="1" applyAlignment="1">
      <alignment horizontal="left" wrapText="1"/>
    </xf>
    <xf numFmtId="4" fontId="65" fillId="0" borderId="0" xfId="7" applyNumberFormat="1" applyFont="1" applyFill="1" applyBorder="1" applyAlignment="1">
      <alignment horizontal="left" wrapText="1"/>
    </xf>
    <xf numFmtId="0" fontId="3" fillId="5" borderId="1" xfId="2" applyFont="1" applyFill="1" applyBorder="1" applyAlignment="1" applyProtection="1">
      <alignment horizontal="center" vertical="center" wrapText="1"/>
      <protection hidden="1"/>
    </xf>
    <xf numFmtId="0" fontId="14" fillId="5" borderId="42" xfId="1" applyFont="1" applyFill="1" applyBorder="1"/>
    <xf numFmtId="4" fontId="14" fillId="5" borderId="43" xfId="1" applyNumberFormat="1" applyFont="1" applyFill="1" applyBorder="1"/>
    <xf numFmtId="0" fontId="63" fillId="8" borderId="17" xfId="0" applyFont="1" applyFill="1" applyBorder="1"/>
    <xf numFmtId="4" fontId="63" fillId="8" borderId="14" xfId="0" applyNumberFormat="1" applyFont="1" applyFill="1" applyBorder="1" applyAlignment="1">
      <alignment horizontal="right"/>
    </xf>
    <xf numFmtId="4" fontId="63" fillId="8" borderId="3" xfId="0" applyNumberFormat="1" applyFont="1" applyFill="1" applyBorder="1" applyAlignment="1">
      <alignment horizontal="right"/>
    </xf>
    <xf numFmtId="4" fontId="63" fillId="8" borderId="14" xfId="0" applyNumberFormat="1" applyFont="1" applyFill="1" applyBorder="1"/>
    <xf numFmtId="4" fontId="63" fillId="8" borderId="18" xfId="0" applyNumberFormat="1" applyFont="1" applyFill="1" applyBorder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9" fontId="13" fillId="0" borderId="15" xfId="0" applyNumberFormat="1" applyFont="1" applyBorder="1" applyAlignment="1">
      <alignment horizontal="right"/>
    </xf>
    <xf numFmtId="9" fontId="13" fillId="0" borderId="15" xfId="0" applyNumberFormat="1" applyFont="1" applyBorder="1" applyAlignment="1">
      <alignment horizontal="right" vertical="center"/>
    </xf>
    <xf numFmtId="0" fontId="66" fillId="9" borderId="26" xfId="5" applyFont="1" applyFill="1" applyBorder="1"/>
    <xf numFmtId="4" fontId="40" fillId="9" borderId="27" xfId="5" applyNumberFormat="1" applyFont="1" applyFill="1" applyBorder="1"/>
    <xf numFmtId="9" fontId="13" fillId="0" borderId="14" xfId="0" applyNumberFormat="1" applyFont="1" applyBorder="1" applyAlignment="1">
      <alignment horizontal="right"/>
    </xf>
    <xf numFmtId="0" fontId="13" fillId="0" borderId="14" xfId="0" applyFont="1" applyBorder="1" applyAlignment="1">
      <alignment wrapText="1"/>
    </xf>
    <xf numFmtId="4" fontId="13" fillId="0" borderId="3" xfId="0" applyNumberFormat="1" applyFont="1" applyBorder="1" applyAlignment="1">
      <alignment horizontal="right"/>
    </xf>
    <xf numFmtId="4" fontId="24" fillId="0" borderId="0" xfId="15" applyNumberFormat="1" applyFont="1" applyFill="1" applyBorder="1" applyAlignment="1" applyProtection="1">
      <alignment horizontal="right"/>
    </xf>
    <xf numFmtId="4" fontId="30" fillId="6" borderId="3" xfId="0" applyNumberFormat="1" applyFont="1" applyFill="1" applyBorder="1" applyAlignment="1">
      <alignment horizontal="left" wrapText="1"/>
    </xf>
    <xf numFmtId="4" fontId="65" fillId="0" borderId="0" xfId="7" applyNumberFormat="1" applyFont="1" applyFill="1" applyBorder="1" applyAlignment="1">
      <alignment horizontal="right"/>
    </xf>
    <xf numFmtId="0" fontId="29" fillId="0" borderId="6" xfId="0" applyFont="1" applyBorder="1"/>
    <xf numFmtId="4" fontId="21" fillId="0" borderId="3" xfId="0" applyNumberFormat="1" applyFont="1" applyBorder="1" applyAlignment="1">
      <alignment wrapText="1"/>
    </xf>
    <xf numFmtId="0" fontId="29" fillId="6" borderId="3" xfId="0" applyFont="1" applyFill="1" applyBorder="1" applyAlignment="1">
      <alignment horizontal="right"/>
    </xf>
    <xf numFmtId="0" fontId="2" fillId="0" borderId="6" xfId="0" applyFont="1" applyBorder="1"/>
    <xf numFmtId="0" fontId="29" fillId="6" borderId="3" xfId="0" applyFont="1" applyFill="1" applyBorder="1" applyAlignment="1">
      <alignment horizontal="left"/>
    </xf>
    <xf numFmtId="4" fontId="33" fillId="0" borderId="30" xfId="0" applyNumberFormat="1" applyFont="1" applyBorder="1" applyAlignment="1">
      <alignment horizontal="right" wrapText="1"/>
    </xf>
    <xf numFmtId="4" fontId="30" fillId="0" borderId="3" xfId="0" applyNumberFormat="1" applyFont="1" applyBorder="1" applyAlignment="1">
      <alignment wrapText="1"/>
    </xf>
    <xf numFmtId="4" fontId="29" fillId="6" borderId="30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4" fontId="29" fillId="6" borderId="3" xfId="21" applyNumberFormat="1" applyFont="1" applyFill="1" applyBorder="1" applyAlignment="1">
      <alignment wrapText="1"/>
    </xf>
    <xf numFmtId="0" fontId="67" fillId="0" borderId="0" xfId="0" applyFont="1"/>
    <xf numFmtId="4" fontId="18" fillId="6" borderId="22" xfId="0" applyNumberFormat="1" applyFont="1" applyFill="1" applyBorder="1" applyAlignment="1">
      <alignment horizontal="left" wrapText="1"/>
    </xf>
    <xf numFmtId="4" fontId="2" fillId="0" borderId="3" xfId="0" applyNumberFormat="1" applyFont="1" applyBorder="1" applyAlignment="1">
      <alignment horizontal="left" wrapText="1"/>
    </xf>
    <xf numFmtId="4" fontId="2" fillId="0" borderId="0" xfId="0" applyNumberFormat="1" applyFont="1" applyAlignment="1">
      <alignment horizontal="left"/>
    </xf>
    <xf numFmtId="4" fontId="23" fillId="0" borderId="0" xfId="6" applyNumberFormat="1" applyFont="1" applyFill="1" applyBorder="1" applyAlignment="1">
      <alignment horizontal="left"/>
    </xf>
    <xf numFmtId="4" fontId="29" fillId="0" borderId="3" xfId="0" applyNumberFormat="1" applyFont="1" applyBorder="1" applyAlignment="1">
      <alignment horizontal="left" wrapText="1"/>
    </xf>
    <xf numFmtId="4" fontId="29" fillId="6" borderId="3" xfId="0" applyNumberFormat="1" applyFont="1" applyFill="1" applyBorder="1" applyAlignment="1">
      <alignment horizontal="left" wrapText="1"/>
    </xf>
    <xf numFmtId="4" fontId="43" fillId="6" borderId="0" xfId="6" applyNumberFormat="1" applyFont="1" applyFill="1" applyBorder="1" applyAlignment="1">
      <alignment horizontal="left"/>
    </xf>
    <xf numFmtId="4" fontId="29" fillId="0" borderId="30" xfId="0" applyNumberFormat="1" applyFont="1" applyBorder="1" applyAlignment="1">
      <alignment horizontal="left" wrapText="1"/>
    </xf>
    <xf numFmtId="4" fontId="29" fillId="0" borderId="0" xfId="0" applyNumberFormat="1" applyFont="1" applyAlignment="1">
      <alignment horizontal="left" wrapText="1"/>
    </xf>
    <xf numFmtId="4" fontId="23" fillId="6" borderId="0" xfId="6" applyNumberFormat="1" applyFont="1" applyFill="1" applyBorder="1" applyAlignment="1">
      <alignment horizontal="left"/>
    </xf>
    <xf numFmtId="4" fontId="29" fillId="6" borderId="4" xfId="0" applyNumberFormat="1" applyFont="1" applyFill="1" applyBorder="1" applyAlignment="1">
      <alignment horizontal="left" wrapText="1"/>
    </xf>
    <xf numFmtId="4" fontId="16" fillId="0" borderId="22" xfId="0" applyNumberFormat="1" applyFont="1" applyBorder="1" applyAlignment="1">
      <alignment horizontal="left" wrapText="1"/>
    </xf>
    <xf numFmtId="4" fontId="3" fillId="0" borderId="2" xfId="7" applyNumberFormat="1" applyFont="1" applyBorder="1" applyAlignment="1">
      <alignment horizontal="left"/>
    </xf>
    <xf numFmtId="0" fontId="14" fillId="5" borderId="43" xfId="1" applyFont="1" applyFill="1" applyBorder="1" applyAlignment="1">
      <alignment horizontal="left"/>
    </xf>
    <xf numFmtId="10" fontId="44" fillId="0" borderId="14" xfId="0" applyNumberFormat="1" applyFont="1" applyBorder="1" applyAlignment="1">
      <alignment horizontal="left" vertical="center"/>
    </xf>
    <xf numFmtId="10" fontId="13" fillId="0" borderId="14" xfId="0" applyNumberFormat="1" applyFont="1" applyBorder="1" applyAlignment="1">
      <alignment horizontal="left" vertical="center"/>
    </xf>
    <xf numFmtId="10" fontId="26" fillId="0" borderId="14" xfId="0" applyNumberFormat="1" applyFont="1" applyBorder="1" applyAlignment="1">
      <alignment horizontal="left" vertical="center"/>
    </xf>
    <xf numFmtId="0" fontId="63" fillId="8" borderId="14" xfId="0" applyFont="1" applyFill="1" applyBorder="1" applyAlignment="1">
      <alignment horizontal="left"/>
    </xf>
    <xf numFmtId="166" fontId="44" fillId="0" borderId="12" xfId="0" applyNumberFormat="1" applyFont="1" applyBorder="1" applyAlignment="1">
      <alignment horizontal="left"/>
    </xf>
    <xf numFmtId="0" fontId="40" fillId="9" borderId="27" xfId="5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4" fontId="24" fillId="0" borderId="0" xfId="15" applyNumberFormat="1" applyFont="1" applyFill="1" applyBorder="1" applyAlignment="1" applyProtection="1">
      <alignment horizontal="left"/>
    </xf>
    <xf numFmtId="4" fontId="29" fillId="6" borderId="30" xfId="0" applyNumberFormat="1" applyFont="1" applyFill="1" applyBorder="1" applyAlignment="1">
      <alignment horizontal="left"/>
    </xf>
    <xf numFmtId="4" fontId="29" fillId="0" borderId="4" xfId="0" applyNumberFormat="1" applyFont="1" applyBorder="1" applyAlignment="1">
      <alignment horizontal="left" wrapText="1"/>
    </xf>
    <xf numFmtId="4" fontId="29" fillId="6" borderId="30" xfId="0" applyNumberFormat="1" applyFont="1" applyFill="1" applyBorder="1" applyAlignment="1">
      <alignment horizontal="left" wrapText="1"/>
    </xf>
    <xf numFmtId="4" fontId="14" fillId="5" borderId="19" xfId="1" applyNumberFormat="1" applyFont="1" applyFill="1" applyBorder="1" applyAlignment="1">
      <alignment horizontal="left"/>
    </xf>
    <xf numFmtId="4" fontId="13" fillId="0" borderId="14" xfId="0" applyNumberFormat="1" applyFont="1" applyBorder="1" applyAlignment="1">
      <alignment horizontal="left" vertical="center"/>
    </xf>
    <xf numFmtId="4" fontId="63" fillId="8" borderId="14" xfId="0" applyNumberFormat="1" applyFont="1" applyFill="1" applyBorder="1" applyAlignment="1">
      <alignment horizontal="left" vertical="center"/>
    </xf>
    <xf numFmtId="4" fontId="44" fillId="0" borderId="12" xfId="0" applyNumberFormat="1" applyFont="1" applyBorder="1" applyAlignment="1">
      <alignment horizontal="left"/>
    </xf>
    <xf numFmtId="4" fontId="40" fillId="9" borderId="27" xfId="5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4" fontId="23" fillId="0" borderId="0" xfId="6" applyNumberFormat="1" applyFont="1" applyFill="1" applyBorder="1" applyAlignment="1">
      <alignment horizontal="right"/>
    </xf>
    <xf numFmtId="4" fontId="2" fillId="6" borderId="38" xfId="0" applyNumberFormat="1" applyFont="1" applyFill="1" applyBorder="1" applyAlignment="1">
      <alignment horizontal="right"/>
    </xf>
    <xf numFmtId="4" fontId="2" fillId="6" borderId="22" xfId="0" applyNumberFormat="1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 wrapText="1"/>
    </xf>
    <xf numFmtId="4" fontId="23" fillId="0" borderId="0" xfId="7" applyNumberFormat="1" applyFont="1" applyFill="1" applyBorder="1" applyAlignment="1">
      <alignment horizontal="right"/>
    </xf>
    <xf numFmtId="4" fontId="29" fillId="6" borderId="22" xfId="0" applyNumberFormat="1" applyFont="1" applyFill="1" applyBorder="1" applyAlignment="1">
      <alignment horizontal="right"/>
    </xf>
    <xf numFmtId="4" fontId="29" fillId="0" borderId="22" xfId="0" applyNumberFormat="1" applyFont="1" applyBorder="1" applyAlignment="1">
      <alignment horizontal="right"/>
    </xf>
    <xf numFmtId="4" fontId="23" fillId="6" borderId="0" xfId="6" applyNumberFormat="1" applyFont="1" applyFill="1" applyBorder="1" applyAlignment="1">
      <alignment horizontal="right"/>
    </xf>
    <xf numFmtId="4" fontId="24" fillId="6" borderId="0" xfId="15" applyNumberFormat="1" applyFont="1" applyFill="1" applyBorder="1" applyAlignment="1" applyProtection="1">
      <alignment horizontal="right"/>
    </xf>
    <xf numFmtId="4" fontId="2" fillId="6" borderId="22" xfId="0" applyNumberFormat="1" applyFont="1" applyFill="1" applyBorder="1" applyAlignment="1">
      <alignment horizontal="right" wrapText="1"/>
    </xf>
    <xf numFmtId="4" fontId="2" fillId="0" borderId="22" xfId="0" applyNumberFormat="1" applyFont="1" applyBorder="1" applyAlignment="1">
      <alignment horizontal="right" wrapText="1"/>
    </xf>
    <xf numFmtId="4" fontId="29" fillId="6" borderId="30" xfId="0" applyNumberFormat="1" applyFont="1" applyFill="1" applyBorder="1" applyAlignment="1">
      <alignment horizontal="right" wrapText="1"/>
    </xf>
    <xf numFmtId="4" fontId="29" fillId="6" borderId="4" xfId="0" applyNumberFormat="1" applyFont="1" applyFill="1" applyBorder="1" applyAlignment="1">
      <alignment horizontal="right" wrapText="1"/>
    </xf>
    <xf numFmtId="4" fontId="29" fillId="0" borderId="4" xfId="0" applyNumberFormat="1" applyFont="1" applyBorder="1" applyAlignment="1">
      <alignment horizontal="right" wrapText="1"/>
    </xf>
    <xf numFmtId="4" fontId="2" fillId="6" borderId="4" xfId="0" applyNumberFormat="1" applyFont="1" applyFill="1" applyBorder="1" applyAlignment="1">
      <alignment horizontal="right" wrapText="1"/>
    </xf>
    <xf numFmtId="4" fontId="16" fillId="0" borderId="22" xfId="0" applyNumberFormat="1" applyFont="1" applyBorder="1" applyAlignment="1">
      <alignment horizontal="right" wrapText="1"/>
    </xf>
    <xf numFmtId="4" fontId="14" fillId="0" borderId="0" xfId="7" applyNumberFormat="1" applyFont="1" applyFill="1" applyBorder="1" applyAlignment="1">
      <alignment horizontal="right"/>
    </xf>
    <xf numFmtId="4" fontId="3" fillId="0" borderId="2" xfId="7" applyNumberFormat="1" applyFont="1" applyBorder="1" applyAlignment="1">
      <alignment horizontal="right"/>
    </xf>
    <xf numFmtId="4" fontId="3" fillId="0" borderId="2" xfId="7" applyNumberFormat="1" applyFont="1" applyFill="1" applyBorder="1" applyAlignment="1">
      <alignment horizontal="right"/>
    </xf>
    <xf numFmtId="4" fontId="14" fillId="5" borderId="43" xfId="1" applyNumberFormat="1" applyFont="1" applyFill="1" applyBorder="1" applyAlignment="1">
      <alignment horizontal="right"/>
    </xf>
    <xf numFmtId="4" fontId="14" fillId="5" borderId="34" xfId="1" applyNumberFormat="1" applyFont="1" applyFill="1" applyBorder="1" applyAlignment="1">
      <alignment horizontal="right"/>
    </xf>
    <xf numFmtId="4" fontId="40" fillId="9" borderId="27" xfId="5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9" fontId="1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2" fillId="6" borderId="40" xfId="0" applyNumberFormat="1" applyFont="1" applyFill="1" applyBorder="1" applyAlignment="1">
      <alignment horizontal="right"/>
    </xf>
    <xf numFmtId="4" fontId="16" fillId="6" borderId="4" xfId="0" applyNumberFormat="1" applyFont="1" applyFill="1" applyBorder="1" applyAlignment="1">
      <alignment horizontal="right"/>
    </xf>
    <xf numFmtId="4" fontId="16" fillId="6" borderId="5" xfId="0" applyNumberFormat="1" applyFont="1" applyFill="1" applyBorder="1" applyAlignment="1">
      <alignment horizontal="right"/>
    </xf>
    <xf numFmtId="4" fontId="43" fillId="0" borderId="0" xfId="6" applyNumberFormat="1" applyFont="1" applyFill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" fontId="29" fillId="6" borderId="9" xfId="0" applyNumberFormat="1" applyFont="1" applyFill="1" applyBorder="1" applyAlignment="1">
      <alignment horizontal="right"/>
    </xf>
    <xf numFmtId="4" fontId="2" fillId="0" borderId="5" xfId="0" applyNumberFormat="1" applyFont="1" applyBorder="1" applyAlignment="1">
      <alignment horizontal="right" wrapText="1"/>
    </xf>
    <xf numFmtId="4" fontId="43" fillId="0" borderId="0" xfId="7" applyNumberFormat="1" applyFont="1" applyFill="1" applyBorder="1" applyAlignment="1">
      <alignment horizontal="right"/>
    </xf>
    <xf numFmtId="4" fontId="43" fillId="0" borderId="0" xfId="15" applyNumberFormat="1" applyFont="1" applyFill="1" applyBorder="1" applyAlignment="1" applyProtection="1">
      <alignment horizontal="right"/>
    </xf>
    <xf numFmtId="4" fontId="29" fillId="0" borderId="23" xfId="0" applyNumberFormat="1" applyFont="1" applyBorder="1" applyAlignment="1">
      <alignment horizontal="right"/>
    </xf>
    <xf numFmtId="172" fontId="29" fillId="6" borderId="3" xfId="0" applyNumberFormat="1" applyFont="1" applyFill="1" applyBorder="1" applyAlignment="1">
      <alignment horizontal="right" wrapText="1"/>
    </xf>
    <xf numFmtId="4" fontId="2" fillId="0" borderId="23" xfId="0" applyNumberFormat="1" applyFont="1" applyBorder="1" applyAlignment="1">
      <alignment horizontal="right" wrapText="1"/>
    </xf>
    <xf numFmtId="4" fontId="29" fillId="0" borderId="5" xfId="0" applyNumberFormat="1" applyFont="1" applyBorder="1" applyAlignment="1">
      <alignment horizontal="right" wrapText="1"/>
    </xf>
    <xf numFmtId="4" fontId="29" fillId="0" borderId="29" xfId="0" applyNumberFormat="1" applyFont="1" applyBorder="1" applyAlignment="1">
      <alignment horizontal="right"/>
    </xf>
    <xf numFmtId="4" fontId="29" fillId="0" borderId="29" xfId="0" applyNumberFormat="1" applyFont="1" applyBorder="1" applyAlignment="1">
      <alignment horizontal="right" wrapText="1"/>
    </xf>
    <xf numFmtId="4" fontId="18" fillId="0" borderId="2" xfId="7" applyNumberFormat="1" applyFont="1" applyFill="1" applyBorder="1" applyAlignment="1">
      <alignment horizontal="right"/>
    </xf>
    <xf numFmtId="4" fontId="14" fillId="5" borderId="19" xfId="1" applyNumberFormat="1" applyFont="1" applyFill="1" applyBorder="1" applyAlignment="1">
      <alignment horizontal="right"/>
    </xf>
    <xf numFmtId="4" fontId="14" fillId="5" borderId="20" xfId="1" applyNumberFormat="1" applyFont="1" applyFill="1" applyBorder="1" applyAlignment="1">
      <alignment horizontal="right"/>
    </xf>
    <xf numFmtId="4" fontId="14" fillId="5" borderId="21" xfId="1" applyNumberFormat="1" applyFont="1" applyFill="1" applyBorder="1" applyAlignment="1">
      <alignment horizontal="right"/>
    </xf>
    <xf numFmtId="4" fontId="63" fillId="8" borderId="14" xfId="0" applyNumberFormat="1" applyFont="1" applyFill="1" applyBorder="1" applyAlignment="1">
      <alignment horizontal="right" vertical="center"/>
    </xf>
    <xf numFmtId="4" fontId="63" fillId="8" borderId="15" xfId="0" applyNumberFormat="1" applyFont="1" applyFill="1" applyBorder="1" applyAlignment="1">
      <alignment horizontal="right" vertical="center"/>
    </xf>
    <xf numFmtId="165" fontId="19" fillId="0" borderId="0" xfId="9" applyFont="1" applyFill="1" applyAlignment="1">
      <alignment horizontal="right"/>
    </xf>
    <xf numFmtId="4" fontId="0" fillId="0" borderId="0" xfId="0" applyNumberFormat="1"/>
    <xf numFmtId="4" fontId="2" fillId="0" borderId="3" xfId="0" applyNumberFormat="1" applyFont="1" applyBorder="1"/>
    <xf numFmtId="4" fontId="29" fillId="6" borderId="32" xfId="0" applyNumberFormat="1" applyFont="1" applyFill="1" applyBorder="1" applyAlignment="1">
      <alignment wrapText="1"/>
    </xf>
    <xf numFmtId="4" fontId="29" fillId="0" borderId="3" xfId="0" applyNumberFormat="1" applyFont="1" applyBorder="1"/>
    <xf numFmtId="0" fontId="49" fillId="6" borderId="7" xfId="0" applyFont="1" applyFill="1" applyBorder="1" applyAlignment="1">
      <alignment horizontal="right"/>
    </xf>
    <xf numFmtId="4" fontId="49" fillId="6" borderId="4" xfId="0" applyNumberFormat="1" applyFont="1" applyFill="1" applyBorder="1" applyAlignment="1">
      <alignment horizontal="left" wrapText="1"/>
    </xf>
    <xf numFmtId="4" fontId="49" fillId="6" borderId="4" xfId="0" applyNumberFormat="1" applyFont="1" applyFill="1" applyBorder="1" applyAlignment="1">
      <alignment horizontal="left"/>
    </xf>
    <xf numFmtId="4" fontId="49" fillId="6" borderId="4" xfId="0" applyNumberFormat="1" applyFont="1" applyFill="1" applyBorder="1" applyAlignment="1">
      <alignment horizontal="right"/>
    </xf>
    <xf numFmtId="4" fontId="49" fillId="0" borderId="4" xfId="0" applyNumberFormat="1" applyFont="1" applyBorder="1" applyAlignment="1">
      <alignment horizontal="right"/>
    </xf>
    <xf numFmtId="4" fontId="49" fillId="0" borderId="4" xfId="0" applyNumberFormat="1" applyFont="1" applyBorder="1" applyAlignment="1">
      <alignment horizontal="left" wrapText="1"/>
    </xf>
    <xf numFmtId="4" fontId="49" fillId="0" borderId="4" xfId="0" applyNumberFormat="1" applyFont="1" applyBorder="1" applyAlignment="1">
      <alignment horizontal="left"/>
    </xf>
    <xf numFmtId="4" fontId="49" fillId="0" borderId="5" xfId="0" applyNumberFormat="1" applyFont="1" applyBorder="1" applyAlignment="1">
      <alignment horizontal="right"/>
    </xf>
    <xf numFmtId="4" fontId="29" fillId="6" borderId="35" xfId="0" applyNumberFormat="1" applyFont="1" applyFill="1" applyBorder="1" applyAlignment="1">
      <alignment horizontal="right"/>
    </xf>
    <xf numFmtId="0" fontId="31" fillId="0" borderId="0" xfId="20" applyFont="1"/>
    <xf numFmtId="4" fontId="29" fillId="6" borderId="28" xfId="0" applyNumberFormat="1" applyFont="1" applyFill="1" applyBorder="1" applyAlignment="1">
      <alignment wrapText="1"/>
    </xf>
    <xf numFmtId="4" fontId="13" fillId="6" borderId="18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29" fillId="0" borderId="41" xfId="0" applyFont="1" applyBorder="1"/>
    <xf numFmtId="4" fontId="29" fillId="0" borderId="9" xfId="0" applyNumberFormat="1" applyFont="1" applyBorder="1"/>
    <xf numFmtId="0" fontId="29" fillId="0" borderId="3" xfId="0" applyFont="1" applyBorder="1"/>
    <xf numFmtId="0" fontId="71" fillId="6" borderId="0" xfId="0" applyFont="1" applyFill="1"/>
    <xf numFmtId="0" fontId="72" fillId="0" borderId="0" xfId="0" applyFont="1"/>
    <xf numFmtId="0" fontId="29" fillId="0" borderId="50" xfId="0" applyFont="1" applyBorder="1"/>
    <xf numFmtId="4" fontId="29" fillId="0" borderId="30" xfId="0" applyNumberFormat="1" applyFont="1" applyBorder="1"/>
    <xf numFmtId="4" fontId="29" fillId="0" borderId="45" xfId="0" applyNumberFormat="1" applyFont="1" applyBorder="1" applyAlignment="1">
      <alignment wrapText="1"/>
    </xf>
    <xf numFmtId="4" fontId="29" fillId="0" borderId="28" xfId="0" applyNumberFormat="1" applyFont="1" applyBorder="1" applyAlignment="1">
      <alignment wrapText="1"/>
    </xf>
    <xf numFmtId="4" fontId="29" fillId="0" borderId="28" xfId="0" applyNumberFormat="1" applyFont="1" applyBorder="1" applyAlignment="1">
      <alignment horizontal="left"/>
    </xf>
    <xf numFmtId="2" fontId="29" fillId="6" borderId="28" xfId="0" applyNumberFormat="1" applyFont="1" applyFill="1" applyBorder="1" applyAlignment="1">
      <alignment horizontal="right"/>
    </xf>
    <xf numFmtId="4" fontId="29" fillId="6" borderId="28" xfId="0" applyNumberFormat="1" applyFont="1" applyFill="1" applyBorder="1" applyAlignment="1">
      <alignment horizontal="left" vertical="center"/>
    </xf>
    <xf numFmtId="4" fontId="29" fillId="6" borderId="28" xfId="0" applyNumberFormat="1" applyFont="1" applyFill="1" applyBorder="1" applyAlignment="1">
      <alignment horizontal="right" vertical="center"/>
    </xf>
    <xf numFmtId="4" fontId="73" fillId="6" borderId="3" xfId="0" applyNumberFormat="1" applyFont="1" applyFill="1" applyBorder="1" applyAlignment="1">
      <alignment wrapText="1"/>
    </xf>
    <xf numFmtId="0" fontId="29" fillId="6" borderId="3" xfId="0" applyFont="1" applyFill="1" applyBorder="1"/>
    <xf numFmtId="4" fontId="33" fillId="6" borderId="3" xfId="0" applyNumberFormat="1" applyFont="1" applyFill="1" applyBorder="1" applyAlignment="1">
      <alignment horizontal="left" wrapText="1"/>
    </xf>
    <xf numFmtId="4" fontId="29" fillId="6" borderId="47" xfId="0" applyNumberFormat="1" applyFont="1" applyFill="1" applyBorder="1" applyAlignment="1">
      <alignment wrapText="1"/>
    </xf>
    <xf numFmtId="43" fontId="35" fillId="0" borderId="0" xfId="27" applyFont="1" applyFill="1"/>
    <xf numFmtId="4" fontId="35" fillId="0" borderId="0" xfId="0" applyNumberFormat="1" applyFont="1"/>
    <xf numFmtId="43" fontId="65" fillId="0" borderId="0" xfId="27" applyFont="1" applyFill="1"/>
    <xf numFmtId="4" fontId="33" fillId="0" borderId="3" xfId="0" applyNumberFormat="1" applyFont="1" applyBorder="1" applyAlignment="1">
      <alignment wrapText="1"/>
    </xf>
    <xf numFmtId="4" fontId="29" fillId="0" borderId="32" xfId="0" applyNumberFormat="1" applyFont="1" applyBorder="1" applyAlignment="1">
      <alignment wrapText="1"/>
    </xf>
    <xf numFmtId="4" fontId="29" fillId="0" borderId="47" xfId="0" applyNumberFormat="1" applyFont="1" applyBorder="1" applyAlignment="1">
      <alignment wrapText="1"/>
    </xf>
    <xf numFmtId="0" fontId="60" fillId="0" borderId="0" xfId="0" applyFont="1"/>
    <xf numFmtId="4" fontId="30" fillId="0" borderId="30" xfId="0" applyNumberFormat="1" applyFont="1" applyBorder="1" applyAlignment="1">
      <alignment wrapText="1"/>
    </xf>
    <xf numFmtId="4" fontId="29" fillId="0" borderId="30" xfId="0" applyNumberFormat="1" applyFont="1" applyBorder="1" applyAlignment="1">
      <alignment vertical="center" wrapText="1"/>
    </xf>
    <xf numFmtId="4" fontId="29" fillId="0" borderId="30" xfId="0" applyNumberFormat="1" applyFont="1" applyBorder="1" applyAlignment="1">
      <alignment horizontal="right"/>
    </xf>
    <xf numFmtId="4" fontId="29" fillId="0" borderId="30" xfId="0" applyNumberFormat="1" applyFont="1" applyBorder="1" applyAlignment="1">
      <alignment horizontal="left" vertical="center"/>
    </xf>
    <xf numFmtId="4" fontId="29" fillId="0" borderId="30" xfId="0" applyNumberFormat="1" applyFont="1" applyBorder="1" applyAlignment="1">
      <alignment horizontal="center" vertical="center"/>
    </xf>
    <xf numFmtId="4" fontId="29" fillId="0" borderId="30" xfId="0" applyNumberFormat="1" applyFont="1" applyBorder="1" applyAlignment="1">
      <alignment horizontal="center" vertical="center" wrapText="1"/>
    </xf>
    <xf numFmtId="4" fontId="29" fillId="0" borderId="30" xfId="0" applyNumberFormat="1" applyFont="1" applyBorder="1" applyAlignment="1">
      <alignment horizontal="right" vertical="center" wrapText="1"/>
    </xf>
    <xf numFmtId="4" fontId="29" fillId="0" borderId="30" xfId="0" applyNumberFormat="1" applyFont="1" applyBorder="1" applyAlignment="1">
      <alignment vertical="center"/>
    </xf>
    <xf numFmtId="4" fontId="75" fillId="0" borderId="30" xfId="0" applyNumberFormat="1" applyFont="1" applyBorder="1" applyAlignment="1">
      <alignment wrapText="1"/>
    </xf>
    <xf numFmtId="4" fontId="29" fillId="0" borderId="31" xfId="0" applyNumberFormat="1" applyFont="1" applyBorder="1"/>
    <xf numFmtId="4" fontId="29" fillId="0" borderId="31" xfId="0" applyNumberFormat="1" applyFont="1" applyBorder="1" applyAlignment="1">
      <alignment wrapText="1"/>
    </xf>
    <xf numFmtId="4" fontId="29" fillId="6" borderId="31" xfId="0" applyNumberFormat="1" applyFont="1" applyFill="1" applyBorder="1" applyAlignment="1">
      <alignment horizontal="right"/>
    </xf>
    <xf numFmtId="4" fontId="29" fillId="6" borderId="28" xfId="0" applyNumberFormat="1" applyFont="1" applyFill="1" applyBorder="1" applyAlignment="1">
      <alignment horizontal="left" wrapText="1"/>
    </xf>
    <xf numFmtId="4" fontId="29" fillId="6" borderId="28" xfId="0" applyNumberFormat="1" applyFont="1" applyFill="1" applyBorder="1" applyAlignment="1">
      <alignment horizontal="right" wrapText="1"/>
    </xf>
    <xf numFmtId="4" fontId="29" fillId="0" borderId="46" xfId="0" applyNumberFormat="1" applyFont="1" applyBorder="1" applyAlignment="1">
      <alignment wrapText="1"/>
    </xf>
    <xf numFmtId="4" fontId="29" fillId="0" borderId="46" xfId="0" applyNumberFormat="1" applyFont="1" applyBorder="1" applyAlignment="1">
      <alignment horizontal="left"/>
    </xf>
    <xf numFmtId="4" fontId="29" fillId="6" borderId="46" xfId="0" applyNumberFormat="1" applyFont="1" applyFill="1" applyBorder="1" applyAlignment="1">
      <alignment horizontal="right"/>
    </xf>
    <xf numFmtId="4" fontId="29" fillId="6" borderId="49" xfId="0" applyNumberFormat="1" applyFont="1" applyFill="1" applyBorder="1" applyAlignment="1">
      <alignment horizontal="right"/>
    </xf>
    <xf numFmtId="4" fontId="30" fillId="6" borderId="30" xfId="0" applyNumberFormat="1" applyFont="1" applyFill="1" applyBorder="1" applyAlignment="1">
      <alignment wrapText="1"/>
    </xf>
    <xf numFmtId="4" fontId="29" fillId="6" borderId="36" xfId="0" applyNumberFormat="1" applyFont="1" applyFill="1" applyBorder="1" applyAlignment="1">
      <alignment horizontal="left" wrapText="1"/>
    </xf>
    <xf numFmtId="172" fontId="29" fillId="6" borderId="30" xfId="0" applyNumberFormat="1" applyFont="1" applyFill="1" applyBorder="1" applyAlignment="1">
      <alignment horizontal="right" wrapText="1"/>
    </xf>
    <xf numFmtId="4" fontId="29" fillId="0" borderId="3" xfId="0" applyNumberFormat="1" applyFont="1" applyBorder="1" applyAlignment="1">
      <alignment vertical="top" wrapText="1"/>
    </xf>
    <xf numFmtId="4" fontId="29" fillId="6" borderId="3" xfId="0" applyNumberFormat="1" applyFont="1" applyFill="1" applyBorder="1" applyAlignment="1">
      <alignment horizontal="left" vertical="center" wrapText="1"/>
    </xf>
    <xf numFmtId="4" fontId="29" fillId="6" borderId="3" xfId="0" applyNumberFormat="1" applyFont="1" applyFill="1" applyBorder="1" applyAlignment="1">
      <alignment horizontal="right" vertical="center" wrapText="1"/>
    </xf>
    <xf numFmtId="4" fontId="29" fillId="0" borderId="51" xfId="0" applyNumberFormat="1" applyFont="1" applyBorder="1" applyAlignment="1">
      <alignment wrapText="1"/>
    </xf>
    <xf numFmtId="4" fontId="29" fillId="0" borderId="3" xfId="20" applyNumberFormat="1" applyFont="1" applyBorder="1" applyAlignment="1">
      <alignment wrapText="1"/>
    </xf>
    <xf numFmtId="4" fontId="29" fillId="0" borderId="3" xfId="20" applyNumberFormat="1" applyFont="1" applyBorder="1"/>
    <xf numFmtId="4" fontId="29" fillId="6" borderId="3" xfId="20" applyNumberFormat="1" applyFont="1" applyFill="1" applyBorder="1"/>
    <xf numFmtId="4" fontId="29" fillId="6" borderId="3" xfId="20" applyNumberFormat="1" applyFont="1" applyFill="1" applyBorder="1" applyAlignment="1">
      <alignment wrapText="1"/>
    </xf>
    <xf numFmtId="4" fontId="29" fillId="0" borderId="4" xfId="0" applyNumberFormat="1" applyFont="1" applyBorder="1" applyAlignment="1">
      <alignment horizontal="left"/>
    </xf>
    <xf numFmtId="4" fontId="29" fillId="0" borderId="4" xfId="0" applyNumberFormat="1" applyFont="1" applyBorder="1" applyAlignment="1">
      <alignment horizontal="right"/>
    </xf>
    <xf numFmtId="4" fontId="29" fillId="0" borderId="5" xfId="0" applyNumberFormat="1" applyFont="1" applyBorder="1" applyAlignment="1">
      <alignment horizontal="right"/>
    </xf>
    <xf numFmtId="43" fontId="53" fillId="0" borderId="0" xfId="27" applyFont="1" applyFill="1"/>
    <xf numFmtId="0" fontId="23" fillId="10" borderId="0" xfId="6" applyNumberFormat="1" applyFont="1" applyFill="1" applyBorder="1" applyAlignment="1"/>
    <xf numFmtId="4" fontId="23" fillId="10" borderId="0" xfId="6" applyNumberFormat="1" applyFont="1" applyFill="1" applyBorder="1" applyAlignment="1">
      <alignment wrapText="1"/>
    </xf>
    <xf numFmtId="4" fontId="23" fillId="10" borderId="0" xfId="6" applyNumberFormat="1" applyFont="1" applyFill="1" applyBorder="1" applyAlignment="1">
      <alignment horizontal="left"/>
    </xf>
    <xf numFmtId="4" fontId="23" fillId="10" borderId="0" xfId="6" applyNumberFormat="1" applyFont="1" applyFill="1" applyBorder="1" applyAlignment="1">
      <alignment horizontal="right"/>
    </xf>
    <xf numFmtId="4" fontId="24" fillId="10" borderId="0" xfId="15" applyNumberFormat="1" applyFont="1" applyFill="1" applyBorder="1" applyAlignment="1" applyProtection="1">
      <alignment horizontal="right"/>
    </xf>
    <xf numFmtId="4" fontId="23" fillId="10" borderId="0" xfId="6" applyNumberFormat="1" applyFont="1" applyFill="1" applyBorder="1" applyAlignment="1"/>
    <xf numFmtId="4" fontId="2" fillId="0" borderId="38" xfId="0" applyNumberFormat="1" applyFont="1" applyBorder="1" applyAlignment="1">
      <alignment horizontal="right"/>
    </xf>
    <xf numFmtId="4" fontId="16" fillId="0" borderId="4" xfId="0" applyNumberFormat="1" applyFont="1" applyBorder="1" applyAlignment="1">
      <alignment horizontal="right"/>
    </xf>
    <xf numFmtId="0" fontId="35" fillId="0" borderId="52" xfId="0" applyFont="1" applyBorder="1"/>
    <xf numFmtId="2" fontId="29" fillId="0" borderId="30" xfId="0" applyNumberFormat="1" applyFont="1" applyBorder="1" applyAlignment="1">
      <alignment vertical="center"/>
    </xf>
    <xf numFmtId="4" fontId="50" fillId="0" borderId="0" xfId="0" applyNumberFormat="1" applyFont="1"/>
    <xf numFmtId="4" fontId="29" fillId="0" borderId="22" xfId="0" applyNumberFormat="1" applyFont="1" applyBorder="1" applyAlignment="1">
      <alignment horizontal="right" wrapText="1"/>
    </xf>
    <xf numFmtId="4" fontId="29" fillId="0" borderId="48" xfId="0" applyNumberFormat="1" applyFont="1" applyBorder="1" applyAlignment="1">
      <alignment wrapText="1"/>
    </xf>
    <xf numFmtId="0" fontId="51" fillId="0" borderId="0" xfId="0" applyFont="1" applyAlignment="1">
      <alignment vertical="top" wrapText="1"/>
    </xf>
    <xf numFmtId="0" fontId="50" fillId="0" borderId="0" xfId="0" applyFont="1" applyAlignment="1">
      <alignment horizontal="center" vertical="center"/>
    </xf>
    <xf numFmtId="0" fontId="74" fillId="0" borderId="0" xfId="0" applyFont="1" applyAlignment="1">
      <alignment horizontal="left"/>
    </xf>
    <xf numFmtId="0" fontId="59" fillId="0" borderId="0" xfId="0" applyFont="1"/>
    <xf numFmtId="4" fontId="49" fillId="0" borderId="0" xfId="0" applyNumberFormat="1" applyFont="1"/>
    <xf numFmtId="4" fontId="54" fillId="0" borderId="0" xfId="0" applyNumberFormat="1" applyFont="1"/>
    <xf numFmtId="0" fontId="54" fillId="0" borderId="0" xfId="0" applyFont="1"/>
    <xf numFmtId="0" fontId="71" fillId="0" borderId="0" xfId="0" applyFont="1"/>
    <xf numFmtId="4" fontId="53" fillId="0" borderId="0" xfId="0" applyNumberFormat="1" applyFont="1"/>
    <xf numFmtId="43" fontId="64" fillId="0" borderId="0" xfId="27" applyFont="1" applyFill="1"/>
    <xf numFmtId="4" fontId="76" fillId="6" borderId="3" xfId="0" applyNumberFormat="1" applyFont="1" applyFill="1" applyBorder="1" applyAlignment="1">
      <alignment wrapText="1"/>
    </xf>
    <xf numFmtId="4" fontId="40" fillId="9" borderId="27" xfId="5" applyNumberFormat="1" applyFont="1" applyFill="1" applyBorder="1" applyAlignment="1">
      <alignment horizontal="right"/>
    </xf>
    <xf numFmtId="4" fontId="29" fillId="0" borderId="0" xfId="0" applyNumberFormat="1" applyFont="1" applyBorder="1" applyAlignment="1">
      <alignment horizontal="center" vertical="center"/>
    </xf>
    <xf numFmtId="4" fontId="29" fillId="0" borderId="0" xfId="0" applyNumberFormat="1" applyFont="1" applyBorder="1" applyAlignment="1">
      <alignment horizontal="right"/>
    </xf>
    <xf numFmtId="4" fontId="29" fillId="0" borderId="0" xfId="0" applyNumberFormat="1" applyFont="1" applyBorder="1"/>
    <xf numFmtId="4" fontId="29" fillId="0" borderId="0" xfId="0" applyNumberFormat="1" applyFont="1" applyBorder="1" applyAlignment="1">
      <alignment horizontal="right" vertical="center" wrapText="1"/>
    </xf>
    <xf numFmtId="4" fontId="29" fillId="0" borderId="0" xfId="0" applyNumberFormat="1" applyFont="1" applyBorder="1" applyAlignment="1">
      <alignment wrapText="1"/>
    </xf>
    <xf numFmtId="4" fontId="29" fillId="6" borderId="0" xfId="0" applyNumberFormat="1" applyFont="1" applyFill="1" applyBorder="1" applyAlignment="1">
      <alignment horizontal="right"/>
    </xf>
    <xf numFmtId="4" fontId="29" fillId="0" borderId="28" xfId="0" applyNumberFormat="1" applyFont="1" applyBorder="1" applyAlignment="1">
      <alignment horizontal="right"/>
    </xf>
    <xf numFmtId="9" fontId="13" fillId="0" borderId="53" xfId="0" applyNumberFormat="1" applyFont="1" applyBorder="1" applyAlignment="1">
      <alignment horizontal="right"/>
    </xf>
    <xf numFmtId="9" fontId="13" fillId="0" borderId="0" xfId="0" applyNumberFormat="1" applyFont="1" applyBorder="1" applyAlignment="1">
      <alignment horizontal="right"/>
    </xf>
    <xf numFmtId="4" fontId="63" fillId="8" borderId="0" xfId="0" applyNumberFormat="1" applyFont="1" applyFill="1" applyBorder="1" applyAlignment="1">
      <alignment horizontal="right"/>
    </xf>
    <xf numFmtId="9" fontId="44" fillId="0" borderId="0" xfId="0" applyNumberFormat="1" applyFont="1" applyBorder="1" applyAlignment="1">
      <alignment horizontal="right"/>
    </xf>
    <xf numFmtId="0" fontId="47" fillId="0" borderId="0" xfId="0" applyFont="1" applyAlignment="1">
      <alignment horizontal="right" vertical="top" wrapText="1"/>
    </xf>
    <xf numFmtId="4" fontId="40" fillId="9" borderId="27" xfId="5" applyNumberFormat="1" applyFont="1" applyFill="1" applyBorder="1" applyAlignment="1">
      <alignment horizontal="right"/>
    </xf>
    <xf numFmtId="4" fontId="40" fillId="9" borderId="33" xfId="5" applyNumberFormat="1" applyFont="1" applyFill="1" applyBorder="1" applyAlignment="1">
      <alignment horizontal="right"/>
    </xf>
  </cellXfs>
  <cellStyles count="40">
    <cellStyle name="20% — акцент1" xfId="1" builtinId="30"/>
    <cellStyle name="20% — акцент2" xfId="2" builtinId="34"/>
    <cellStyle name="Comma 2" xfId="3" xr:uid="{00000000-0005-0000-0000-000002000000}"/>
    <cellStyle name="Excel Built-in Normal" xfId="23" xr:uid="{82E24039-CFBE-4473-81FB-ADF6F456B774}"/>
    <cellStyle name="Normal 2" xfId="4" xr:uid="{00000000-0005-0000-0000-000003000000}"/>
    <cellStyle name="Normal 3" xfId="37" xr:uid="{FB953CA3-ECCD-4308-8AE6-CC250E52705D}"/>
    <cellStyle name="Normal 3 108" xfId="22" xr:uid="{CADCB54A-21D0-4B2B-B2EB-C52FCFE8432D}"/>
    <cellStyle name="Акцент1" xfId="5" builtinId="29"/>
    <cellStyle name="Відсотковий 2" xfId="30" xr:uid="{737D878D-30F3-4C96-A847-1492D75AAE75}"/>
    <cellStyle name="Відсотковий 3" xfId="36" xr:uid="{6A01F1BB-E864-4D6B-82C6-684658BD8488}"/>
    <cellStyle name="Заголовок 1" xfId="6" builtinId="16"/>
    <cellStyle name="Звичайний 2" xfId="20" xr:uid="{A9CD28C3-8051-44F6-8669-F97BE043CB5F}"/>
    <cellStyle name="Звичайний 3" xfId="29" xr:uid="{984DAB59-8870-4FCD-8360-3779E070C8AB}"/>
    <cellStyle name="Звичайний 4" xfId="34" xr:uid="{D365E80E-C5D8-4C5E-AAA1-E9230431CCA1}"/>
    <cellStyle name="Итог" xfId="7" builtinId="25"/>
    <cellStyle name="Название 2" xfId="8" xr:uid="{00000000-0005-0000-0000-000007000000}"/>
    <cellStyle name="Обычный" xfId="0" builtinId="0"/>
    <cellStyle name="Обычный 11 2" xfId="21" xr:uid="{6AD1747B-9606-49AA-B2B4-1C96D8B0AC06}"/>
    <cellStyle name="Обычный 12_Розрахунок СПС Мегамол 14.02.2020 поділений Сінема Сіті" xfId="25" xr:uid="{71BFD6D3-BF1D-4B58-889A-7B93B0FA5FF4}"/>
    <cellStyle name="Обычный 16" xfId="16" xr:uid="{00000000-0005-0000-0000-000009000000}"/>
    <cellStyle name="Обычный 2" xfId="11" xr:uid="{00000000-0005-0000-0000-00000A000000}"/>
    <cellStyle name="Обычный 2 2" xfId="10" xr:uid="{00000000-0005-0000-0000-00000B000000}"/>
    <cellStyle name="Обычный 2 2 2" xfId="28" xr:uid="{7737F4B2-21D9-48B9-8DFD-EF33073A72F4}"/>
    <cellStyle name="Обычный 2 2 2 2" xfId="38" xr:uid="{3961A4B2-7508-497A-AEE6-D058DE2A13AF}"/>
    <cellStyle name="Обычный 2 3" xfId="18" xr:uid="{00000000-0005-0000-0000-00000C000000}"/>
    <cellStyle name="Обычный 2 7" xfId="24" xr:uid="{FCF5C167-9630-4DAA-ADB4-AFDF2AF07F95}"/>
    <cellStyle name="Обычный 3" xfId="17" xr:uid="{00000000-0005-0000-0000-00000D000000}"/>
    <cellStyle name="Обычный 4" xfId="32" xr:uid="{6AABAB40-3C54-424E-A3F8-5C16C01F81EE}"/>
    <cellStyle name="Пояснение" xfId="15" builtinId="53"/>
    <cellStyle name="Пояснение 2" xfId="13" xr:uid="{00000000-0005-0000-0000-000010000000}"/>
    <cellStyle name="Пояснение 2 2" xfId="31" xr:uid="{C8B1C907-6576-4B0B-BAB5-258125F5505E}"/>
    <cellStyle name="Процентный 2" xfId="12" xr:uid="{00000000-0005-0000-0000-000012000000}"/>
    <cellStyle name="Процентный 3" xfId="33" xr:uid="{7C9F1067-8715-4977-B284-2C161EDFC967}"/>
    <cellStyle name="Финансовый" xfId="27" builtinId="3"/>
    <cellStyle name="Финансовый 10 2" xfId="26" xr:uid="{7EDF0FC4-E28C-460E-910E-CB503EAA1254}"/>
    <cellStyle name="Финансовый 2" xfId="9" xr:uid="{00000000-0005-0000-0000-000013000000}"/>
    <cellStyle name="Финансовый 3" xfId="14" xr:uid="{00000000-0005-0000-0000-000014000000}"/>
    <cellStyle name="Финансовый 4" xfId="39" xr:uid="{7E14F6E6-8A85-43C8-A067-2626E47156C0}"/>
    <cellStyle name="Фінансовий 2" xfId="19" xr:uid="{00000000-0005-0000-0000-000015000000}"/>
    <cellStyle name="Фінансовий 3" xfId="35" xr:uid="{6DEA08A5-1CC0-4783-9396-364697CED4D1}"/>
  </cellStyles>
  <dxfs count="3">
    <dxf>
      <fill>
        <patternFill patternType="solid">
          <fgColor rgb="FFE57B7F"/>
          <bgColor rgb="FFE57B7F"/>
        </patternFill>
      </fill>
    </dxf>
    <dxf>
      <fill>
        <patternFill patternType="solid">
          <fgColor rgb="FFE57B7F"/>
          <bgColor rgb="FFE57B7F"/>
        </patternFill>
      </fill>
    </dxf>
    <dxf>
      <font>
        <sz val="11"/>
        <color rgb="FF00000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4;&#1073;&#1097;&#1080;&#1077;%20&#1076;&#1080;&#1089;&#1082;&#1080;\Smeta\&#1050;&#1086;&#1076;&#1072;&#1094;&#1082;&#1072;&#1103;\2018\&#1052;&#1072;&#1075;&#1072;&#1079;&#1080;&#1085;&#1099;\PRL%20(&#1056;&#1072;&#1083;&#1100;&#1092;%20&#1051;&#1086;&#1088;&#1077;&#1085;)\Ocean%20Plaza\14-03-05_PLS%20Revision_Annex%201.X.%20Structural&amp;Civil%20works%20Bill%20of%20Quant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COSTS"/>
      <sheetName val="MEZZANINE"/>
      <sheetName val="BASEMENT"/>
      <sheetName val="FACAD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Essential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06729-A739-4848-B580-7D8919B6B6F1}">
  <dimension ref="A1:HX252"/>
  <sheetViews>
    <sheetView tabSelected="1" zoomScale="70" zoomScaleNormal="70" workbookViewId="0">
      <selection activeCell="E243" sqref="E243"/>
    </sheetView>
  </sheetViews>
  <sheetFormatPr defaultRowHeight="13.8" x14ac:dyDescent="0.25"/>
  <cols>
    <col min="1" max="1" width="4" customWidth="1"/>
    <col min="2" max="2" width="58.69921875" customWidth="1"/>
    <col min="3" max="3" width="8" style="190" customWidth="1"/>
    <col min="4" max="4" width="13.3984375" style="225" customWidth="1"/>
    <col min="5" max="6" width="16.5" style="225" customWidth="1"/>
    <col min="7" max="7" width="18.59765625" style="225" customWidth="1"/>
    <col min="8" max="8" width="52.59765625" customWidth="1"/>
    <col min="9" max="9" width="7" style="190" customWidth="1"/>
    <col min="10" max="10" width="10" style="225" customWidth="1"/>
    <col min="11" max="11" width="11.3984375" style="225" customWidth="1"/>
    <col min="12" max="12" width="22.5" style="225" customWidth="1"/>
    <col min="13" max="13" width="11.296875" style="94" customWidth="1"/>
    <col min="14" max="15" width="12.59765625" bestFit="1" customWidth="1"/>
  </cols>
  <sheetData>
    <row r="1" spans="1:34" ht="13.5" customHeight="1" thickBot="1" x14ac:dyDescent="0.3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35"/>
      <c r="N1" s="78"/>
      <c r="O1" s="78"/>
      <c r="P1" s="78"/>
    </row>
    <row r="2" spans="1:34" s="166" customFormat="1" ht="25.8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238</v>
      </c>
      <c r="F2" s="2"/>
      <c r="G2" s="2" t="s">
        <v>4</v>
      </c>
      <c r="H2" s="2" t="s">
        <v>5</v>
      </c>
      <c r="I2" s="2" t="s">
        <v>2</v>
      </c>
      <c r="J2" s="2" t="s">
        <v>3</v>
      </c>
      <c r="K2" s="2" t="s">
        <v>238</v>
      </c>
      <c r="L2" s="139" t="s">
        <v>4</v>
      </c>
      <c r="M2" s="336"/>
    </row>
    <row r="3" spans="1:34" s="3" customFormat="1" x14ac:dyDescent="0.25">
      <c r="A3" s="1"/>
      <c r="B3" s="4"/>
      <c r="C3" s="171"/>
      <c r="D3" s="200"/>
      <c r="E3" s="200"/>
      <c r="F3" s="200"/>
      <c r="G3" s="200"/>
      <c r="H3" s="4"/>
      <c r="I3" s="171"/>
      <c r="J3" s="200"/>
      <c r="K3" s="200"/>
      <c r="L3" s="200"/>
      <c r="M3" s="93"/>
    </row>
    <row r="4" spans="1:34" s="25" customFormat="1" ht="19.2" thickBot="1" x14ac:dyDescent="0.35">
      <c r="A4" s="105"/>
      <c r="B4" s="22"/>
      <c r="C4" s="172"/>
      <c r="D4" s="201"/>
      <c r="E4" s="201"/>
      <c r="F4" s="201"/>
      <c r="G4" s="155" t="s">
        <v>6</v>
      </c>
      <c r="H4" s="23"/>
      <c r="I4" s="172"/>
      <c r="J4" s="201"/>
      <c r="K4" s="201"/>
      <c r="L4" s="155">
        <f>SUBTOTAL(9,G5:G14,L5:L14)</f>
        <v>0</v>
      </c>
      <c r="M4" s="95"/>
    </row>
    <row r="5" spans="1:34" s="5" customFormat="1" ht="13.2" x14ac:dyDescent="0.25">
      <c r="A5" s="106"/>
      <c r="B5" s="107"/>
      <c r="C5" s="109"/>
      <c r="D5" s="202"/>
      <c r="E5" s="202"/>
      <c r="F5" s="202"/>
      <c r="G5" s="202"/>
      <c r="H5" s="108"/>
      <c r="I5" s="109"/>
      <c r="J5" s="202"/>
      <c r="K5" s="328"/>
      <c r="L5" s="226"/>
      <c r="M5" s="7"/>
      <c r="N5" s="1"/>
    </row>
    <row r="6" spans="1:34" s="45" customFormat="1" ht="13.2" x14ac:dyDescent="0.25">
      <c r="A6" s="158">
        <f>IF(ISBLANK(D6),"",COUNTA(D$2:D5))</f>
        <v>1</v>
      </c>
      <c r="B6" s="44" t="s">
        <v>155</v>
      </c>
      <c r="C6" s="49" t="s">
        <v>7</v>
      </c>
      <c r="D6" s="49">
        <f>17.4+20.57+22.44+17.52</f>
        <v>77.929999999999993</v>
      </c>
      <c r="E6" s="49"/>
      <c r="F6" s="49"/>
      <c r="G6" s="251">
        <f t="shared" ref="G6:G13" si="0">IF(ISBLANK(D6),"",E6*D6)</f>
        <v>0</v>
      </c>
      <c r="H6" s="174"/>
      <c r="I6" s="80"/>
      <c r="J6" s="56"/>
      <c r="K6" s="57"/>
      <c r="L6" s="231"/>
      <c r="M6" s="50"/>
      <c r="N6" s="50"/>
    </row>
    <row r="7" spans="1:34" s="52" customFormat="1" x14ac:dyDescent="0.25">
      <c r="A7" s="158">
        <f>IF(ISBLANK(D7),"",COUNTA(D$2:D6))</f>
        <v>2</v>
      </c>
      <c r="B7" s="49" t="s">
        <v>148</v>
      </c>
      <c r="C7" s="49" t="s">
        <v>7</v>
      </c>
      <c r="D7" s="49">
        <f>288+271.6</f>
        <v>559.6</v>
      </c>
      <c r="E7" s="49"/>
      <c r="F7" s="49"/>
      <c r="G7" s="251">
        <f t="shared" si="0"/>
        <v>0</v>
      </c>
      <c r="H7" s="49"/>
      <c r="I7" s="49"/>
      <c r="J7" s="49"/>
      <c r="K7" s="49"/>
      <c r="L7" s="266" t="str">
        <f>IF(ISBLANK(J7),"",K7*J7)</f>
        <v/>
      </c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s="50" customFormat="1" ht="26.4" x14ac:dyDescent="0.25">
      <c r="A8" s="158">
        <f>IF(ISBLANK(D8),"",COUNTA(D$2:D7))</f>
        <v>3</v>
      </c>
      <c r="B8" s="44" t="s">
        <v>159</v>
      </c>
      <c r="C8" s="43" t="s">
        <v>12</v>
      </c>
      <c r="D8" s="251">
        <f>21.64+19.15</f>
        <v>40.79</v>
      </c>
      <c r="E8" s="43"/>
      <c r="F8" s="43"/>
      <c r="G8" s="251">
        <f t="shared" si="0"/>
        <v>0</v>
      </c>
      <c r="H8" s="44" t="s">
        <v>130</v>
      </c>
      <c r="I8" s="251" t="s">
        <v>8</v>
      </c>
      <c r="J8" s="49">
        <v>10</v>
      </c>
      <c r="K8" s="251"/>
      <c r="L8" s="251">
        <f>IF(ISBLANK(J8),"",K8*J8)</f>
        <v>0</v>
      </c>
    </row>
    <row r="9" spans="1:34" s="52" customFormat="1" ht="14.4" customHeight="1" x14ac:dyDescent="0.25">
      <c r="A9" s="158">
        <f>IF(ISBLANK(D9),"",COUNTA(D$2:D8))</f>
        <v>4</v>
      </c>
      <c r="B9" s="273" t="s">
        <v>9</v>
      </c>
      <c r="C9" s="274" t="s">
        <v>7</v>
      </c>
      <c r="D9" s="275">
        <f>257.11</f>
        <v>257.11</v>
      </c>
      <c r="E9" s="56"/>
      <c r="F9" s="56"/>
      <c r="G9" s="251">
        <f t="shared" si="0"/>
        <v>0</v>
      </c>
      <c r="H9" s="262"/>
      <c r="I9" s="276"/>
      <c r="J9" s="277"/>
      <c r="K9" s="57"/>
      <c r="L9" s="251" t="str">
        <f>IF(ISBLANK(J9),"",K9*J9)</f>
        <v/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4" s="52" customFormat="1" ht="14.4" customHeight="1" x14ac:dyDescent="0.25">
      <c r="A10" s="158" t="str">
        <f>IF(ISBLANK(D10),"",COUNTA(D$2:D9))</f>
        <v/>
      </c>
      <c r="B10" s="278" t="s">
        <v>10</v>
      </c>
      <c r="C10" s="174"/>
      <c r="D10" s="104"/>
      <c r="E10" s="56"/>
      <c r="F10" s="56"/>
      <c r="G10" s="251" t="str">
        <f t="shared" si="0"/>
        <v/>
      </c>
      <c r="H10" s="279"/>
      <c r="I10" s="162"/>
      <c r="J10" s="160"/>
      <c r="K10" s="57"/>
      <c r="L10" s="251" t="str">
        <f>IF(ISBLANK(J10),"",K10*J10)</f>
        <v/>
      </c>
      <c r="M10" s="337"/>
    </row>
    <row r="11" spans="1:34" s="52" customFormat="1" ht="14.4" customHeight="1" x14ac:dyDescent="0.25">
      <c r="A11" s="158">
        <f>IF(ISBLANK(D11),"",COUNTA(D$2:D10))</f>
        <v>5</v>
      </c>
      <c r="B11" s="273" t="s">
        <v>11</v>
      </c>
      <c r="C11" s="274" t="s">
        <v>12</v>
      </c>
      <c r="D11" s="275">
        <f>19.15*1.4+5.4/1.6+34.624*1.4+5.76/1.6</f>
        <v>82.258599999999987</v>
      </c>
      <c r="E11" s="56"/>
      <c r="F11" s="56"/>
      <c r="G11" s="251">
        <f t="shared" si="0"/>
        <v>0</v>
      </c>
      <c r="H11" s="44"/>
      <c r="I11" s="80"/>
      <c r="J11" s="56"/>
      <c r="K11" s="57"/>
      <c r="L11" s="251" t="str">
        <f>IF(ISBLANK(J11),"",K11*J11)</f>
        <v/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4" s="52" customFormat="1" ht="14.4" customHeight="1" x14ac:dyDescent="0.25">
      <c r="A12" s="158">
        <f>IF(ISBLANK(D12),"",COUNTA(D$2:D11))</f>
        <v>6</v>
      </c>
      <c r="B12" s="44" t="s">
        <v>13</v>
      </c>
      <c r="C12" s="80" t="s">
        <v>14</v>
      </c>
      <c r="D12" s="56">
        <f>CEILING(D11/8,1)</f>
        <v>11</v>
      </c>
      <c r="E12" s="56"/>
      <c r="F12" s="56"/>
      <c r="G12" s="251">
        <f t="shared" si="0"/>
        <v>0</v>
      </c>
      <c r="H12" s="279"/>
      <c r="I12" s="162"/>
      <c r="J12" s="160"/>
      <c r="K12" s="57"/>
      <c r="L12" s="251" t="str">
        <f>IF(ISBLANK(J12),"",K12*J12)</f>
        <v/>
      </c>
      <c r="M12" s="337"/>
    </row>
    <row r="13" spans="1:34" s="52" customFormat="1" ht="14.4" customHeight="1" x14ac:dyDescent="0.25">
      <c r="A13" s="158">
        <f>IF(ISBLANK(D13),"",COUNTA(D$2:D12))</f>
        <v>7</v>
      </c>
      <c r="B13" s="44" t="s">
        <v>99</v>
      </c>
      <c r="C13" s="85" t="s">
        <v>14</v>
      </c>
      <c r="D13" s="56">
        <f>D12</f>
        <v>11</v>
      </c>
      <c r="E13" s="56"/>
      <c r="F13" s="56"/>
      <c r="G13" s="251">
        <f t="shared" si="0"/>
        <v>0</v>
      </c>
      <c r="H13" s="49" t="s">
        <v>15</v>
      </c>
      <c r="I13" s="80" t="s">
        <v>8</v>
      </c>
      <c r="J13" s="56">
        <f>CEILING(D11/0.05,10)</f>
        <v>1650</v>
      </c>
      <c r="K13" s="57"/>
      <c r="L13" s="251">
        <f>IF(ISBLANK(J13),"",K13*J13)</f>
        <v>0</v>
      </c>
      <c r="M13" s="337"/>
    </row>
    <row r="14" spans="1:34" s="65" customFormat="1" thickBot="1" x14ac:dyDescent="0.3">
      <c r="A14" s="161" t="str">
        <f>IF(ISBLANK(D14),"",COUNTA(D$2:D13))</f>
        <v/>
      </c>
      <c r="B14" s="110"/>
      <c r="C14" s="111"/>
      <c r="D14" s="112"/>
      <c r="E14" s="147"/>
      <c r="F14" s="147"/>
      <c r="G14" s="112"/>
      <c r="H14" s="110"/>
      <c r="I14" s="111"/>
      <c r="J14" s="227"/>
      <c r="K14" s="329"/>
      <c r="L14" s="228"/>
      <c r="M14" s="7"/>
      <c r="N14" s="7"/>
    </row>
    <row r="15" spans="1:34" s="3" customFormat="1" x14ac:dyDescent="0.25">
      <c r="A15" s="136"/>
      <c r="B15" s="137" t="s">
        <v>16</v>
      </c>
      <c r="C15" s="133"/>
      <c r="D15" s="132"/>
      <c r="E15" s="132"/>
      <c r="F15" s="132"/>
      <c r="G15" s="132">
        <f>SUBTOTAL(9,G5:G14)</f>
        <v>0</v>
      </c>
      <c r="H15" s="133" t="s">
        <v>17</v>
      </c>
      <c r="I15" s="133"/>
      <c r="J15" s="132"/>
      <c r="K15" s="132"/>
      <c r="L15" s="132">
        <f>SUBTOTAL(9,L4:L14)</f>
        <v>0</v>
      </c>
      <c r="M15" s="93"/>
    </row>
    <row r="16" spans="1:34" s="3" customFormat="1" x14ac:dyDescent="0.25">
      <c r="A16" s="136"/>
      <c r="B16" s="137"/>
      <c r="C16" s="133"/>
      <c r="D16" s="132"/>
      <c r="E16" s="132"/>
      <c r="F16" s="132"/>
      <c r="G16" s="132"/>
      <c r="H16" s="133"/>
      <c r="I16" s="133"/>
      <c r="J16" s="132"/>
      <c r="K16" s="132"/>
      <c r="L16" s="132"/>
      <c r="M16" s="93"/>
    </row>
    <row r="17" spans="1:232" s="29" customFormat="1" ht="19.2" thickBot="1" x14ac:dyDescent="0.35">
      <c r="A17" s="27" t="str">
        <f>IF(ISBLANK(D17),"",COUNTA(#REF!))</f>
        <v/>
      </c>
      <c r="B17" s="22"/>
      <c r="C17" s="172"/>
      <c r="D17" s="201"/>
      <c r="E17" s="201"/>
      <c r="F17" s="201"/>
      <c r="G17" s="155" t="s">
        <v>18</v>
      </c>
      <c r="H17" s="23"/>
      <c r="I17" s="172"/>
      <c r="J17" s="201"/>
      <c r="K17" s="229"/>
      <c r="L17" s="155">
        <f>SUBTOTAL(9,G18:G46,L18:L46)</f>
        <v>0</v>
      </c>
      <c r="M17" s="95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</row>
    <row r="18" spans="1:232" s="66" customFormat="1" ht="13.2" x14ac:dyDescent="0.25">
      <c r="A18" s="42" t="str">
        <f>IF(ISBLANK(D18),"",COUNTA(D$17:D17))</f>
        <v/>
      </c>
      <c r="B18" s="64"/>
      <c r="C18" s="60"/>
      <c r="D18" s="203"/>
      <c r="E18" s="74"/>
      <c r="F18" s="74"/>
      <c r="G18" s="74"/>
      <c r="H18" s="17"/>
      <c r="I18" s="18"/>
      <c r="J18" s="74"/>
      <c r="K18" s="207"/>
      <c r="L18" s="230"/>
      <c r="M18" s="7"/>
      <c r="N18" s="7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</row>
    <row r="19" spans="1:232" s="52" customFormat="1" ht="15" customHeight="1" x14ac:dyDescent="0.25">
      <c r="A19" s="158" t="str">
        <f>IF(ISBLANK(D19),"",COUNTA(D$4:D19))</f>
        <v/>
      </c>
      <c r="B19" s="164" t="s">
        <v>25</v>
      </c>
      <c r="C19" s="173"/>
      <c r="D19" s="61"/>
      <c r="E19" s="61"/>
      <c r="F19" s="61"/>
      <c r="G19" s="61" t="str">
        <f t="shared" ref="G19:G45" si="1">IF(ISBLANK(D19),"",E19*D19)</f>
        <v/>
      </c>
      <c r="H19" s="49"/>
      <c r="I19" s="85"/>
      <c r="J19" s="57"/>
      <c r="K19" s="57"/>
      <c r="L19" s="84" t="str">
        <f>IF(ISBLANK(J19),"",K19*J19)</f>
        <v/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232" s="52" customFormat="1" ht="15" customHeight="1" x14ac:dyDescent="0.25">
      <c r="A20" s="158">
        <f>IF(ISBLANK(D20),"",COUNTA(D$4:D20))</f>
        <v>8</v>
      </c>
      <c r="B20" s="49" t="s">
        <v>149</v>
      </c>
      <c r="C20" s="173" t="s">
        <v>7</v>
      </c>
      <c r="D20" s="61">
        <f>65.37+134.39+73.45+134.39</f>
        <v>407.59999999999997</v>
      </c>
      <c r="E20" s="61"/>
      <c r="F20" s="61"/>
      <c r="G20" s="61">
        <f t="shared" si="1"/>
        <v>0</v>
      </c>
      <c r="H20" s="49" t="s">
        <v>196</v>
      </c>
      <c r="I20" s="85" t="s">
        <v>7</v>
      </c>
      <c r="J20" s="57">
        <f>D20*1.1</f>
        <v>448.36</v>
      </c>
      <c r="K20" s="57"/>
      <c r="L20" s="84">
        <f>IF(ISBLANK(J20),"",K20*J20)</f>
        <v>0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232" s="52" customFormat="1" ht="15" customHeight="1" x14ac:dyDescent="0.25">
      <c r="A21" s="158">
        <f>IF(ISBLANK(D21),"",COUNTA(D$4:D21))</f>
        <v>9</v>
      </c>
      <c r="B21" s="49" t="s">
        <v>27</v>
      </c>
      <c r="C21" s="173" t="s">
        <v>7</v>
      </c>
      <c r="D21" s="61">
        <f>D22</f>
        <v>464.95</v>
      </c>
      <c r="E21" s="61"/>
      <c r="F21" s="61"/>
      <c r="G21" s="61">
        <f t="shared" si="1"/>
        <v>0</v>
      </c>
      <c r="H21" s="49" t="s">
        <v>28</v>
      </c>
      <c r="I21" s="173" t="s">
        <v>7</v>
      </c>
      <c r="J21" s="61">
        <f>D22*1.1</f>
        <v>511.44500000000005</v>
      </c>
      <c r="K21" s="89"/>
      <c r="L21" s="84">
        <f>IF(ISBLANK(J21),"",K21*J21)</f>
        <v>0</v>
      </c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232" s="52" customFormat="1" ht="26.4" x14ac:dyDescent="0.25">
      <c r="A22" s="158">
        <f>IF(ISBLANK(D22),"",COUNTA(D$4:D22))</f>
        <v>10</v>
      </c>
      <c r="B22" s="49" t="s">
        <v>150</v>
      </c>
      <c r="C22" s="173" t="s">
        <v>7</v>
      </c>
      <c r="D22" s="61">
        <f>65.37+134.39+57.35+73.45+134.39</f>
        <v>464.95</v>
      </c>
      <c r="E22" s="61"/>
      <c r="F22" s="61"/>
      <c r="G22" s="61">
        <f t="shared" si="1"/>
        <v>0</v>
      </c>
      <c r="H22" s="290" t="s">
        <v>181</v>
      </c>
      <c r="I22" s="271" t="s">
        <v>12</v>
      </c>
      <c r="J22" s="291">
        <f>0.075*D21*1.05</f>
        <v>36.614812499999999</v>
      </c>
      <c r="K22" s="330"/>
      <c r="L22" s="272">
        <f>IF(ISBLANK(J22),"",K22*J22)</f>
        <v>0</v>
      </c>
      <c r="M22" s="55"/>
      <c r="N22" s="282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232" s="52" customFormat="1" ht="15" customHeight="1" x14ac:dyDescent="0.25">
      <c r="A23" s="158" t="str">
        <f>IF(ISBLANK(D23),"",COUNTA(D$4:D23))</f>
        <v/>
      </c>
      <c r="B23" s="49"/>
      <c r="C23" s="173"/>
      <c r="D23" s="61"/>
      <c r="E23" s="61"/>
      <c r="F23" s="61"/>
      <c r="G23" s="61"/>
      <c r="H23" s="49" t="s">
        <v>30</v>
      </c>
      <c r="I23" s="173" t="s">
        <v>26</v>
      </c>
      <c r="J23" s="61">
        <f>CEILING(0.108*D21,0.01)</f>
        <v>50.22</v>
      </c>
      <c r="K23" s="55"/>
      <c r="L23" s="84">
        <f>IF(ISBLANK(J23),"",K23*J23)</f>
        <v>0</v>
      </c>
      <c r="M23" s="55"/>
      <c r="N23" s="283"/>
      <c r="O23" s="55"/>
      <c r="P23" s="283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232" s="52" customFormat="1" ht="15" customHeight="1" x14ac:dyDescent="0.25">
      <c r="A24" s="158" t="str">
        <f>IF(ISBLANK(D24),"",COUNTA(D$4:D24))</f>
        <v/>
      </c>
      <c r="B24" s="49"/>
      <c r="C24" s="173"/>
      <c r="D24" s="61"/>
      <c r="E24" s="61"/>
      <c r="F24" s="61"/>
      <c r="G24" s="61" t="str">
        <f t="shared" si="1"/>
        <v/>
      </c>
      <c r="H24" s="49" t="s">
        <v>31</v>
      </c>
      <c r="I24" s="85" t="s">
        <v>7</v>
      </c>
      <c r="J24" s="57">
        <f>D22*1.1</f>
        <v>511.44500000000005</v>
      </c>
      <c r="K24" s="57"/>
      <c r="L24" s="84">
        <f>IF(ISBLANK(J24),"",K24*J24)</f>
        <v>0</v>
      </c>
      <c r="M24" s="55"/>
      <c r="N24" s="283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232" s="52" customFormat="1" ht="15" customHeight="1" x14ac:dyDescent="0.25">
      <c r="A25" s="158" t="str">
        <f>IF(ISBLANK(D25),"",COUNTA(D$4:D25))</f>
        <v/>
      </c>
      <c r="B25" s="49"/>
      <c r="C25" s="173"/>
      <c r="D25" s="61"/>
      <c r="E25" s="61"/>
      <c r="F25" s="61"/>
      <c r="G25" s="61" t="str">
        <f t="shared" si="1"/>
        <v/>
      </c>
      <c r="H25" s="49"/>
      <c r="I25" s="85"/>
      <c r="J25" s="57"/>
      <c r="K25" s="57"/>
      <c r="L25" s="84" t="str">
        <f>IF(ISBLANK(J25),"",K25*J25)</f>
        <v/>
      </c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</row>
    <row r="26" spans="1:232" s="52" customFormat="1" ht="15" customHeight="1" x14ac:dyDescent="0.25">
      <c r="A26" s="158" t="str">
        <f>IF(ISBLANK(D26),"",COUNTA(D$4:D26))</f>
        <v/>
      </c>
      <c r="B26" s="164" t="s">
        <v>160</v>
      </c>
      <c r="C26" s="173"/>
      <c r="D26" s="61"/>
      <c r="E26" s="61"/>
      <c r="F26" s="61"/>
      <c r="G26" s="61" t="str">
        <f t="shared" si="1"/>
        <v/>
      </c>
      <c r="H26" s="49"/>
      <c r="I26" s="85"/>
      <c r="J26" s="57"/>
      <c r="K26" s="57"/>
      <c r="L26" s="84" t="str">
        <f>IF(ISBLANK(J26),"",K26*J26)</f>
        <v/>
      </c>
      <c r="M26" s="282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</row>
    <row r="27" spans="1:232" s="52" customFormat="1" ht="26.4" x14ac:dyDescent="0.25">
      <c r="A27" s="158">
        <f>IF(ISBLANK(D27),"",COUNTA(D$4:D27))</f>
        <v>11</v>
      </c>
      <c r="B27" s="49" t="s">
        <v>32</v>
      </c>
      <c r="C27" s="173" t="s">
        <v>7</v>
      </c>
      <c r="D27" s="61">
        <v>57.35</v>
      </c>
      <c r="E27" s="61"/>
      <c r="F27" s="61"/>
      <c r="G27" s="61">
        <f t="shared" si="1"/>
        <v>0</v>
      </c>
      <c r="H27" s="89" t="s">
        <v>33</v>
      </c>
      <c r="I27" s="173" t="s">
        <v>26</v>
      </c>
      <c r="J27" s="61">
        <f>CEILING(D27*0.4,1)</f>
        <v>23</v>
      </c>
      <c r="K27" s="57"/>
      <c r="L27" s="84">
        <f>IF(ISBLANK(J27),"",K27*J27)</f>
        <v>0</v>
      </c>
      <c r="M27" s="282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</row>
    <row r="28" spans="1:232" s="52" customFormat="1" ht="15" customHeight="1" x14ac:dyDescent="0.25">
      <c r="A28" s="158">
        <f>IF(ISBLANK(D28),"",COUNTA(D$4:D28))</f>
        <v>12</v>
      </c>
      <c r="B28" s="49" t="s">
        <v>34</v>
      </c>
      <c r="C28" s="173" t="s">
        <v>7</v>
      </c>
      <c r="D28" s="61">
        <f>D27</f>
        <v>57.35</v>
      </c>
      <c r="E28" s="61"/>
      <c r="F28" s="61"/>
      <c r="G28" s="61">
        <f t="shared" si="1"/>
        <v>0</v>
      </c>
      <c r="H28" s="88"/>
      <c r="I28" s="85"/>
      <c r="J28" s="57"/>
      <c r="K28" s="57"/>
      <c r="L28" s="84"/>
      <c r="M28" s="283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</row>
    <row r="29" spans="1:232" s="94" customFormat="1" x14ac:dyDescent="0.25">
      <c r="A29" s="158" t="str">
        <f>IF(ISBLANK(D29),"",COUNTA(D$4:D29))</f>
        <v/>
      </c>
      <c r="B29" s="163"/>
      <c r="C29" s="292"/>
      <c r="D29" s="293"/>
      <c r="E29" s="293"/>
      <c r="F29" s="347"/>
      <c r="G29" s="61"/>
      <c r="H29" s="290" t="s">
        <v>203</v>
      </c>
      <c r="I29" s="271" t="s">
        <v>26</v>
      </c>
      <c r="J29" s="291">
        <f>39.1+58.65</f>
        <v>97.75</v>
      </c>
      <c r="K29" s="291"/>
      <c r="L29" s="272">
        <f>IF(ISBLANK(J29),"",K29*J29)</f>
        <v>0</v>
      </c>
      <c r="M29" s="332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</row>
    <row r="30" spans="1:232" s="52" customFormat="1" ht="27" customHeight="1" x14ac:dyDescent="0.25">
      <c r="A30" s="158">
        <f>IF(ISBLANK(D30),"",COUNTA(D$4:D30))</f>
        <v>13</v>
      </c>
      <c r="B30" s="49" t="s">
        <v>35</v>
      </c>
      <c r="C30" s="173" t="s">
        <v>19</v>
      </c>
      <c r="D30" s="61">
        <f>57.35*1.2</f>
        <v>68.819999999999993</v>
      </c>
      <c r="E30" s="61"/>
      <c r="F30" s="61"/>
      <c r="G30" s="61">
        <f t="shared" si="1"/>
        <v>0</v>
      </c>
      <c r="H30" s="49" t="s">
        <v>36</v>
      </c>
      <c r="I30" s="173" t="s">
        <v>19</v>
      </c>
      <c r="J30" s="61">
        <f>D30*1.1</f>
        <v>75.701999999999998</v>
      </c>
      <c r="K30" s="57"/>
      <c r="L30" s="84">
        <f>IF(ISBLANK(J30),"",K30*J30)</f>
        <v>0</v>
      </c>
      <c r="N30" s="284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</row>
    <row r="31" spans="1:232" s="52" customFormat="1" ht="15" customHeight="1" x14ac:dyDescent="0.25">
      <c r="A31" s="158" t="str">
        <f>IF(ISBLANK(D31),"",COUNTA(D$4:D31))</f>
        <v/>
      </c>
      <c r="B31" s="164" t="s">
        <v>151</v>
      </c>
      <c r="C31" s="173"/>
      <c r="D31" s="61"/>
      <c r="E31" s="61"/>
      <c r="F31" s="61"/>
      <c r="G31" s="61" t="str">
        <f t="shared" si="1"/>
        <v/>
      </c>
      <c r="H31" s="49"/>
      <c r="I31" s="85"/>
      <c r="J31" s="57"/>
      <c r="K31" s="57"/>
      <c r="L31" s="84" t="str">
        <f>IF(ISBLANK(J31),"",K31*J31)</f>
        <v/>
      </c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</row>
    <row r="32" spans="1:232" s="50" customFormat="1" ht="14.4" customHeight="1" x14ac:dyDescent="0.25">
      <c r="A32" s="158">
        <f>IF(ISBLANK(D32),"",COUNTA(D$4:D32))</f>
        <v>14</v>
      </c>
      <c r="B32" s="49" t="s">
        <v>38</v>
      </c>
      <c r="C32" s="173" t="s">
        <v>7</v>
      </c>
      <c r="D32" s="61">
        <f>57.35+65.37+73.45</f>
        <v>196.17000000000002</v>
      </c>
      <c r="E32" s="61"/>
      <c r="F32" s="61"/>
      <c r="G32" s="61">
        <f t="shared" si="1"/>
        <v>0</v>
      </c>
      <c r="H32" s="49" t="s">
        <v>39</v>
      </c>
      <c r="I32" s="173" t="s">
        <v>21</v>
      </c>
      <c r="J32" s="61">
        <f>CEILING(D32*0.15,0.1)</f>
        <v>29.5</v>
      </c>
      <c r="K32" s="57"/>
      <c r="L32" s="84">
        <f>IF(ISBLANK(J32),"",K32*J32)</f>
        <v>0</v>
      </c>
    </row>
    <row r="33" spans="1:33" s="50" customFormat="1" ht="24.6" customHeight="1" x14ac:dyDescent="0.25">
      <c r="A33" s="158">
        <f>IF(ISBLANK(D33),"",COUNTA(D$4:D33))</f>
        <v>15</v>
      </c>
      <c r="B33" s="49" t="s">
        <v>44</v>
      </c>
      <c r="C33" s="173" t="s">
        <v>7</v>
      </c>
      <c r="D33" s="61">
        <f>D32</f>
        <v>196.17000000000002</v>
      </c>
      <c r="E33" s="61"/>
      <c r="F33" s="61"/>
      <c r="G33" s="61">
        <f t="shared" si="1"/>
        <v>0</v>
      </c>
      <c r="H33" s="88" t="s">
        <v>206</v>
      </c>
      <c r="I33" s="170" t="s">
        <v>7</v>
      </c>
      <c r="J33" s="204">
        <f>CEILING(D33*1.05,0.6*0.6)</f>
        <v>206.28</v>
      </c>
      <c r="K33" s="57"/>
      <c r="L33" s="84">
        <f>IF(ISBLANK(J33),"",K33*J33)</f>
        <v>0</v>
      </c>
    </row>
    <row r="34" spans="1:33" s="50" customFormat="1" ht="13.2" x14ac:dyDescent="0.25">
      <c r="A34" s="158" t="str">
        <f>IF(ISBLANK(D34),"",COUNTA(D$4:D34))</f>
        <v/>
      </c>
      <c r="B34" s="49"/>
      <c r="C34" s="173"/>
      <c r="D34" s="61"/>
      <c r="E34" s="61"/>
      <c r="F34" s="61"/>
      <c r="G34" s="61" t="str">
        <f t="shared" si="1"/>
        <v/>
      </c>
      <c r="H34" s="49" t="s">
        <v>40</v>
      </c>
      <c r="I34" s="173" t="s">
        <v>26</v>
      </c>
      <c r="J34" s="61">
        <f>CEILING(D33*6.5,1)</f>
        <v>1276</v>
      </c>
      <c r="K34" s="57"/>
      <c r="L34" s="84">
        <f>IF(ISBLANK(J34),"",K34*J34)</f>
        <v>0</v>
      </c>
    </row>
    <row r="35" spans="1:33" s="50" customFormat="1" ht="14.4" customHeight="1" x14ac:dyDescent="0.25">
      <c r="A35" s="158" t="str">
        <f>IF(ISBLANK(D35),"",COUNTA(D$4:D35))</f>
        <v/>
      </c>
      <c r="B35" s="49"/>
      <c r="C35" s="173"/>
      <c r="D35" s="61"/>
      <c r="E35" s="61"/>
      <c r="F35" s="61"/>
      <c r="G35" s="61" t="str">
        <f t="shared" si="1"/>
        <v/>
      </c>
      <c r="H35" s="49" t="s">
        <v>168</v>
      </c>
      <c r="I35" s="173" t="s">
        <v>26</v>
      </c>
      <c r="J35" s="61">
        <f>CEILING(D33*0.45,1)</f>
        <v>89</v>
      </c>
      <c r="L35" s="84">
        <f>IF(ISBLANK(J35),"",K35*J35)</f>
        <v>0</v>
      </c>
    </row>
    <row r="36" spans="1:33" s="52" customFormat="1" x14ac:dyDescent="0.25">
      <c r="A36" s="158" t="str">
        <f>IF(ISBLANK(D36),"",COUNTA(D$4:D36))</f>
        <v/>
      </c>
      <c r="B36" s="49"/>
      <c r="C36" s="85"/>
      <c r="D36" s="57"/>
      <c r="E36" s="61"/>
      <c r="F36" s="61"/>
      <c r="G36" s="61" t="str">
        <f t="shared" si="1"/>
        <v/>
      </c>
      <c r="H36" s="286" t="s">
        <v>41</v>
      </c>
      <c r="I36" s="85" t="s">
        <v>20</v>
      </c>
      <c r="J36" s="57">
        <f>CEILING(D33*10/200,1)</f>
        <v>10</v>
      </c>
      <c r="K36" s="57"/>
      <c r="L36" s="84">
        <f>IF(ISBLANK(J36),"",K36*J36)</f>
        <v>0</v>
      </c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1:33" s="52" customFormat="1" x14ac:dyDescent="0.25">
      <c r="A37" s="158" t="str">
        <f>IF(ISBLANK(D37),"",COUNTA(D$4:D37))</f>
        <v/>
      </c>
      <c r="B37" s="49"/>
      <c r="C37" s="85"/>
      <c r="D37" s="57"/>
      <c r="E37" s="61"/>
      <c r="F37" s="61"/>
      <c r="G37" s="61" t="str">
        <f t="shared" si="1"/>
        <v/>
      </c>
      <c r="H37" s="287" t="s">
        <v>42</v>
      </c>
      <c r="I37" s="85" t="s">
        <v>20</v>
      </c>
      <c r="J37" s="57">
        <f>CEILING(10*D33/500,1)</f>
        <v>4</v>
      </c>
      <c r="K37" s="57"/>
      <c r="L37" s="84">
        <f>IF(ISBLANK(J37),"",K37*J37)</f>
        <v>0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 spans="1:33" s="52" customFormat="1" x14ac:dyDescent="0.25">
      <c r="A38" s="158" t="str">
        <f>IF(ISBLANK(D38),"",COUNTA(D$4:D38))</f>
        <v/>
      </c>
      <c r="B38" s="49"/>
      <c r="C38" s="85"/>
      <c r="D38" s="57"/>
      <c r="E38" s="61"/>
      <c r="F38" s="61"/>
      <c r="G38" s="61" t="str">
        <f t="shared" si="1"/>
        <v/>
      </c>
      <c r="H38" s="49" t="s">
        <v>43</v>
      </c>
      <c r="I38" s="85" t="s">
        <v>8</v>
      </c>
      <c r="J38" s="57">
        <f>CEILING((D33+D34*0.095)*0.01,1)</f>
        <v>2</v>
      </c>
      <c r="K38" s="57"/>
      <c r="L38" s="84">
        <f>IF(ISBLANK(J38),"",K38*J38)</f>
        <v>0</v>
      </c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pans="1:33" s="103" customFormat="1" x14ac:dyDescent="0.25">
      <c r="A39" s="158" t="str">
        <f>IF(ISBLANK(D39),"",COUNTA(D$4:D39))</f>
        <v/>
      </c>
      <c r="B39" s="159" t="s">
        <v>152</v>
      </c>
      <c r="C39" s="249"/>
      <c r="D39" s="249"/>
      <c r="E39" s="249"/>
      <c r="F39" s="249"/>
      <c r="G39" s="61" t="str">
        <f t="shared" si="1"/>
        <v/>
      </c>
      <c r="H39" s="88"/>
      <c r="I39" s="249"/>
      <c r="J39" s="249"/>
      <c r="K39" s="249"/>
      <c r="L39" s="84" t="str">
        <f>IF(ISBLANK(J39),"",K39*J39)</f>
        <v/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103" customFormat="1" x14ac:dyDescent="0.25">
      <c r="A40" s="158">
        <f>IF(ISBLANK(D40),"",COUNTA(D$4:D40))</f>
        <v>16</v>
      </c>
      <c r="B40" s="88" t="s">
        <v>153</v>
      </c>
      <c r="C40" s="249" t="s">
        <v>7</v>
      </c>
      <c r="D40" s="249">
        <f>2*134.39</f>
        <v>268.77999999999997</v>
      </c>
      <c r="E40" s="88"/>
      <c r="F40" s="88"/>
      <c r="G40" s="61">
        <f t="shared" si="1"/>
        <v>0</v>
      </c>
      <c r="H40" s="288"/>
      <c r="I40" s="249"/>
      <c r="J40" s="249"/>
      <c r="K40" s="88"/>
      <c r="L40" s="84" t="str">
        <f>IF(ISBLANK(J40),"",K40*J40)</f>
        <v/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s="103" customFormat="1" x14ac:dyDescent="0.25">
      <c r="A41" s="158">
        <f>IF(ISBLANK(D41),"",COUNTA(D$4:D41))</f>
        <v>17</v>
      </c>
      <c r="B41" s="88" t="s">
        <v>22</v>
      </c>
      <c r="C41" s="88" t="s">
        <v>7</v>
      </c>
      <c r="D41" s="88">
        <f>D40</f>
        <v>268.77999999999997</v>
      </c>
      <c r="E41" s="88"/>
      <c r="F41" s="88"/>
      <c r="G41" s="61">
        <f t="shared" si="1"/>
        <v>0</v>
      </c>
      <c r="H41" s="88" t="s">
        <v>23</v>
      </c>
      <c r="I41" s="88" t="s">
        <v>24</v>
      </c>
      <c r="J41" s="88">
        <f>CEILING(0.037*D41,1)</f>
        <v>10</v>
      </c>
      <c r="K41" s="88"/>
      <c r="L41" s="84">
        <f>IF(ISBLANK(J41),"",K41*J41)</f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s="103" customFormat="1" ht="26.4" x14ac:dyDescent="0.25">
      <c r="A42" s="158">
        <f>IF(ISBLANK(D42),"",COUNTA(D$4:D42))</f>
        <v>18</v>
      </c>
      <c r="B42" s="88" t="s">
        <v>154</v>
      </c>
      <c r="C42" s="88" t="s">
        <v>7</v>
      </c>
      <c r="D42" s="88">
        <f>D41</f>
        <v>268.77999999999997</v>
      </c>
      <c r="E42" s="88"/>
      <c r="F42" s="88"/>
      <c r="G42" s="61">
        <f t="shared" si="1"/>
        <v>0</v>
      </c>
      <c r="H42" s="88" t="s">
        <v>216</v>
      </c>
      <c r="I42" s="88" t="s">
        <v>7</v>
      </c>
      <c r="J42" s="88">
        <f>D42*1.05</f>
        <v>282.21899999999999</v>
      </c>
      <c r="K42" s="88"/>
      <c r="L42" s="84">
        <f>IF(ISBLANK(J42),"",K42*J42)</f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s="103" customFormat="1" x14ac:dyDescent="0.25">
      <c r="A43" s="158" t="str">
        <f>IF(ISBLANK(D43),"",COUNTA(D$4:D43))</f>
        <v/>
      </c>
      <c r="B43" s="88"/>
      <c r="C43" s="88"/>
      <c r="D43" s="88"/>
      <c r="E43" s="88"/>
      <c r="F43" s="88"/>
      <c r="G43" s="61" t="str">
        <f t="shared" si="1"/>
        <v/>
      </c>
      <c r="H43" s="88" t="s">
        <v>195</v>
      </c>
      <c r="I43" s="88" t="s">
        <v>7</v>
      </c>
      <c r="J43" s="88">
        <f>D42*1.05</f>
        <v>282.21899999999999</v>
      </c>
      <c r="K43" s="3"/>
      <c r="L43" s="84">
        <f>IF(ISBLANK(J43),"",K43*J43)</f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s="103" customFormat="1" x14ac:dyDescent="0.25">
      <c r="A44" s="158">
        <f>IF(ISBLANK(D44),"",COUNTA(D$4:D44))</f>
        <v>19</v>
      </c>
      <c r="B44" s="88" t="s">
        <v>197</v>
      </c>
      <c r="C44" s="88" t="s">
        <v>19</v>
      </c>
      <c r="D44" s="249">
        <f>2*10</f>
        <v>20</v>
      </c>
      <c r="E44" s="88"/>
      <c r="F44" s="88"/>
      <c r="G44" s="61">
        <f t="shared" si="1"/>
        <v>0</v>
      </c>
      <c r="H44" s="88" t="s">
        <v>199</v>
      </c>
      <c r="I44" s="88" t="s">
        <v>19</v>
      </c>
      <c r="J44" s="249">
        <f>1.1*D44</f>
        <v>22</v>
      </c>
      <c r="K44" s="249"/>
      <c r="L44" s="84">
        <f>IF(ISBLANK(J44),"",K44*J44)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s="103" customFormat="1" x14ac:dyDescent="0.25">
      <c r="A45" s="158" t="str">
        <f>IF(ISBLANK(D45),"",COUNTA(D$4:D45))</f>
        <v/>
      </c>
      <c r="B45" s="88"/>
      <c r="C45" s="249"/>
      <c r="D45" s="249"/>
      <c r="E45" s="249"/>
      <c r="F45" s="249"/>
      <c r="G45" s="61" t="str">
        <f t="shared" si="1"/>
        <v/>
      </c>
      <c r="H45" s="88" t="s">
        <v>198</v>
      </c>
      <c r="I45" s="249" t="s">
        <v>8</v>
      </c>
      <c r="J45" s="249">
        <f>CEILING(0.09*D44,1)</f>
        <v>2</v>
      </c>
      <c r="K45" s="249"/>
      <c r="L45" s="84">
        <f>IF(ISBLANK(J45),"",K45*J45)</f>
        <v>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s="21" customFormat="1" thickBot="1" x14ac:dyDescent="0.3">
      <c r="A46" s="53" t="str">
        <f>IF(ISBLANK(D46),"",COUNTA(D$17:D43))</f>
        <v/>
      </c>
      <c r="B46" s="12"/>
      <c r="C46" s="10"/>
      <c r="D46" s="16"/>
      <c r="E46" s="16"/>
      <c r="F46" s="16"/>
      <c r="G46" s="16"/>
      <c r="H46" s="12"/>
      <c r="I46" s="10"/>
      <c r="J46" s="16"/>
      <c r="K46" s="214"/>
      <c r="L46" s="232"/>
      <c r="M46" s="7"/>
    </row>
    <row r="47" spans="1:33" s="97" customFormat="1" x14ac:dyDescent="0.25">
      <c r="A47" s="131" t="str">
        <f>IF(ISBLANK(D47),"",COUNTA(D$17:D46))</f>
        <v/>
      </c>
      <c r="B47" s="138" t="s">
        <v>16</v>
      </c>
      <c r="C47" s="135"/>
      <c r="D47" s="157"/>
      <c r="E47" s="157"/>
      <c r="F47" s="157"/>
      <c r="G47" s="157">
        <f>SUBTOTAL(9,G18:G46)</f>
        <v>0</v>
      </c>
      <c r="H47" s="135" t="s">
        <v>17</v>
      </c>
      <c r="I47" s="135"/>
      <c r="J47" s="157"/>
      <c r="K47" s="157"/>
      <c r="L47" s="157">
        <f>SUBTOTAL(9,L18:L46)</f>
        <v>0</v>
      </c>
    </row>
    <row r="48" spans="1:33" s="28" customFormat="1" ht="17.399999999999999" x14ac:dyDescent="0.3">
      <c r="A48" s="27" t="str">
        <f>IF(ISBLANK(D48),"",COUNTA(D$17:D47))</f>
        <v/>
      </c>
      <c r="B48" s="30"/>
      <c r="C48" s="31"/>
      <c r="D48" s="205"/>
      <c r="E48" s="205"/>
      <c r="F48" s="205"/>
      <c r="G48" s="205"/>
      <c r="H48" s="31"/>
      <c r="I48" s="31"/>
      <c r="J48" s="205"/>
      <c r="K48" s="233"/>
      <c r="L48" s="205"/>
    </row>
    <row r="49" spans="1:29" s="67" customFormat="1" ht="19.2" thickBot="1" x14ac:dyDescent="0.35">
      <c r="A49" s="68" t="str">
        <f>IF(ISBLANK(D49),"",COUNTA(D$17:D48))</f>
        <v/>
      </c>
      <c r="B49" s="69"/>
      <c r="C49" s="175"/>
      <c r="D49" s="155"/>
      <c r="E49" s="155"/>
      <c r="F49" s="155"/>
      <c r="G49" s="155" t="s">
        <v>45</v>
      </c>
      <c r="H49" s="24"/>
      <c r="I49" s="191"/>
      <c r="J49" s="155"/>
      <c r="K49" s="234"/>
      <c r="L49" s="155">
        <f>SUBTOTAL(9,G50:G125,L50:L125)</f>
        <v>0</v>
      </c>
      <c r="M49" s="100"/>
      <c r="N49" s="338"/>
      <c r="O49" s="101"/>
    </row>
    <row r="50" spans="1:29" s="65" customFormat="1" ht="20.399999999999999" customHeight="1" x14ac:dyDescent="0.25">
      <c r="A50" s="70" t="str">
        <f>IF(ISBLANK(D50),"",COUNTA(D$17:D49))</f>
        <v/>
      </c>
      <c r="B50" s="169"/>
      <c r="C50" s="71"/>
      <c r="D50" s="206"/>
      <c r="E50" s="207"/>
      <c r="F50" s="207"/>
      <c r="G50" s="207"/>
      <c r="H50" s="86"/>
      <c r="I50" s="87"/>
      <c r="J50" s="207"/>
      <c r="K50" s="207"/>
      <c r="L50" s="235"/>
      <c r="M50" s="96"/>
      <c r="N50" s="96"/>
      <c r="O50" s="98"/>
    </row>
    <row r="51" spans="1:29" s="94" customFormat="1" ht="12.75" customHeight="1" x14ac:dyDescent="0.25">
      <c r="A51" s="270" t="str">
        <f>IF(ISBLANK(D51),"",COUNTA(D$11:D51))</f>
        <v/>
      </c>
      <c r="B51" s="289" t="s">
        <v>131</v>
      </c>
      <c r="C51" s="271"/>
      <c r="D51" s="271"/>
      <c r="E51" s="271"/>
      <c r="F51" s="271"/>
      <c r="G51" s="271" t="str">
        <f t="shared" ref="G51:G107" si="2">IF(ISBLANK(D51),"",E51*D51)</f>
        <v/>
      </c>
      <c r="H51" s="271"/>
      <c r="I51" s="271"/>
      <c r="J51" s="271"/>
      <c r="K51" s="271"/>
      <c r="L51" s="272" t="str">
        <f>IF(ISBLANK(J51),"",K51*J51)</f>
        <v/>
      </c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</row>
    <row r="52" spans="1:29" s="94" customFormat="1" ht="36.6" customHeight="1" x14ac:dyDescent="0.25">
      <c r="A52" s="158">
        <f>IF(ISBLANK(D52),"",COUNTA(D$4:D52))</f>
        <v>20</v>
      </c>
      <c r="B52" s="290" t="s">
        <v>207</v>
      </c>
      <c r="C52" s="90" t="s">
        <v>12</v>
      </c>
      <c r="D52" s="291">
        <v>1.59</v>
      </c>
      <c r="E52" s="291"/>
      <c r="F52" s="348"/>
      <c r="G52" s="61">
        <f t="shared" si="2"/>
        <v>0</v>
      </c>
      <c r="H52" s="89" t="s">
        <v>180</v>
      </c>
      <c r="I52" s="271" t="s">
        <v>8</v>
      </c>
      <c r="J52" s="291">
        <f>CEILING(495*D52,1)</f>
        <v>788</v>
      </c>
      <c r="K52" s="291"/>
      <c r="L52" s="272">
        <f>IF(ISBLANK(J52),"",K52*J52)</f>
        <v>0</v>
      </c>
      <c r="M52" s="332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</row>
    <row r="53" spans="1:29" s="94" customFormat="1" ht="26.4" x14ac:dyDescent="0.25">
      <c r="A53" s="158" t="str">
        <f>IF(ISBLANK(D53),"",COUNTA(D$4:D53))</f>
        <v/>
      </c>
      <c r="B53" s="89"/>
      <c r="C53" s="90"/>
      <c r="D53" s="291"/>
      <c r="E53" s="291"/>
      <c r="F53" s="348"/>
      <c r="G53" s="61" t="str">
        <f t="shared" si="2"/>
        <v/>
      </c>
      <c r="H53" s="290" t="s">
        <v>183</v>
      </c>
      <c r="I53" s="271" t="s">
        <v>12</v>
      </c>
      <c r="J53" s="291">
        <f>0.24*D52</f>
        <v>0.38159999999999999</v>
      </c>
      <c r="K53" s="291"/>
      <c r="L53" s="272">
        <f>IF(ISBLANK(J53),"",K53*J53)</f>
        <v>0</v>
      </c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</row>
    <row r="54" spans="1:29" s="94" customFormat="1" ht="12.75" customHeight="1" x14ac:dyDescent="0.25">
      <c r="A54" s="158" t="str">
        <f>IF(ISBLANK(D54),"",COUNTA(D$4:D54))</f>
        <v/>
      </c>
      <c r="B54" s="89"/>
      <c r="C54" s="90"/>
      <c r="D54" s="291"/>
      <c r="E54" s="291"/>
      <c r="F54" s="348"/>
      <c r="G54" s="61" t="str">
        <f t="shared" si="2"/>
        <v/>
      </c>
      <c r="H54" s="89" t="s">
        <v>202</v>
      </c>
      <c r="I54" s="271" t="s">
        <v>7</v>
      </c>
      <c r="J54" s="291">
        <f>CEILING(0.34*D52/0.12,1)</f>
        <v>5</v>
      </c>
      <c r="K54" s="89"/>
      <c r="L54" s="272">
        <f>IF(ISBLANK(J54),"",K54*J54)</f>
        <v>0</v>
      </c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</row>
    <row r="55" spans="1:29" s="94" customFormat="1" ht="12.75" customHeight="1" x14ac:dyDescent="0.25">
      <c r="A55" s="158" t="str">
        <f>IF(ISBLANK(D55),"",COUNTA(D$4:D55))</f>
        <v/>
      </c>
      <c r="B55" s="289" t="s">
        <v>143</v>
      </c>
      <c r="C55" s="271"/>
      <c r="D55" s="271"/>
      <c r="E55" s="271"/>
      <c r="F55" s="349"/>
      <c r="G55" s="61" t="str">
        <f t="shared" si="2"/>
        <v/>
      </c>
      <c r="H55" s="271"/>
      <c r="I55" s="271"/>
      <c r="J55" s="271"/>
      <c r="K55" s="271"/>
      <c r="L55" s="272" t="str">
        <f>IF(ISBLANK(J55),"",K55*J55)</f>
        <v/>
      </c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</row>
    <row r="56" spans="1:29" s="94" customFormat="1" ht="26.4" x14ac:dyDescent="0.25">
      <c r="A56" s="158">
        <f>IF(ISBLANK(D56),"",COUNTA(D$4:D56))</f>
        <v>21</v>
      </c>
      <c r="B56" s="290" t="s">
        <v>208</v>
      </c>
      <c r="C56" s="90" t="s">
        <v>7</v>
      </c>
      <c r="D56" s="291">
        <f>116.5+110.16</f>
        <v>226.66</v>
      </c>
      <c r="E56" s="291"/>
      <c r="F56" s="348"/>
      <c r="G56" s="61">
        <f t="shared" si="2"/>
        <v>0</v>
      </c>
      <c r="H56" s="89" t="s">
        <v>180</v>
      </c>
      <c r="I56" s="271" t="s">
        <v>8</v>
      </c>
      <c r="J56" s="291">
        <f>CEILING(50*D56,1)</f>
        <v>11333</v>
      </c>
      <c r="K56" s="291"/>
      <c r="L56" s="272">
        <f>IF(ISBLANK(J56),"",K56*J56)</f>
        <v>0</v>
      </c>
      <c r="M56" s="332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</row>
    <row r="57" spans="1:29" s="94" customFormat="1" ht="26.4" x14ac:dyDescent="0.25">
      <c r="A57" s="158" t="str">
        <f>IF(ISBLANK(D57),"",COUNTA(D$4:D57))</f>
        <v/>
      </c>
      <c r="B57" s="163" t="s">
        <v>142</v>
      </c>
      <c r="C57" s="292"/>
      <c r="D57" s="293"/>
      <c r="E57" s="293"/>
      <c r="F57" s="347"/>
      <c r="G57" s="61" t="str">
        <f t="shared" si="2"/>
        <v/>
      </c>
      <c r="H57" s="290" t="s">
        <v>182</v>
      </c>
      <c r="I57" s="271" t="s">
        <v>12</v>
      </c>
      <c r="J57" s="291">
        <f>2.8+2.71932</f>
        <v>5.5193200000000004</v>
      </c>
      <c r="K57" s="291"/>
      <c r="L57" s="272">
        <f>IF(ISBLANK(J57),"",K57*J57)</f>
        <v>0</v>
      </c>
      <c r="M57" s="332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</row>
    <row r="58" spans="1:29" s="94" customFormat="1" ht="27" customHeight="1" x14ac:dyDescent="0.25">
      <c r="A58" s="158">
        <f>IF(ISBLANK(D58),"",COUNTA(D$4:D58))</f>
        <v>22</v>
      </c>
      <c r="B58" s="89" t="s">
        <v>133</v>
      </c>
      <c r="C58" s="90" t="s">
        <v>7</v>
      </c>
      <c r="D58" s="271">
        <f>(D56/4)*(4/0.52)*0.125</f>
        <v>54.48557692307692</v>
      </c>
      <c r="E58" s="291"/>
      <c r="F58" s="348"/>
      <c r="G58" s="61">
        <f t="shared" si="2"/>
        <v>0</v>
      </c>
      <c r="H58" s="89" t="s">
        <v>202</v>
      </c>
      <c r="I58" s="271" t="s">
        <v>7</v>
      </c>
      <c r="J58" s="291">
        <f>D58*1.1</f>
        <v>59.934134615384615</v>
      </c>
      <c r="K58" s="89"/>
      <c r="L58" s="272">
        <f>IF(ISBLANK(J58),"",K58*J58)</f>
        <v>0</v>
      </c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</row>
    <row r="59" spans="1:29" s="94" customFormat="1" ht="12.75" customHeight="1" x14ac:dyDescent="0.25">
      <c r="A59" s="158" t="str">
        <f>IF(ISBLANK(D59),"",COUNTA(D$4:D59))</f>
        <v/>
      </c>
      <c r="B59" s="89"/>
      <c r="C59" s="271"/>
      <c r="D59" s="271"/>
      <c r="E59" s="271"/>
      <c r="F59" s="349"/>
      <c r="G59" s="61" t="str">
        <f t="shared" si="2"/>
        <v/>
      </c>
      <c r="H59" s="89" t="s">
        <v>134</v>
      </c>
      <c r="I59" s="271" t="s">
        <v>135</v>
      </c>
      <c r="J59" s="291">
        <f>CEILING(20*D58*0.1/50,1)</f>
        <v>3</v>
      </c>
      <c r="K59" s="271"/>
      <c r="L59" s="272">
        <f>IF(ISBLANK(J59),"",K59*J59)</f>
        <v>0</v>
      </c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</row>
    <row r="60" spans="1:29" s="94" customFormat="1" ht="27" customHeight="1" x14ac:dyDescent="0.25">
      <c r="A60" s="158">
        <f>IF(ISBLANK(D60),"",COUNTA(D$4:D60))</f>
        <v>23</v>
      </c>
      <c r="B60" s="89" t="s">
        <v>136</v>
      </c>
      <c r="C60" s="90" t="s">
        <v>19</v>
      </c>
      <c r="D60" s="291">
        <f>D56/4</f>
        <v>56.664999999999999</v>
      </c>
      <c r="E60" s="291"/>
      <c r="F60" s="348"/>
      <c r="G60" s="61">
        <f t="shared" si="2"/>
        <v>0</v>
      </c>
      <c r="H60" s="89" t="s">
        <v>137</v>
      </c>
      <c r="I60" s="271" t="s">
        <v>7</v>
      </c>
      <c r="J60" s="291">
        <f>D60*0.25*1.1</f>
        <v>15.582875000000001</v>
      </c>
      <c r="K60" s="291"/>
      <c r="L60" s="272">
        <f>IF(ISBLANK(J60),"",K60*J60)</f>
        <v>0</v>
      </c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</row>
    <row r="61" spans="1:29" s="94" customFormat="1" x14ac:dyDescent="0.25">
      <c r="A61" s="158">
        <f>IF(ISBLANK(D61),"",COUNTA(D$4:D61))</f>
        <v>24</v>
      </c>
      <c r="B61" s="89" t="s">
        <v>138</v>
      </c>
      <c r="C61" s="271" t="s">
        <v>8</v>
      </c>
      <c r="D61" s="271">
        <f>SUM(J61:J63)</f>
        <v>323</v>
      </c>
      <c r="E61" s="271"/>
      <c r="F61" s="349"/>
      <c r="G61" s="61">
        <f t="shared" si="2"/>
        <v>0</v>
      </c>
      <c r="H61" s="89" t="s">
        <v>139</v>
      </c>
      <c r="I61" s="271" t="s">
        <v>8</v>
      </c>
      <c r="J61" s="271">
        <f>CEILING(0.35*D56,1)</f>
        <v>80</v>
      </c>
      <c r="K61" s="89"/>
      <c r="L61" s="272">
        <f>IF(ISBLANK(J61),"",K61*J61)</f>
        <v>0</v>
      </c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</row>
    <row r="62" spans="1:29" s="94" customFormat="1" ht="12.75" customHeight="1" x14ac:dyDescent="0.25">
      <c r="A62" s="158" t="str">
        <f>IF(ISBLANK(D62),"",COUNTA(D$4:D62))</f>
        <v/>
      </c>
      <c r="B62" s="89"/>
      <c r="C62" s="271"/>
      <c r="D62" s="271"/>
      <c r="E62" s="271"/>
      <c r="F62" s="349"/>
      <c r="G62" s="61" t="str">
        <f t="shared" si="2"/>
        <v/>
      </c>
      <c r="H62" s="89" t="s">
        <v>140</v>
      </c>
      <c r="I62" s="271" t="s">
        <v>8</v>
      </c>
      <c r="J62" s="271">
        <f>CEILING(0.81*D56,1)</f>
        <v>184</v>
      </c>
      <c r="K62" s="89"/>
      <c r="L62" s="272">
        <f>IF(ISBLANK(J62),"",K62*J62)</f>
        <v>0</v>
      </c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</row>
    <row r="63" spans="1:29" s="94" customFormat="1" ht="12.75" customHeight="1" x14ac:dyDescent="0.25">
      <c r="A63" s="158" t="str">
        <f>IF(ISBLANK(D63),"",COUNTA(D$4:D63))</f>
        <v/>
      </c>
      <c r="B63" s="89"/>
      <c r="C63" s="271"/>
      <c r="D63" s="271"/>
      <c r="E63" s="271"/>
      <c r="F63" s="349"/>
      <c r="G63" s="61" t="str">
        <f t="shared" si="2"/>
        <v/>
      </c>
      <c r="H63" s="89" t="s">
        <v>141</v>
      </c>
      <c r="I63" s="271" t="s">
        <v>8</v>
      </c>
      <c r="J63" s="271">
        <f>CEILING(0.26*D56,1)</f>
        <v>59</v>
      </c>
      <c r="K63" s="89"/>
      <c r="L63" s="272">
        <f>IF(ISBLANK(J63),"",K63*J63)</f>
        <v>0</v>
      </c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</row>
    <row r="64" spans="1:29" s="94" customFormat="1" ht="12.75" customHeight="1" x14ac:dyDescent="0.25">
      <c r="A64" s="158" t="str">
        <f>IF(ISBLANK(D64),"",COUNTA(D$4:D64))</f>
        <v/>
      </c>
      <c r="B64" s="289" t="s">
        <v>144</v>
      </c>
      <c r="C64" s="294"/>
      <c r="D64" s="290"/>
      <c r="E64" s="295"/>
      <c r="F64" s="350"/>
      <c r="G64" s="61" t="str">
        <f t="shared" si="2"/>
        <v/>
      </c>
      <c r="H64" s="290"/>
      <c r="I64" s="293"/>
      <c r="J64" s="296"/>
      <c r="K64" s="331"/>
      <c r="L64" s="272" t="str">
        <f>IF(ISBLANK(J64),"",K64*J64)</f>
        <v/>
      </c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168"/>
    </row>
    <row r="65" spans="1:29" s="94" customFormat="1" ht="27.6" customHeight="1" x14ac:dyDescent="0.25">
      <c r="A65" s="158">
        <f>IF(ISBLANK(D65),"",COUNTA(D$4:D65))</f>
        <v>25</v>
      </c>
      <c r="B65" s="89" t="s">
        <v>165</v>
      </c>
      <c r="C65" s="271" t="s">
        <v>8</v>
      </c>
      <c r="D65" s="271">
        <f>SUM(J65:J68)</f>
        <v>19</v>
      </c>
      <c r="E65" s="271"/>
      <c r="F65" s="349"/>
      <c r="G65" s="61">
        <f t="shared" si="2"/>
        <v>0</v>
      </c>
      <c r="H65" s="89" t="s">
        <v>146</v>
      </c>
      <c r="I65" s="271" t="s">
        <v>8</v>
      </c>
      <c r="J65" s="271">
        <f>2+1</f>
        <v>3</v>
      </c>
      <c r="K65" s="271"/>
      <c r="L65" s="272">
        <f>IF(ISBLANK(J65),"",K65*J65)</f>
        <v>0</v>
      </c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 spans="1:29" s="94" customFormat="1" x14ac:dyDescent="0.25">
      <c r="A66" s="158">
        <f>IF(ISBLANK(D66),"",COUNTA(D$4:D66))</f>
        <v>26</v>
      </c>
      <c r="B66" s="89" t="s">
        <v>217</v>
      </c>
      <c r="C66" s="271" t="s">
        <v>110</v>
      </c>
      <c r="D66" s="271">
        <v>1</v>
      </c>
      <c r="E66" s="271"/>
      <c r="F66" s="349"/>
      <c r="G66" s="61">
        <f t="shared" si="2"/>
        <v>0</v>
      </c>
      <c r="H66" s="89" t="s">
        <v>147</v>
      </c>
      <c r="I66" s="271" t="s">
        <v>8</v>
      </c>
      <c r="J66" s="271">
        <f>4+1</f>
        <v>5</v>
      </c>
      <c r="K66" s="271"/>
      <c r="L66" s="272">
        <f>IF(ISBLANK(J66),"",K66*J66)</f>
        <v>0</v>
      </c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 spans="1:29" s="94" customFormat="1" ht="12.75" customHeight="1" x14ac:dyDescent="0.25">
      <c r="A67" s="158" t="str">
        <f>IF(ISBLANK(D67),"",COUNTA(D$4:D67))</f>
        <v/>
      </c>
      <c r="B67" s="89"/>
      <c r="C67" s="271"/>
      <c r="D67" s="271"/>
      <c r="E67" s="271"/>
      <c r="F67" s="349"/>
      <c r="G67" s="61" t="str">
        <f t="shared" si="2"/>
        <v/>
      </c>
      <c r="H67" s="89" t="s">
        <v>145</v>
      </c>
      <c r="I67" s="271" t="s">
        <v>8</v>
      </c>
      <c r="J67" s="271">
        <f>1+1</f>
        <v>2</v>
      </c>
      <c r="K67" s="271"/>
      <c r="L67" s="272">
        <f>IF(ISBLANK(J67),"",K67*J67)</f>
        <v>0</v>
      </c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1:29" s="94" customFormat="1" ht="12.75" customHeight="1" x14ac:dyDescent="0.25">
      <c r="A68" s="158" t="str">
        <f>IF(ISBLANK(D68),"",COUNTA(D$4:D68))</f>
        <v/>
      </c>
      <c r="B68" s="89"/>
      <c r="C68" s="271"/>
      <c r="D68" s="271"/>
      <c r="E68" s="271"/>
      <c r="F68" s="349"/>
      <c r="G68" s="61" t="str">
        <f t="shared" si="2"/>
        <v/>
      </c>
      <c r="H68" s="89" t="s">
        <v>166</v>
      </c>
      <c r="I68" s="271" t="s">
        <v>8</v>
      </c>
      <c r="J68" s="271">
        <v>9</v>
      </c>
      <c r="K68" s="271"/>
      <c r="L68" s="272">
        <f>IF(ISBLANK(J68),"",K68*J68)</f>
        <v>0</v>
      </c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 spans="1:29" s="94" customFormat="1" ht="12.75" customHeight="1" x14ac:dyDescent="0.25">
      <c r="A69" s="158" t="str">
        <f>IF(ISBLANK(D69),"",COUNTA(D$4:D69))</f>
        <v/>
      </c>
      <c r="B69" s="89"/>
      <c r="C69" s="271"/>
      <c r="D69" s="271"/>
      <c r="E69" s="271"/>
      <c r="F69" s="349"/>
      <c r="G69" s="61" t="str">
        <f t="shared" si="2"/>
        <v/>
      </c>
      <c r="H69" s="290" t="s">
        <v>132</v>
      </c>
      <c r="I69" s="271" t="s">
        <v>12</v>
      </c>
      <c r="J69" s="271">
        <f>0.03*D65</f>
        <v>0.56999999999999995</v>
      </c>
      <c r="K69" s="291"/>
      <c r="L69" s="272">
        <f>IF(ISBLANK(J69),"",K69*J69)</f>
        <v>0</v>
      </c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 spans="1:29" s="94" customFormat="1" ht="12.75" customHeight="1" x14ac:dyDescent="0.25">
      <c r="A70" s="158" t="str">
        <f>IF(ISBLANK(D70),"",COUNTA(D$4:D70))</f>
        <v/>
      </c>
      <c r="B70" s="297" t="s">
        <v>114</v>
      </c>
      <c r="C70" s="271"/>
      <c r="D70" s="271"/>
      <c r="E70" s="271"/>
      <c r="F70" s="349"/>
      <c r="G70" s="61" t="str">
        <f t="shared" si="2"/>
        <v/>
      </c>
      <c r="H70" s="89"/>
      <c r="I70" s="89"/>
      <c r="J70" s="89"/>
      <c r="K70" s="89"/>
      <c r="L70" s="272" t="str">
        <f>IF(ISBLANK(J70),"",K70*J70)</f>
        <v/>
      </c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 spans="1:29" s="94" customFormat="1" ht="12.75" customHeight="1" x14ac:dyDescent="0.25">
      <c r="A71" s="158">
        <f>IF(ISBLANK(D71),"",COUNTA(D$4:D71))</f>
        <v>27</v>
      </c>
      <c r="B71" s="89" t="s">
        <v>57</v>
      </c>
      <c r="C71" s="271" t="s">
        <v>7</v>
      </c>
      <c r="D71" s="271">
        <f>D73</f>
        <v>895.33999999999992</v>
      </c>
      <c r="E71" s="89"/>
      <c r="F71" s="351"/>
      <c r="G71" s="61">
        <f t="shared" si="2"/>
        <v>0</v>
      </c>
      <c r="H71" s="89" t="s">
        <v>204</v>
      </c>
      <c r="I71" s="89" t="s">
        <v>26</v>
      </c>
      <c r="J71" s="89">
        <f>CEILING(D71*0.47,0.1)</f>
        <v>420.90000000000003</v>
      </c>
      <c r="K71" s="57"/>
      <c r="L71" s="272">
        <f>IF(ISBLANK(J71),"",K71*J71)</f>
        <v>0</v>
      </c>
      <c r="M71" s="332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 spans="1:29" s="94" customFormat="1" ht="26.4" x14ac:dyDescent="0.25">
      <c r="A72" s="158">
        <f>IF(ISBLANK(D72),"",COUNTA(D$4:D72))</f>
        <v>28</v>
      </c>
      <c r="B72" s="89" t="s">
        <v>119</v>
      </c>
      <c r="C72" s="89" t="s">
        <v>7</v>
      </c>
      <c r="D72" s="89">
        <f>D73*0.3</f>
        <v>268.60199999999998</v>
      </c>
      <c r="E72" s="89"/>
      <c r="F72" s="351"/>
      <c r="G72" s="61">
        <f t="shared" si="2"/>
        <v>0</v>
      </c>
      <c r="H72" s="89" t="s">
        <v>218</v>
      </c>
      <c r="I72" s="89" t="s">
        <v>7</v>
      </c>
      <c r="J72" s="89">
        <f>1.1*D72</f>
        <v>295.4622</v>
      </c>
      <c r="K72" s="89"/>
      <c r="L72" s="272">
        <f>IF(ISBLANK(J72),"",K72*J72)</f>
        <v>0</v>
      </c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s="94" customFormat="1" ht="26.4" x14ac:dyDescent="0.25">
      <c r="A73" s="158">
        <f>IF(ISBLANK(D73),"",COUNTA(D$4:D73))</f>
        <v>29</v>
      </c>
      <c r="B73" s="89" t="s">
        <v>209</v>
      </c>
      <c r="C73" s="89" t="s">
        <v>7</v>
      </c>
      <c r="D73" s="89">
        <f>D95+D118</f>
        <v>895.33999999999992</v>
      </c>
      <c r="E73" s="89"/>
      <c r="F73" s="351"/>
      <c r="G73" s="61">
        <f t="shared" si="2"/>
        <v>0</v>
      </c>
      <c r="H73" s="89" t="s">
        <v>116</v>
      </c>
      <c r="I73" s="89" t="s">
        <v>26</v>
      </c>
      <c r="J73" s="89">
        <f>CEILING(D73*32,1)</f>
        <v>28651</v>
      </c>
      <c r="K73" s="89"/>
      <c r="L73" s="272">
        <f>IF(ISBLANK(J73),"",K73*J73)</f>
        <v>0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</row>
    <row r="74" spans="1:29" s="94" customFormat="1" ht="12.75" customHeight="1" x14ac:dyDescent="0.25">
      <c r="A74" s="158" t="str">
        <f>IF(ISBLANK(D74),"",COUNTA(D$4:D74))</f>
        <v/>
      </c>
      <c r="B74" s="163" t="s">
        <v>115</v>
      </c>
      <c r="C74" s="298"/>
      <c r="D74" s="298"/>
      <c r="E74" s="298"/>
      <c r="F74" s="349"/>
      <c r="G74" s="61" t="str">
        <f t="shared" si="2"/>
        <v/>
      </c>
      <c r="H74" s="89" t="s">
        <v>117</v>
      </c>
      <c r="I74" s="89" t="s">
        <v>19</v>
      </c>
      <c r="J74" s="89">
        <f>CEILING(1*D73,1)</f>
        <v>896</v>
      </c>
      <c r="K74" s="89"/>
      <c r="L74" s="272">
        <f>IF(ISBLANK(J74),"",K74*J74)</f>
        <v>0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s="94" customFormat="1" ht="12.75" customHeight="1" x14ac:dyDescent="0.25">
      <c r="A75" s="158" t="str">
        <f>IF(ISBLANK(D75),"",COUNTA(D$4:D75))</f>
        <v/>
      </c>
      <c r="B75" s="297"/>
      <c r="C75" s="271"/>
      <c r="D75" s="271"/>
      <c r="E75" s="271"/>
      <c r="F75" s="349"/>
      <c r="G75" s="61" t="str">
        <f t="shared" si="2"/>
        <v/>
      </c>
      <c r="H75" s="89" t="s">
        <v>118</v>
      </c>
      <c r="I75" s="89" t="s">
        <v>19</v>
      </c>
      <c r="J75" s="89">
        <f>0.25*D73</f>
        <v>223.83499999999998</v>
      </c>
      <c r="K75" s="89"/>
      <c r="L75" s="272">
        <f>IF(ISBLANK(J75),"",K75*J75)</f>
        <v>0</v>
      </c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</row>
    <row r="76" spans="1:29" s="94" customFormat="1" ht="12.75" customHeight="1" x14ac:dyDescent="0.25">
      <c r="A76" s="158" t="str">
        <f>IF(ISBLANK(D76),"",COUNTA(D$4:D76))</f>
        <v/>
      </c>
      <c r="B76" s="299"/>
      <c r="C76" s="298"/>
      <c r="D76" s="298"/>
      <c r="E76" s="298"/>
      <c r="F76" s="349"/>
      <c r="G76" s="61" t="str">
        <f t="shared" si="2"/>
        <v/>
      </c>
      <c r="H76" s="89" t="s">
        <v>111</v>
      </c>
      <c r="I76" s="89" t="s">
        <v>8</v>
      </c>
      <c r="J76" s="89">
        <f>5*J74</f>
        <v>4480</v>
      </c>
      <c r="K76" s="89"/>
      <c r="L76" s="272">
        <f>IF(ISBLANK(J76),"",K76*J76)</f>
        <v>0</v>
      </c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</row>
    <row r="77" spans="1:29" s="94" customFormat="1" ht="12.75" customHeight="1" x14ac:dyDescent="0.25">
      <c r="A77" s="158" t="str">
        <f>IF(ISBLANK(D77),"",COUNTA(D$4:D77))</f>
        <v/>
      </c>
      <c r="B77" s="299"/>
      <c r="C77" s="298"/>
      <c r="D77" s="298"/>
      <c r="E77" s="298"/>
      <c r="F77" s="349"/>
      <c r="G77" s="61" t="str">
        <f t="shared" si="2"/>
        <v/>
      </c>
      <c r="H77" s="89" t="s">
        <v>112</v>
      </c>
      <c r="I77" s="89" t="s">
        <v>26</v>
      </c>
      <c r="J77" s="89">
        <f>0.1*D73</f>
        <v>89.533999999999992</v>
      </c>
      <c r="K77" s="89"/>
      <c r="L77" s="272">
        <f>IF(ISBLANK(J77),"",K77*J77)</f>
        <v>0</v>
      </c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</row>
    <row r="78" spans="1:29" s="94" customFormat="1" ht="12.75" customHeight="1" x14ac:dyDescent="0.25">
      <c r="A78" s="158" t="str">
        <f>IF(ISBLANK(D78),"",COUNTA(D$4:D78))</f>
        <v/>
      </c>
      <c r="B78" s="89"/>
      <c r="C78" s="271"/>
      <c r="D78" s="271"/>
      <c r="E78" s="271"/>
      <c r="F78" s="349"/>
      <c r="G78" s="61" t="str">
        <f t="shared" si="2"/>
        <v/>
      </c>
      <c r="H78" s="89" t="s">
        <v>113</v>
      </c>
      <c r="I78" s="89" t="s">
        <v>19</v>
      </c>
      <c r="J78" s="89">
        <f>CEILING(D73*0.1,1)</f>
        <v>90</v>
      </c>
      <c r="K78" s="239"/>
      <c r="L78" s="272">
        <f>IF(ISBLANK(J78),"",K78*J78)</f>
        <v>0</v>
      </c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</row>
    <row r="79" spans="1:29" s="94" customFormat="1" ht="12.75" customHeight="1" x14ac:dyDescent="0.25">
      <c r="A79" s="158" t="str">
        <f>IF(ISBLANK(D79),"",COUNTA(D$4:D79))</f>
        <v/>
      </c>
      <c r="B79" s="297" t="s">
        <v>122</v>
      </c>
      <c r="C79" s="271"/>
      <c r="D79" s="271"/>
      <c r="E79" s="271"/>
      <c r="F79" s="349"/>
      <c r="G79" s="61" t="str">
        <f t="shared" si="2"/>
        <v/>
      </c>
      <c r="H79" s="89"/>
      <c r="I79" s="89"/>
      <c r="J79" s="89"/>
      <c r="K79" s="89"/>
      <c r="L79" s="272" t="str">
        <f>IF(ISBLANK(J79),"",K79*J79)</f>
        <v/>
      </c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1:29" s="94" customFormat="1" ht="12.75" customHeight="1" x14ac:dyDescent="0.25">
      <c r="A80" s="158">
        <f>IF(ISBLANK(D80),"",COUNTA(D$4:D80))</f>
        <v>30</v>
      </c>
      <c r="B80" s="89" t="s">
        <v>57</v>
      </c>
      <c r="C80" s="271" t="s">
        <v>7</v>
      </c>
      <c r="D80" s="271">
        <f>D82</f>
        <v>70.8</v>
      </c>
      <c r="E80" s="89"/>
      <c r="F80" s="351"/>
      <c r="G80" s="61">
        <f t="shared" si="2"/>
        <v>0</v>
      </c>
      <c r="H80" s="89" t="s">
        <v>204</v>
      </c>
      <c r="I80" s="89" t="s">
        <v>26</v>
      </c>
      <c r="J80" s="89">
        <f>CEILING(D80*0.47,0.1)</f>
        <v>33.300000000000004</v>
      </c>
      <c r="K80" s="57"/>
      <c r="L80" s="272">
        <f>IF(ISBLANK(J80),"",K80*J80)</f>
        <v>0</v>
      </c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 spans="1:29" s="94" customFormat="1" ht="12.75" customHeight="1" x14ac:dyDescent="0.25">
      <c r="A81" s="158">
        <f>IF(ISBLANK(D81),"",COUNTA(D$4:D81))</f>
        <v>31</v>
      </c>
      <c r="B81" s="89" t="s">
        <v>119</v>
      </c>
      <c r="C81" s="89" t="s">
        <v>7</v>
      </c>
      <c r="D81" s="89">
        <f>D82*0.3</f>
        <v>21.24</v>
      </c>
      <c r="E81" s="89"/>
      <c r="F81" s="351"/>
      <c r="G81" s="61">
        <f t="shared" si="2"/>
        <v>0</v>
      </c>
      <c r="H81" s="89" t="s">
        <v>218</v>
      </c>
      <c r="I81" s="89" t="s">
        <v>7</v>
      </c>
      <c r="J81" s="89">
        <f>1.1*D81</f>
        <v>23.364000000000001</v>
      </c>
      <c r="K81" s="89"/>
      <c r="L81" s="272">
        <f>IF(ISBLANK(J81),"",K81*J81)</f>
        <v>0</v>
      </c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</row>
    <row r="82" spans="1:29" s="94" customFormat="1" ht="26.4" x14ac:dyDescent="0.25">
      <c r="A82" s="158">
        <f>IF(ISBLANK(D82),"",COUNTA(D$4:D82))</f>
        <v>32</v>
      </c>
      <c r="B82" s="89" t="s">
        <v>209</v>
      </c>
      <c r="C82" s="89" t="s">
        <v>7</v>
      </c>
      <c r="D82" s="89">
        <f>34.65+36.15</f>
        <v>70.8</v>
      </c>
      <c r="E82" s="89"/>
      <c r="F82" s="351"/>
      <c r="G82" s="61">
        <f t="shared" si="2"/>
        <v>0</v>
      </c>
      <c r="H82" s="89" t="s">
        <v>116</v>
      </c>
      <c r="I82" s="89" t="s">
        <v>26</v>
      </c>
      <c r="J82" s="89">
        <f>CEILING(D82*32,1)</f>
        <v>2266</v>
      </c>
      <c r="K82" s="89"/>
      <c r="L82" s="272">
        <f>IF(ISBLANK(J82),"",K82*J82)</f>
        <v>0</v>
      </c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 spans="1:29" s="94" customFormat="1" ht="12.75" customHeight="1" x14ac:dyDescent="0.25">
      <c r="A83" s="158" t="str">
        <f>IF(ISBLANK(D83),"",COUNTA(D$4:D83))</f>
        <v/>
      </c>
      <c r="B83" s="163" t="s">
        <v>115</v>
      </c>
      <c r="C83" s="298"/>
      <c r="D83" s="298"/>
      <c r="E83" s="298"/>
      <c r="F83" s="349"/>
      <c r="G83" s="61" t="str">
        <f t="shared" si="2"/>
        <v/>
      </c>
      <c r="H83" s="89" t="s">
        <v>117</v>
      </c>
      <c r="I83" s="89" t="s">
        <v>19</v>
      </c>
      <c r="J83" s="89">
        <f>CEILING(1*D82,1)</f>
        <v>71</v>
      </c>
      <c r="K83" s="89"/>
      <c r="L83" s="272">
        <f>IF(ISBLANK(J83),"",K83*J83)</f>
        <v>0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s="94" customFormat="1" ht="12.75" customHeight="1" x14ac:dyDescent="0.25">
      <c r="A84" s="158" t="str">
        <f>IF(ISBLANK(D84),"",COUNTA(D$4:D84))</f>
        <v/>
      </c>
      <c r="B84" s="297"/>
      <c r="C84" s="271"/>
      <c r="D84" s="271"/>
      <c r="E84" s="271"/>
      <c r="F84" s="349"/>
      <c r="G84" s="61" t="str">
        <f t="shared" si="2"/>
        <v/>
      </c>
      <c r="H84" s="89" t="s">
        <v>118</v>
      </c>
      <c r="I84" s="89" t="s">
        <v>19</v>
      </c>
      <c r="J84" s="89">
        <f>0.25*D82</f>
        <v>17.7</v>
      </c>
      <c r="K84" s="89"/>
      <c r="L84" s="272">
        <f>IF(ISBLANK(J84),"",K84*J84)</f>
        <v>0</v>
      </c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</row>
    <row r="85" spans="1:29" s="94" customFormat="1" ht="12.75" customHeight="1" x14ac:dyDescent="0.25">
      <c r="A85" s="158" t="str">
        <f>IF(ISBLANK(D85),"",COUNTA(D$4:D85))</f>
        <v/>
      </c>
      <c r="B85" s="299"/>
      <c r="C85" s="298"/>
      <c r="D85" s="298"/>
      <c r="E85" s="298"/>
      <c r="F85" s="349"/>
      <c r="G85" s="61" t="str">
        <f t="shared" si="2"/>
        <v/>
      </c>
      <c r="H85" s="89" t="s">
        <v>111</v>
      </c>
      <c r="I85" s="89" t="s">
        <v>8</v>
      </c>
      <c r="J85" s="89">
        <f>5*J83</f>
        <v>355</v>
      </c>
      <c r="K85" s="89"/>
      <c r="L85" s="272">
        <f>IF(ISBLANK(J85),"",K85*J85)</f>
        <v>0</v>
      </c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</row>
    <row r="86" spans="1:29" s="94" customFormat="1" ht="12.75" customHeight="1" x14ac:dyDescent="0.25">
      <c r="A86" s="158" t="str">
        <f>IF(ISBLANK(D86),"",COUNTA(D$4:D86))</f>
        <v/>
      </c>
      <c r="B86" s="299"/>
      <c r="C86" s="298"/>
      <c r="D86" s="298"/>
      <c r="E86" s="298"/>
      <c r="F86" s="349"/>
      <c r="G86" s="61" t="str">
        <f t="shared" si="2"/>
        <v/>
      </c>
      <c r="H86" s="89" t="s">
        <v>112</v>
      </c>
      <c r="I86" s="89" t="s">
        <v>26</v>
      </c>
      <c r="J86" s="89">
        <f>0.1*D82</f>
        <v>7.08</v>
      </c>
      <c r="K86" s="89"/>
      <c r="L86" s="272">
        <f>IF(ISBLANK(J86),"",K86*J86)</f>
        <v>0</v>
      </c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</row>
    <row r="87" spans="1:29" s="94" customFormat="1" ht="12.75" customHeight="1" x14ac:dyDescent="0.25">
      <c r="A87" s="158" t="str">
        <f>IF(ISBLANK(D87),"",COUNTA(D$4:D87))</f>
        <v/>
      </c>
      <c r="B87" s="89"/>
      <c r="C87" s="271"/>
      <c r="D87" s="271"/>
      <c r="E87" s="271"/>
      <c r="F87" s="349"/>
      <c r="G87" s="61" t="str">
        <f t="shared" si="2"/>
        <v/>
      </c>
      <c r="H87" s="89" t="s">
        <v>113</v>
      </c>
      <c r="I87" s="89" t="s">
        <v>19</v>
      </c>
      <c r="J87" s="89">
        <f>CEILING(D82*0.1,1)</f>
        <v>8</v>
      </c>
      <c r="K87" s="239"/>
      <c r="L87" s="272">
        <f>IF(ISBLANK(J87),"",K87*J87)</f>
        <v>0</v>
      </c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</row>
    <row r="88" spans="1:29" s="98" customFormat="1" ht="13.2" x14ac:dyDescent="0.25">
      <c r="A88" s="158" t="str">
        <f>IF(ISBLANK(D88),"",COUNTA(D$4:D88))</f>
        <v/>
      </c>
      <c r="B88" s="83" t="s">
        <v>53</v>
      </c>
      <c r="C88" s="174"/>
      <c r="D88" s="104"/>
      <c r="E88" s="239"/>
      <c r="F88" s="239"/>
      <c r="G88" s="61" t="str">
        <f t="shared" si="2"/>
        <v/>
      </c>
      <c r="H88" s="44"/>
      <c r="I88" s="174"/>
      <c r="J88" s="104"/>
      <c r="K88" s="239"/>
      <c r="L88" s="272" t="str">
        <f>IF(ISBLANK(J88),"",K88*J88)</f>
        <v/>
      </c>
      <c r="M88" s="96"/>
      <c r="N88" s="96"/>
    </row>
    <row r="89" spans="1:29" s="102" customFormat="1" ht="26.4" customHeight="1" x14ac:dyDescent="0.25">
      <c r="A89" s="158">
        <f>IF(ISBLANK(D89),"",COUNTA(D$4:D89))</f>
        <v>33</v>
      </c>
      <c r="B89" s="89" t="s">
        <v>52</v>
      </c>
      <c r="C89" s="176" t="s">
        <v>19</v>
      </c>
      <c r="D89" s="212">
        <f>144.1+149</f>
        <v>293.10000000000002</v>
      </c>
      <c r="E89" s="239"/>
      <c r="F89" s="239"/>
      <c r="G89" s="61">
        <f t="shared" si="2"/>
        <v>0</v>
      </c>
      <c r="H89" s="44" t="s">
        <v>167</v>
      </c>
      <c r="I89" s="174" t="s">
        <v>19</v>
      </c>
      <c r="J89" s="104">
        <f>D89*1.05</f>
        <v>307.75500000000005</v>
      </c>
      <c r="K89" s="239"/>
      <c r="L89" s="272">
        <f>IF(ISBLANK(J89),"",K89*J89)</f>
        <v>0</v>
      </c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</row>
    <row r="90" spans="1:29" s="102" customFormat="1" ht="16.95" customHeight="1" x14ac:dyDescent="0.25">
      <c r="A90" s="158" t="str">
        <f>IF(ISBLANK(D90),"",COUNTA(D$4:D90))</f>
        <v/>
      </c>
      <c r="B90" s="89"/>
      <c r="C90" s="176"/>
      <c r="D90" s="212"/>
      <c r="E90" s="239"/>
      <c r="F90" s="239"/>
      <c r="G90" s="61" t="str">
        <f t="shared" si="2"/>
        <v/>
      </c>
      <c r="H90" s="44" t="s">
        <v>39</v>
      </c>
      <c r="I90" s="174" t="s">
        <v>21</v>
      </c>
      <c r="J90" s="104">
        <f>CEILING(D89*0.15*0.03,0.1)</f>
        <v>1.4000000000000001</v>
      </c>
      <c r="K90" s="57"/>
      <c r="L90" s="272">
        <f>IF(ISBLANK(J90),"",K90*J90)</f>
        <v>0</v>
      </c>
      <c r="M90" s="50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</row>
    <row r="91" spans="1:29" s="102" customFormat="1" ht="16.95" customHeight="1" x14ac:dyDescent="0.25">
      <c r="A91" s="158" t="str">
        <f>IF(ISBLANK(D91),"",COUNTA(D$4:D91))</f>
        <v/>
      </c>
      <c r="B91" s="89"/>
      <c r="C91" s="176"/>
      <c r="D91" s="212"/>
      <c r="E91" s="239"/>
      <c r="F91" s="239"/>
      <c r="G91" s="61" t="str">
        <f t="shared" si="2"/>
        <v/>
      </c>
      <c r="H91" s="44" t="s">
        <v>50</v>
      </c>
      <c r="I91" s="174" t="s">
        <v>26</v>
      </c>
      <c r="J91" s="104">
        <f>CEILING(D89*0.08,1)</f>
        <v>24</v>
      </c>
      <c r="K91" s="239"/>
      <c r="L91" s="272">
        <f>IF(ISBLANK(J91),"",K91*J91)</f>
        <v>0</v>
      </c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</row>
    <row r="92" spans="1:29" s="94" customFormat="1" ht="20.25" customHeight="1" x14ac:dyDescent="0.25">
      <c r="A92" s="158">
        <f>IF(ISBLANK(D92),"",COUNTA(D$4:D92))</f>
        <v>34</v>
      </c>
      <c r="B92" s="89" t="s">
        <v>57</v>
      </c>
      <c r="C92" s="89" t="s">
        <v>7</v>
      </c>
      <c r="D92" s="89">
        <f>D95</f>
        <v>794.04</v>
      </c>
      <c r="E92" s="89"/>
      <c r="F92" s="351"/>
      <c r="G92" s="61">
        <f t="shared" si="2"/>
        <v>0</v>
      </c>
      <c r="H92" s="89" t="s">
        <v>39</v>
      </c>
      <c r="I92" s="89" t="s">
        <v>21</v>
      </c>
      <c r="J92" s="89">
        <f>CEILING(D92*0.15,0.1)</f>
        <v>119.2</v>
      </c>
      <c r="K92" s="239"/>
      <c r="L92" s="272">
        <f>IF(ISBLANK(J92),"",K92*J92)</f>
        <v>0</v>
      </c>
      <c r="M92" s="50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</row>
    <row r="93" spans="1:29" s="94" customFormat="1" ht="12.75" customHeight="1" x14ac:dyDescent="0.25">
      <c r="A93" s="158">
        <f>IF(ISBLANK(D93),"",COUNTA(D$4:D93))</f>
        <v>35</v>
      </c>
      <c r="B93" s="89" t="s">
        <v>172</v>
      </c>
      <c r="C93" s="89" t="s">
        <v>7</v>
      </c>
      <c r="D93" s="89">
        <f>D92</f>
        <v>794.04</v>
      </c>
      <c r="E93" s="89"/>
      <c r="F93" s="351"/>
      <c r="G93" s="61">
        <f t="shared" si="2"/>
        <v>0</v>
      </c>
      <c r="H93" s="89" t="s">
        <v>170</v>
      </c>
      <c r="I93" s="89" t="s">
        <v>26</v>
      </c>
      <c r="J93" s="89">
        <f>CEILING(D93*1.05,1)</f>
        <v>834</v>
      </c>
      <c r="K93" s="239"/>
      <c r="L93" s="272">
        <f>IF(ISBLANK(J93),"",K93*J93)</f>
        <v>0</v>
      </c>
      <c r="M93" s="332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</row>
    <row r="94" spans="1:29" s="94" customFormat="1" ht="12.75" customHeight="1" x14ac:dyDescent="0.25">
      <c r="A94" s="158" t="str">
        <f>IF(ISBLANK(D94),"",COUNTA(D$4:D94))</f>
        <v/>
      </c>
      <c r="B94" s="89"/>
      <c r="C94" s="89"/>
      <c r="D94" s="89"/>
      <c r="E94" s="89"/>
      <c r="F94" s="351"/>
      <c r="G94" s="61" t="str">
        <f t="shared" si="2"/>
        <v/>
      </c>
      <c r="H94" s="89" t="s">
        <v>113</v>
      </c>
      <c r="I94" s="89" t="s">
        <v>19</v>
      </c>
      <c r="J94" s="89">
        <f>CEILING(D93*0.1,1)</f>
        <v>80</v>
      </c>
      <c r="K94" s="239"/>
      <c r="L94" s="272">
        <f>IF(ISBLANK(J94),"",K94*J94)</f>
        <v>0</v>
      </c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 spans="1:29" s="98" customFormat="1" ht="13.2" x14ac:dyDescent="0.25">
      <c r="A95" s="158">
        <f>IF(ISBLANK(D95),"",COUNTA(D$4:D95))</f>
        <v>36</v>
      </c>
      <c r="B95" s="44" t="s">
        <v>54</v>
      </c>
      <c r="C95" s="174" t="s">
        <v>7</v>
      </c>
      <c r="D95" s="89">
        <f>378.84+415.2</f>
        <v>794.04</v>
      </c>
      <c r="E95" s="239"/>
      <c r="F95" s="239"/>
      <c r="G95" s="61">
        <f t="shared" si="2"/>
        <v>0</v>
      </c>
      <c r="H95" s="44" t="s">
        <v>39</v>
      </c>
      <c r="I95" s="174" t="s">
        <v>21</v>
      </c>
      <c r="J95" s="104">
        <f>CEILING(D95*0.15,0.1)</f>
        <v>119.2</v>
      </c>
      <c r="K95" s="239"/>
      <c r="L95" s="272">
        <f>IF(ISBLANK(J95),"",K95*J95)</f>
        <v>0</v>
      </c>
      <c r="M95" s="50"/>
      <c r="N95" s="96"/>
    </row>
    <row r="96" spans="1:29" s="98" customFormat="1" ht="13.2" x14ac:dyDescent="0.25">
      <c r="A96" s="158">
        <f>IF(ISBLANK(D96),"",COUNTA(D$4:D96))</f>
        <v>37</v>
      </c>
      <c r="B96" s="44" t="s">
        <v>55</v>
      </c>
      <c r="C96" s="174" t="s">
        <v>7</v>
      </c>
      <c r="D96" s="104">
        <f>D95</f>
        <v>794.04</v>
      </c>
      <c r="E96" s="239"/>
      <c r="F96" s="239"/>
      <c r="G96" s="61">
        <f t="shared" si="2"/>
        <v>0</v>
      </c>
      <c r="H96" s="44" t="s">
        <v>120</v>
      </c>
      <c r="I96" s="174" t="s">
        <v>26</v>
      </c>
      <c r="J96" s="104">
        <f>CEILING(D96*0.965,1)</f>
        <v>767</v>
      </c>
      <c r="K96" s="239"/>
      <c r="L96" s="272">
        <f>IF(ISBLANK(J96),"",K96*J96)</f>
        <v>0</v>
      </c>
      <c r="M96" s="339"/>
      <c r="N96" s="96"/>
    </row>
    <row r="97" spans="1:29" s="98" customFormat="1" ht="13.2" x14ac:dyDescent="0.25">
      <c r="A97" s="158" t="str">
        <f>IF(ISBLANK(D97),"",COUNTA(D$4:D97))</f>
        <v/>
      </c>
      <c r="B97" s="44"/>
      <c r="C97" s="174"/>
      <c r="D97" s="104"/>
      <c r="E97" s="239"/>
      <c r="F97" s="239"/>
      <c r="G97" s="61" t="str">
        <f t="shared" si="2"/>
        <v/>
      </c>
      <c r="H97" s="89" t="s">
        <v>113</v>
      </c>
      <c r="I97" s="174" t="s">
        <v>19</v>
      </c>
      <c r="J97" s="104">
        <f>CEILING(D96*0.1,1)</f>
        <v>80</v>
      </c>
      <c r="K97" s="239"/>
      <c r="L97" s="272">
        <f>IF(ISBLANK(J97),"",K97*J97)</f>
        <v>0</v>
      </c>
      <c r="M97" s="96"/>
      <c r="N97" s="96"/>
    </row>
    <row r="98" spans="1:29" s="98" customFormat="1" x14ac:dyDescent="0.25">
      <c r="A98" s="158">
        <f>IF(ISBLANK(D98),"",COUNTA(D$4:D98))</f>
        <v>38</v>
      </c>
      <c r="B98" s="44" t="s">
        <v>57</v>
      </c>
      <c r="C98" s="174" t="s">
        <v>7</v>
      </c>
      <c r="D98" s="104">
        <f>9.6+9.06</f>
        <v>18.66</v>
      </c>
      <c r="E98" s="239"/>
      <c r="F98" s="239"/>
      <c r="G98" s="61">
        <f t="shared" si="2"/>
        <v>0</v>
      </c>
      <c r="H98" s="44" t="s">
        <v>58</v>
      </c>
      <c r="I98" s="174" t="s">
        <v>21</v>
      </c>
      <c r="J98" s="104">
        <f>CEILING(D98*0.15,0.1)</f>
        <v>2.8000000000000003</v>
      </c>
      <c r="K98" s="239"/>
      <c r="L98" s="272">
        <f>IF(ISBLANK(J98),"",K98*J98)</f>
        <v>0</v>
      </c>
      <c r="M98" s="340"/>
      <c r="N98" s="96"/>
    </row>
    <row r="99" spans="1:29" s="98" customFormat="1" ht="26.4" x14ac:dyDescent="0.25">
      <c r="A99" s="158">
        <f>IF(ISBLANK(D99),"",COUNTA(D$4:D99))</f>
        <v>39</v>
      </c>
      <c r="B99" s="44" t="s">
        <v>121</v>
      </c>
      <c r="C99" s="174" t="s">
        <v>7</v>
      </c>
      <c r="D99" s="104">
        <f>D98</f>
        <v>18.66</v>
      </c>
      <c r="E99" s="239"/>
      <c r="F99" s="239"/>
      <c r="G99" s="61">
        <f t="shared" si="2"/>
        <v>0</v>
      </c>
      <c r="H99" s="44" t="s">
        <v>205</v>
      </c>
      <c r="I99" s="174" t="s">
        <v>21</v>
      </c>
      <c r="J99" s="104">
        <f>CEILING(D99*0.3,1)</f>
        <v>6</v>
      </c>
      <c r="K99" s="239"/>
      <c r="L99" s="272">
        <f>IF(ISBLANK(J99),"",K99*J99)</f>
        <v>0</v>
      </c>
      <c r="M99" s="341"/>
      <c r="N99" s="96"/>
    </row>
    <row r="100" spans="1:29" s="98" customFormat="1" x14ac:dyDescent="0.25">
      <c r="A100" s="158" t="str">
        <f>IF(ISBLANK(D100),"",COUNTA(D$4:D100))</f>
        <v/>
      </c>
      <c r="B100" s="44"/>
      <c r="C100" s="174"/>
      <c r="D100" s="104"/>
      <c r="E100" s="239"/>
      <c r="F100" s="239"/>
      <c r="G100" s="61" t="str">
        <f t="shared" si="2"/>
        <v/>
      </c>
      <c r="H100" s="75" t="s">
        <v>61</v>
      </c>
      <c r="I100" s="174" t="s">
        <v>62</v>
      </c>
      <c r="J100" s="104">
        <f>CEILING(D99*0.025,1)</f>
        <v>1</v>
      </c>
      <c r="K100" s="239"/>
      <c r="L100" s="272">
        <f>IF(ISBLANK(J100),"",K100*J100)</f>
        <v>0</v>
      </c>
      <c r="M100" s="341"/>
      <c r="N100" s="96"/>
    </row>
    <row r="101" spans="1:29" s="94" customFormat="1" ht="20.25" customHeight="1" x14ac:dyDescent="0.25">
      <c r="A101" s="158">
        <f>IF(ISBLANK(D101),"",COUNTA(D$4:D101))</f>
        <v>40</v>
      </c>
      <c r="B101" s="89" t="s">
        <v>124</v>
      </c>
      <c r="C101" s="89" t="s">
        <v>7</v>
      </c>
      <c r="D101" s="89">
        <f>D104</f>
        <v>70.8</v>
      </c>
      <c r="E101" s="89"/>
      <c r="F101" s="351"/>
      <c r="G101" s="61">
        <f t="shared" si="2"/>
        <v>0</v>
      </c>
      <c r="H101" s="89" t="s">
        <v>39</v>
      </c>
      <c r="I101" s="89" t="s">
        <v>21</v>
      </c>
      <c r="J101" s="89">
        <f>CEILING(D101*0.15,0.1)</f>
        <v>10.700000000000001</v>
      </c>
      <c r="K101" s="57"/>
      <c r="L101" s="272">
        <f>IF(ISBLANK(J101),"",K101*J101)</f>
        <v>0</v>
      </c>
      <c r="M101" s="50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</row>
    <row r="102" spans="1:29" s="94" customFormat="1" ht="12.75" customHeight="1" x14ac:dyDescent="0.25">
      <c r="A102" s="158">
        <f>IF(ISBLANK(D102),"",COUNTA(D$4:D102))</f>
        <v>41</v>
      </c>
      <c r="B102" s="89" t="s">
        <v>171</v>
      </c>
      <c r="C102" s="89" t="s">
        <v>7</v>
      </c>
      <c r="D102" s="89">
        <f>D101</f>
        <v>70.8</v>
      </c>
      <c r="E102" s="89"/>
      <c r="F102" s="351"/>
      <c r="G102" s="61">
        <f t="shared" si="2"/>
        <v>0</v>
      </c>
      <c r="H102" s="89" t="s">
        <v>170</v>
      </c>
      <c r="I102" s="89" t="s">
        <v>26</v>
      </c>
      <c r="J102" s="89">
        <f>CEILING(D102*1.05,1)</f>
        <v>75</v>
      </c>
      <c r="K102" s="89"/>
      <c r="L102" s="272">
        <f>IF(ISBLANK(J102),"",K102*J102)</f>
        <v>0</v>
      </c>
      <c r="M102" s="332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</row>
    <row r="103" spans="1:29" s="94" customFormat="1" ht="12.75" customHeight="1" x14ac:dyDescent="0.25">
      <c r="A103" s="158" t="str">
        <f>IF(ISBLANK(D103),"",COUNTA(D$4:D103))</f>
        <v/>
      </c>
      <c r="B103" s="89"/>
      <c r="C103" s="89"/>
      <c r="D103" s="89"/>
      <c r="E103" s="89"/>
      <c r="F103" s="351"/>
      <c r="G103" s="61" t="str">
        <f t="shared" si="2"/>
        <v/>
      </c>
      <c r="H103" s="89" t="s">
        <v>113</v>
      </c>
      <c r="I103" s="89" t="s">
        <v>19</v>
      </c>
      <c r="J103" s="89">
        <f>CEILING(D102*0.1,1)</f>
        <v>8</v>
      </c>
      <c r="K103" s="239"/>
      <c r="L103" s="272">
        <f>IF(ISBLANK(J103),"",K103*J103)</f>
        <v>0</v>
      </c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</row>
    <row r="104" spans="1:29" s="98" customFormat="1" ht="13.2" x14ac:dyDescent="0.25">
      <c r="A104" s="158">
        <f>IF(ISBLANK(D104),"",COUNTA(D$4:D104))</f>
        <v>42</v>
      </c>
      <c r="B104" s="44" t="s">
        <v>56</v>
      </c>
      <c r="C104" s="174" t="s">
        <v>7</v>
      </c>
      <c r="D104" s="104">
        <f>D80</f>
        <v>70.8</v>
      </c>
      <c r="E104" s="239"/>
      <c r="F104" s="239"/>
      <c r="G104" s="61">
        <f t="shared" si="2"/>
        <v>0</v>
      </c>
      <c r="H104" s="44" t="s">
        <v>39</v>
      </c>
      <c r="I104" s="174" t="s">
        <v>21</v>
      </c>
      <c r="J104" s="104">
        <f>CEILING(D104*0.15,0.1)</f>
        <v>10.700000000000001</v>
      </c>
      <c r="K104" s="57"/>
      <c r="L104" s="272">
        <f>IF(ISBLANK(J104),"",K104*J104)</f>
        <v>0</v>
      </c>
      <c r="M104" s="96"/>
      <c r="N104" s="96"/>
    </row>
    <row r="105" spans="1:29" s="98" customFormat="1" ht="13.2" x14ac:dyDescent="0.25">
      <c r="A105" s="158">
        <f>IF(ISBLANK(D105),"",COUNTA(D$4:D105))</f>
        <v>43</v>
      </c>
      <c r="B105" s="44" t="s">
        <v>123</v>
      </c>
      <c r="C105" s="174" t="s">
        <v>7</v>
      </c>
      <c r="D105" s="104">
        <f>D104</f>
        <v>70.8</v>
      </c>
      <c r="E105" s="239"/>
      <c r="F105" s="239"/>
      <c r="G105" s="61">
        <f t="shared" si="2"/>
        <v>0</v>
      </c>
      <c r="H105" s="44" t="s">
        <v>120</v>
      </c>
      <c r="I105" s="174" t="s">
        <v>26</v>
      </c>
      <c r="J105" s="104">
        <f>CEILING(D105*0.96,1)</f>
        <v>68</v>
      </c>
      <c r="K105" s="239"/>
      <c r="L105" s="272">
        <f>IF(ISBLANK(J105),"",K105*J105)</f>
        <v>0</v>
      </c>
      <c r="M105" s="339"/>
      <c r="N105" s="96"/>
    </row>
    <row r="106" spans="1:29" s="98" customFormat="1" ht="13.2" x14ac:dyDescent="0.25">
      <c r="A106" s="158" t="str">
        <f>IF(ISBLANK(D106),"",COUNTA(D$4:D106))</f>
        <v/>
      </c>
      <c r="B106" s="44"/>
      <c r="C106" s="174"/>
      <c r="D106" s="104"/>
      <c r="E106" s="239"/>
      <c r="F106" s="239"/>
      <c r="G106" s="61" t="str">
        <f t="shared" si="2"/>
        <v/>
      </c>
      <c r="H106" s="89" t="s">
        <v>113</v>
      </c>
      <c r="I106" s="174" t="s">
        <v>19</v>
      </c>
      <c r="J106" s="104">
        <f>CEILING(D105*0.1,1)</f>
        <v>8</v>
      </c>
      <c r="K106" s="239"/>
      <c r="L106" s="272">
        <f>IF(ISBLANK(J106),"",K106*J106)</f>
        <v>0</v>
      </c>
      <c r="M106" s="96"/>
      <c r="N106" s="96"/>
    </row>
    <row r="107" spans="1:29" s="98" customFormat="1" x14ac:dyDescent="0.25">
      <c r="A107" s="158">
        <f>IF(ISBLANK(D107),"",COUNTA(D$4:D107))</f>
        <v>44</v>
      </c>
      <c r="B107" s="44" t="s">
        <v>124</v>
      </c>
      <c r="C107" s="174" t="s">
        <v>7</v>
      </c>
      <c r="D107" s="104">
        <f>D105</f>
        <v>70.8</v>
      </c>
      <c r="E107" s="239"/>
      <c r="F107" s="239"/>
      <c r="G107" s="61">
        <f t="shared" si="2"/>
        <v>0</v>
      </c>
      <c r="H107" s="44" t="s">
        <v>58</v>
      </c>
      <c r="I107" s="174" t="s">
        <v>21</v>
      </c>
      <c r="J107" s="104">
        <f>CEILING(D107*0.15,0.1)</f>
        <v>10.700000000000001</v>
      </c>
      <c r="K107" s="239"/>
      <c r="L107" s="272">
        <f>IF(ISBLANK(J107),"",K107*J107)</f>
        <v>0</v>
      </c>
      <c r="M107" s="340"/>
      <c r="N107" s="96"/>
    </row>
    <row r="108" spans="1:29" s="98" customFormat="1" x14ac:dyDescent="0.25">
      <c r="A108" s="158">
        <f>IF(ISBLANK(D108),"",COUNTA(D$4:D108))</f>
        <v>45</v>
      </c>
      <c r="B108" s="44" t="s">
        <v>125</v>
      </c>
      <c r="C108" s="174" t="s">
        <v>7</v>
      </c>
      <c r="D108" s="104">
        <f>D107</f>
        <v>70.8</v>
      </c>
      <c r="E108" s="239"/>
      <c r="F108" s="239"/>
      <c r="G108" s="61">
        <f t="shared" ref="G108:G124" si="3">IF(ISBLANK(D108),"",E108*D108)</f>
        <v>0</v>
      </c>
      <c r="H108" s="44" t="s">
        <v>60</v>
      </c>
      <c r="I108" s="174" t="s">
        <v>21</v>
      </c>
      <c r="J108" s="104">
        <f>CEILING(D108*0.3,1)</f>
        <v>22</v>
      </c>
      <c r="K108" s="239"/>
      <c r="L108" s="272">
        <f>IF(ISBLANK(J108),"",K108*J108)</f>
        <v>0</v>
      </c>
      <c r="M108" s="340"/>
      <c r="N108" s="96"/>
    </row>
    <row r="109" spans="1:29" s="98" customFormat="1" x14ac:dyDescent="0.25">
      <c r="A109" s="158" t="str">
        <f>IF(ISBLANK(D109),"",COUNTA(D$4:D109))</f>
        <v/>
      </c>
      <c r="B109" s="44"/>
      <c r="C109" s="174"/>
      <c r="D109" s="104"/>
      <c r="E109" s="239"/>
      <c r="F109" s="239"/>
      <c r="G109" s="61" t="str">
        <f t="shared" si="3"/>
        <v/>
      </c>
      <c r="H109" s="75" t="s">
        <v>61</v>
      </c>
      <c r="I109" s="174" t="s">
        <v>62</v>
      </c>
      <c r="J109" s="104">
        <f>CEILING(D108*0.025,1)</f>
        <v>2</v>
      </c>
      <c r="K109" s="239"/>
      <c r="L109" s="272">
        <f>IF(ISBLANK(J109),"",K109*J109)</f>
        <v>0</v>
      </c>
      <c r="M109" s="341"/>
      <c r="N109" s="96"/>
    </row>
    <row r="110" spans="1:29" s="98" customFormat="1" ht="14.4" customHeight="1" x14ac:dyDescent="0.25">
      <c r="A110" s="158" t="str">
        <f>IF(ISBLANK(D110),"",COUNTA(D$4:D110))</f>
        <v/>
      </c>
      <c r="B110" s="156" t="s">
        <v>64</v>
      </c>
      <c r="C110" s="80"/>
      <c r="D110" s="56"/>
      <c r="E110" s="239"/>
      <c r="F110" s="239"/>
      <c r="G110" s="61" t="str">
        <f t="shared" si="3"/>
        <v/>
      </c>
      <c r="H110" s="44"/>
      <c r="I110" s="80"/>
      <c r="J110" s="56"/>
      <c r="K110" s="239"/>
      <c r="L110" s="272" t="str">
        <f>IF(ISBLANK(J110),"",K110*J110)</f>
        <v/>
      </c>
      <c r="M110" s="96"/>
      <c r="N110" s="96"/>
    </row>
    <row r="111" spans="1:29" s="268" customFormat="1" ht="39.6" x14ac:dyDescent="0.25">
      <c r="A111" s="158">
        <f>IF(ISBLANK(D111),"",COUNTA(D$4:D111))</f>
        <v>46</v>
      </c>
      <c r="B111" s="174" t="s">
        <v>65</v>
      </c>
      <c r="C111" s="174" t="s">
        <v>7</v>
      </c>
      <c r="D111" s="104">
        <f>378.84+405.6</f>
        <v>784.44</v>
      </c>
      <c r="E111" s="239"/>
      <c r="F111" s="239"/>
      <c r="G111" s="61">
        <f t="shared" si="3"/>
        <v>0</v>
      </c>
      <c r="H111" s="44" t="s">
        <v>169</v>
      </c>
      <c r="I111" s="80" t="s">
        <v>7</v>
      </c>
      <c r="J111" s="56">
        <f>D111+D112*0.3</f>
        <v>784.44</v>
      </c>
      <c r="K111" s="239"/>
      <c r="L111" s="272">
        <f>IF(ISBLANK(J111),"",K111*J111)</f>
        <v>0</v>
      </c>
      <c r="M111" s="342"/>
      <c r="N111" s="342"/>
    </row>
    <row r="112" spans="1:29" s="268" customFormat="1" ht="17.399999999999999" customHeight="1" x14ac:dyDescent="0.25">
      <c r="A112" s="158">
        <f>IF(ISBLANK(D112),"",COUNTA(D$4:D112))</f>
        <v>47</v>
      </c>
      <c r="B112" s="174" t="s">
        <v>65</v>
      </c>
      <c r="C112" s="174" t="s">
        <v>19</v>
      </c>
      <c r="D112" s="104">
        <v>0</v>
      </c>
      <c r="E112" s="239"/>
      <c r="F112" s="239"/>
      <c r="G112" s="61">
        <f t="shared" si="3"/>
        <v>0</v>
      </c>
      <c r="H112" s="44"/>
      <c r="I112" s="80"/>
      <c r="J112" s="56"/>
      <c r="K112" s="239"/>
      <c r="L112" s="272" t="str">
        <f>IF(ISBLANK(J112),"",K112*J112)</f>
        <v/>
      </c>
      <c r="M112" s="342"/>
      <c r="N112" s="342"/>
    </row>
    <row r="113" spans="1:35" s="98" customFormat="1" x14ac:dyDescent="0.25">
      <c r="A113" s="158">
        <f>IF(ISBLANK(D113),"",COUNTA(D$4:D113))</f>
        <v>48</v>
      </c>
      <c r="B113" s="44" t="s">
        <v>57</v>
      </c>
      <c r="C113" s="174" t="s">
        <v>7</v>
      </c>
      <c r="D113" s="104">
        <f>D111</f>
        <v>784.44</v>
      </c>
      <c r="E113" s="239"/>
      <c r="F113" s="239"/>
      <c r="G113" s="61">
        <f t="shared" si="3"/>
        <v>0</v>
      </c>
      <c r="H113" s="44" t="s">
        <v>58</v>
      </c>
      <c r="I113" s="174" t="s">
        <v>21</v>
      </c>
      <c r="J113" s="104">
        <f>CEILING(D113*0.15,0.1)</f>
        <v>117.7</v>
      </c>
      <c r="K113" s="239"/>
      <c r="L113" s="272">
        <f>IF(ISBLANK(J113),"",K113*J113)</f>
        <v>0</v>
      </c>
      <c r="M113" s="340"/>
      <c r="N113" s="96"/>
    </row>
    <row r="114" spans="1:35" s="98" customFormat="1" x14ac:dyDescent="0.25">
      <c r="A114" s="158">
        <f>IF(ISBLANK(D114),"",COUNTA(D$4:D114))</f>
        <v>49</v>
      </c>
      <c r="B114" s="44" t="s">
        <v>59</v>
      </c>
      <c r="C114" s="174" t="s">
        <v>7</v>
      </c>
      <c r="D114" s="104">
        <f>D113</f>
        <v>784.44</v>
      </c>
      <c r="E114" s="239"/>
      <c r="F114" s="239"/>
      <c r="G114" s="61">
        <f t="shared" si="3"/>
        <v>0</v>
      </c>
      <c r="H114" s="44" t="s">
        <v>60</v>
      </c>
      <c r="I114" s="174" t="s">
        <v>21</v>
      </c>
      <c r="J114" s="104">
        <f>CEILING(D114*0.3,1)</f>
        <v>236</v>
      </c>
      <c r="K114" s="239"/>
      <c r="L114" s="272">
        <f>IF(ISBLANK(J114),"",K114*J114)</f>
        <v>0</v>
      </c>
      <c r="M114" s="341"/>
      <c r="N114" s="96"/>
    </row>
    <row r="115" spans="1:35" s="98" customFormat="1" x14ac:dyDescent="0.25">
      <c r="A115" s="158" t="str">
        <f>IF(ISBLANK(D115),"",COUNTA(D$4:D115))</f>
        <v/>
      </c>
      <c r="B115" s="44"/>
      <c r="C115" s="174"/>
      <c r="D115" s="104"/>
      <c r="E115" s="239"/>
      <c r="F115" s="239"/>
      <c r="G115" s="61" t="str">
        <f t="shared" si="3"/>
        <v/>
      </c>
      <c r="H115" s="75" t="s">
        <v>61</v>
      </c>
      <c r="I115" s="174" t="s">
        <v>62</v>
      </c>
      <c r="J115" s="104">
        <f>CEILING(D114*0.025,1)</f>
        <v>20</v>
      </c>
      <c r="K115" s="239"/>
      <c r="L115" s="272">
        <f>IF(ISBLANK(J115),"",K115*J115)</f>
        <v>0</v>
      </c>
      <c r="M115" s="341"/>
      <c r="N115" s="96"/>
    </row>
    <row r="116" spans="1:35" s="102" customFormat="1" ht="14.4" customHeight="1" x14ac:dyDescent="0.25">
      <c r="A116" s="158" t="str">
        <f>IF(ISBLANK(D116),"",COUNTA(D$4:D116))</f>
        <v/>
      </c>
      <c r="B116" s="280" t="s">
        <v>126</v>
      </c>
      <c r="C116" s="177"/>
      <c r="D116" s="104"/>
      <c r="E116" s="239"/>
      <c r="F116" s="239"/>
      <c r="G116" s="61" t="str">
        <f t="shared" si="3"/>
        <v/>
      </c>
      <c r="H116" s="44"/>
      <c r="I116" s="174"/>
      <c r="J116" s="104"/>
      <c r="K116" s="239"/>
      <c r="L116" s="272" t="str">
        <f>IF(ISBLANK(J116),"",K116*J116)</f>
        <v/>
      </c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</row>
    <row r="117" spans="1:35" s="98" customFormat="1" ht="13.2" x14ac:dyDescent="0.25">
      <c r="A117" s="158">
        <f>IF(ISBLANK(D117),"",COUNTA(D$4:D117))</f>
        <v>50</v>
      </c>
      <c r="B117" s="44" t="s">
        <v>54</v>
      </c>
      <c r="C117" s="174" t="s">
        <v>7</v>
      </c>
      <c r="D117" s="104">
        <f>40.64+60.66</f>
        <v>101.3</v>
      </c>
      <c r="E117" s="239"/>
      <c r="F117" s="239"/>
      <c r="G117" s="61">
        <f t="shared" si="3"/>
        <v>0</v>
      </c>
      <c r="H117" s="44" t="s">
        <v>39</v>
      </c>
      <c r="I117" s="174" t="s">
        <v>21</v>
      </c>
      <c r="J117" s="104">
        <f>CEILING(D117*0.15,0.1)</f>
        <v>15.200000000000001</v>
      </c>
      <c r="K117" s="57"/>
      <c r="L117" s="272">
        <f>IF(ISBLANK(J117),"",K117*J117)</f>
        <v>0</v>
      </c>
      <c r="M117" s="50"/>
      <c r="N117" s="96"/>
    </row>
    <row r="118" spans="1:35" s="98" customFormat="1" ht="28.2" customHeight="1" x14ac:dyDescent="0.25">
      <c r="A118" s="158">
        <f>IF(ISBLANK(D118),"",COUNTA(D$4:D118))</f>
        <v>51</v>
      </c>
      <c r="B118" s="44" t="s">
        <v>66</v>
      </c>
      <c r="C118" s="174" t="s">
        <v>7</v>
      </c>
      <c r="D118" s="104">
        <f>D117</f>
        <v>101.3</v>
      </c>
      <c r="E118" s="239"/>
      <c r="F118" s="239"/>
      <c r="G118" s="61">
        <f t="shared" si="3"/>
        <v>0</v>
      </c>
      <c r="H118" s="47" t="s">
        <v>161</v>
      </c>
      <c r="I118" s="280" t="s">
        <v>7</v>
      </c>
      <c r="J118" s="51">
        <f>CEILING(D118*1.05,0.6*0.6)</f>
        <v>106.56</v>
      </c>
      <c r="K118" s="239"/>
      <c r="L118" s="272">
        <f>IF(ISBLANK(J118),"",K118*J118)</f>
        <v>0</v>
      </c>
      <c r="M118" s="96"/>
      <c r="N118" s="96"/>
    </row>
    <row r="119" spans="1:35" s="98" customFormat="1" ht="13.2" x14ac:dyDescent="0.25">
      <c r="A119" s="158" t="str">
        <f>IF(ISBLANK(D119),"",COUNTA(D$4:D119))</f>
        <v/>
      </c>
      <c r="B119" s="44"/>
      <c r="C119" s="174"/>
      <c r="D119" s="104"/>
      <c r="E119" s="239"/>
      <c r="F119" s="239"/>
      <c r="G119" s="61" t="str">
        <f t="shared" si="3"/>
        <v/>
      </c>
      <c r="H119" s="44" t="s">
        <v>40</v>
      </c>
      <c r="I119" s="174" t="s">
        <v>26</v>
      </c>
      <c r="J119" s="104">
        <f>CEILING(D118*6.5,1)</f>
        <v>659</v>
      </c>
      <c r="K119" s="239"/>
      <c r="L119" s="272">
        <f>IF(ISBLANK(J119),"",K119*J119)</f>
        <v>0</v>
      </c>
      <c r="M119" s="96"/>
      <c r="N119" s="96"/>
    </row>
    <row r="120" spans="1:35" s="98" customFormat="1" ht="13.95" customHeight="1" x14ac:dyDescent="0.25">
      <c r="A120" s="158" t="str">
        <f>IF(ISBLANK(D120),"",COUNTA(D$4:D120))</f>
        <v/>
      </c>
      <c r="B120" s="44"/>
      <c r="C120" s="174"/>
      <c r="D120" s="104"/>
      <c r="E120" s="239"/>
      <c r="F120" s="239"/>
      <c r="G120" s="61" t="str">
        <f t="shared" si="3"/>
        <v/>
      </c>
      <c r="H120" s="44" t="s">
        <v>168</v>
      </c>
      <c r="I120" s="174" t="s">
        <v>26</v>
      </c>
      <c r="J120" s="104">
        <f>CEILING(D118*0.45,1)</f>
        <v>46</v>
      </c>
      <c r="K120" s="239"/>
      <c r="L120" s="272">
        <f>IF(ISBLANK(J120),"",K120*J120)</f>
        <v>0</v>
      </c>
      <c r="M120" s="96"/>
      <c r="N120" s="96"/>
    </row>
    <row r="121" spans="1:35" s="102" customFormat="1" x14ac:dyDescent="0.25">
      <c r="A121" s="158" t="str">
        <f>IF(ISBLANK(D121),"",COUNTA(D$4:D121))</f>
        <v/>
      </c>
      <c r="B121" s="44"/>
      <c r="C121" s="85"/>
      <c r="E121" s="239"/>
      <c r="F121" s="239"/>
      <c r="G121" s="61" t="str">
        <f t="shared" si="3"/>
        <v/>
      </c>
      <c r="H121" s="250" t="s">
        <v>41</v>
      </c>
      <c r="I121" s="80" t="s">
        <v>20</v>
      </c>
      <c r="J121" s="56">
        <f>CEILING(D117*10/200,1)</f>
        <v>6</v>
      </c>
      <c r="K121" s="239"/>
      <c r="L121" s="272">
        <f>IF(ISBLANK(J121),"",K121*J121)</f>
        <v>0</v>
      </c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</row>
    <row r="122" spans="1:35" s="102" customFormat="1" x14ac:dyDescent="0.25">
      <c r="A122" s="158" t="str">
        <f>IF(ISBLANK(D122),"",COUNTA(D$4:D122))</f>
        <v/>
      </c>
      <c r="B122" s="44"/>
      <c r="C122" s="85"/>
      <c r="D122" s="56"/>
      <c r="E122" s="239"/>
      <c r="F122" s="239"/>
      <c r="G122" s="61" t="str">
        <f t="shared" si="3"/>
        <v/>
      </c>
      <c r="H122" s="281" t="s">
        <v>42</v>
      </c>
      <c r="I122" s="80" t="s">
        <v>20</v>
      </c>
      <c r="J122" s="56">
        <f>CEILING(10*D117/500,1)</f>
        <v>3</v>
      </c>
      <c r="K122" s="239"/>
      <c r="L122" s="272">
        <f>IF(ISBLANK(J122),"",K122*J122)</f>
        <v>0</v>
      </c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</row>
    <row r="123" spans="1:35" s="98" customFormat="1" ht="13.2" x14ac:dyDescent="0.25">
      <c r="A123" s="158" t="str">
        <f>IF(ISBLANK(D123),"",COUNTA(D$4:D123))</f>
        <v/>
      </c>
      <c r="B123" s="44"/>
      <c r="C123" s="174"/>
      <c r="D123" s="104"/>
      <c r="E123" s="239"/>
      <c r="F123" s="239"/>
      <c r="G123" s="61" t="str">
        <f t="shared" si="3"/>
        <v/>
      </c>
      <c r="H123" s="44" t="s">
        <v>43</v>
      </c>
      <c r="I123" s="174" t="s">
        <v>8</v>
      </c>
      <c r="J123" s="104">
        <f>CEILING((D118)*0.01,1)</f>
        <v>2</v>
      </c>
      <c r="K123" s="239"/>
      <c r="L123" s="272">
        <f>IF(ISBLANK(J123),"",K123*J123)</f>
        <v>0</v>
      </c>
      <c r="M123" s="96"/>
      <c r="N123" s="96"/>
    </row>
    <row r="124" spans="1:35" s="52" customFormat="1" ht="26.4" x14ac:dyDescent="0.25">
      <c r="A124" s="158">
        <f>IF(ISBLANK(D124),"",COUNTA(D$4:D124))</f>
        <v>52</v>
      </c>
      <c r="B124" s="89" t="s">
        <v>67</v>
      </c>
      <c r="C124" s="176" t="s">
        <v>8</v>
      </c>
      <c r="D124" s="212">
        <v>30</v>
      </c>
      <c r="E124" s="239"/>
      <c r="F124" s="239"/>
      <c r="G124" s="61">
        <f t="shared" si="3"/>
        <v>0</v>
      </c>
      <c r="H124" s="75" t="s">
        <v>68</v>
      </c>
      <c r="I124" s="194" t="s">
        <v>8</v>
      </c>
      <c r="J124" s="212">
        <f>CEILING(D124*0.01,1)</f>
        <v>1</v>
      </c>
      <c r="K124" s="239"/>
      <c r="L124" s="272">
        <f>IF(ISBLANK(J124),"",K124*J124)</f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35" s="5" customFormat="1" thickBot="1" x14ac:dyDescent="0.3">
      <c r="A125" s="252"/>
      <c r="B125" s="253"/>
      <c r="C125" s="254"/>
      <c r="D125" s="255"/>
      <c r="E125" s="256"/>
      <c r="F125" s="256"/>
      <c r="G125" s="256"/>
      <c r="H125" s="257"/>
      <c r="I125" s="258"/>
      <c r="J125" s="256"/>
      <c r="K125" s="256"/>
      <c r="L125" s="259"/>
      <c r="M125" s="7"/>
      <c r="N125" s="1"/>
    </row>
    <row r="126" spans="1:35" s="55" customFormat="1" x14ac:dyDescent="0.25">
      <c r="A126" s="131"/>
      <c r="B126" s="138" t="s">
        <v>16</v>
      </c>
      <c r="C126" s="135"/>
      <c r="D126" s="157"/>
      <c r="E126" s="157"/>
      <c r="F126" s="157"/>
      <c r="G126" s="157">
        <f>SUBTOTAL(9,G50:G125)</f>
        <v>0</v>
      </c>
      <c r="H126" s="135" t="s">
        <v>17</v>
      </c>
      <c r="I126" s="135"/>
      <c r="J126" s="157"/>
      <c r="K126" s="157"/>
      <c r="L126" s="157">
        <f>SUBTOTAL(9,L50:L125)</f>
        <v>0</v>
      </c>
      <c r="M126" s="97"/>
    </row>
    <row r="127" spans="1:35" s="33" customFormat="1" ht="17.399999999999999" x14ac:dyDescent="0.3">
      <c r="A127" s="38"/>
      <c r="B127" s="36"/>
      <c r="C127" s="31"/>
      <c r="D127" s="205"/>
      <c r="E127" s="205"/>
      <c r="F127" s="205"/>
      <c r="G127" s="205"/>
      <c r="H127" s="31"/>
      <c r="I127" s="31"/>
      <c r="J127" s="205"/>
      <c r="K127" s="233"/>
      <c r="L127" s="205"/>
      <c r="M127" s="28"/>
    </row>
    <row r="128" spans="1:35" s="26" customFormat="1" ht="19.2" thickBot="1" x14ac:dyDescent="0.35">
      <c r="A128" s="27"/>
      <c r="B128" s="58"/>
      <c r="C128" s="178"/>
      <c r="D128" s="208"/>
      <c r="E128" s="209"/>
      <c r="F128" s="209"/>
      <c r="G128" s="209" t="s">
        <v>69</v>
      </c>
      <c r="H128" s="23"/>
      <c r="I128" s="172"/>
      <c r="J128" s="201"/>
      <c r="K128" s="229"/>
      <c r="L128" s="155">
        <f>SUBTOTAL(9,G129:G175,L129:L175)</f>
        <v>0</v>
      </c>
      <c r="M128" s="95"/>
      <c r="N128" s="33"/>
    </row>
    <row r="129" spans="1:29" s="5" customFormat="1" ht="13.2" x14ac:dyDescent="0.25">
      <c r="A129" s="42"/>
      <c r="B129" s="15"/>
      <c r="C129" s="59"/>
      <c r="D129" s="210"/>
      <c r="E129" s="211"/>
      <c r="F129" s="211"/>
      <c r="G129" s="211"/>
      <c r="H129" s="11"/>
      <c r="I129" s="17"/>
      <c r="J129" s="211"/>
      <c r="K129" s="333"/>
      <c r="L129" s="237"/>
      <c r="M129" s="7"/>
      <c r="N129" s="1"/>
    </row>
    <row r="130" spans="1:29" s="98" customFormat="1" ht="13.2" x14ac:dyDescent="0.25">
      <c r="A130" s="265" t="str">
        <f>IF(ISBLANK(D130),"",COUNTA(D$4:D130))</f>
        <v/>
      </c>
      <c r="B130" s="83" t="s">
        <v>70</v>
      </c>
      <c r="C130" s="174"/>
      <c r="D130" s="104"/>
      <c r="E130" s="300"/>
      <c r="F130" s="352"/>
      <c r="G130" s="104" t="str">
        <f t="shared" ref="G130:G174" si="4">IF(ISBLANK(D130),"",E130*D130)</f>
        <v/>
      </c>
      <c r="H130" s="49"/>
      <c r="I130" s="173"/>
      <c r="J130" s="61"/>
      <c r="K130" s="61"/>
      <c r="L130" s="84" t="str">
        <f>IF(ISBLANK(J130),"",K130*J130)</f>
        <v/>
      </c>
      <c r="M130" s="96"/>
      <c r="N130" s="96"/>
    </row>
    <row r="131" spans="1:29" s="98" customFormat="1" ht="26.4" x14ac:dyDescent="0.25">
      <c r="A131" s="158">
        <f>IF(ISBLANK(D131),"",COUNTA(D$4:D131))</f>
        <v>53</v>
      </c>
      <c r="B131" s="44" t="s">
        <v>127</v>
      </c>
      <c r="C131" s="174" t="s">
        <v>7</v>
      </c>
      <c r="D131" s="104">
        <f>17.3+2.2</f>
        <v>19.5</v>
      </c>
      <c r="E131" s="300"/>
      <c r="F131" s="352"/>
      <c r="G131" s="61">
        <f t="shared" si="4"/>
        <v>0</v>
      </c>
      <c r="H131" s="75" t="s">
        <v>48</v>
      </c>
      <c r="I131" s="174" t="s">
        <v>7</v>
      </c>
      <c r="J131" s="104">
        <f>CEILING((D131)*2*1.1,0.1)</f>
        <v>42.900000000000006</v>
      </c>
      <c r="K131" s="61"/>
      <c r="L131" s="272">
        <f>IF(ISBLANK(J131),"",K131*J131)</f>
        <v>0</v>
      </c>
      <c r="M131" s="96"/>
      <c r="N131" s="96"/>
    </row>
    <row r="132" spans="1:29" s="98" customFormat="1" ht="13.2" x14ac:dyDescent="0.25">
      <c r="A132" s="158" t="str">
        <f>IF(ISBLANK(D132),"",COUNTA(D$4:D132))</f>
        <v/>
      </c>
      <c r="B132" s="44"/>
      <c r="C132" s="174"/>
      <c r="D132" s="104"/>
      <c r="E132" s="300"/>
      <c r="F132" s="352"/>
      <c r="G132" s="61" t="str">
        <f t="shared" si="4"/>
        <v/>
      </c>
      <c r="H132" s="75" t="s">
        <v>71</v>
      </c>
      <c r="I132" s="194" t="s">
        <v>19</v>
      </c>
      <c r="J132" s="165">
        <f>CEILING(D131*2.6,0.1)</f>
        <v>50.7</v>
      </c>
      <c r="K132" s="61"/>
      <c r="L132" s="272">
        <f>IF(ISBLANK(J132),"",K132*J132)</f>
        <v>0</v>
      </c>
      <c r="M132" s="96"/>
      <c r="N132" s="96"/>
    </row>
    <row r="133" spans="1:29" s="98" customFormat="1" ht="13.2" x14ac:dyDescent="0.25">
      <c r="A133" s="158" t="str">
        <f>IF(ISBLANK(D133),"",COUNTA(D$4:D133))</f>
        <v/>
      </c>
      <c r="B133" s="44"/>
      <c r="C133" s="174"/>
      <c r="D133" s="236"/>
      <c r="E133" s="300"/>
      <c r="F133" s="352"/>
      <c r="G133" s="61" t="str">
        <f t="shared" si="4"/>
        <v/>
      </c>
      <c r="H133" s="75" t="s">
        <v>72</v>
      </c>
      <c r="I133" s="194" t="s">
        <v>19</v>
      </c>
      <c r="J133" s="165">
        <f>CEILING(D131*0.909,1)</f>
        <v>18</v>
      </c>
      <c r="K133" s="61"/>
      <c r="L133" s="272">
        <f>IF(ISBLANK(J133),"",K133*J133)</f>
        <v>0</v>
      </c>
      <c r="M133" s="96"/>
      <c r="N133" s="96"/>
    </row>
    <row r="134" spans="1:29" s="98" customFormat="1" ht="13.2" x14ac:dyDescent="0.25">
      <c r="A134" s="158" t="str">
        <f>IF(ISBLANK(D134),"",COUNTA(D$4:D134))</f>
        <v/>
      </c>
      <c r="B134" s="44"/>
      <c r="C134" s="174"/>
      <c r="D134" s="104"/>
      <c r="E134" s="300"/>
      <c r="F134" s="352"/>
      <c r="G134" s="61" t="str">
        <f t="shared" si="4"/>
        <v/>
      </c>
      <c r="H134" s="75" t="s">
        <v>162</v>
      </c>
      <c r="I134" s="194" t="s">
        <v>8</v>
      </c>
      <c r="J134" s="165">
        <f>CEILING(D131*0.3,1)</f>
        <v>6</v>
      </c>
      <c r="K134" s="61"/>
      <c r="L134" s="272">
        <f>IF(ISBLANK(J134),"",K134*J134)</f>
        <v>0</v>
      </c>
      <c r="M134" s="96"/>
      <c r="N134" s="96"/>
    </row>
    <row r="135" spans="1:29" s="98" customFormat="1" ht="13.2" x14ac:dyDescent="0.25">
      <c r="A135" s="158" t="str">
        <f>IF(ISBLANK(D135),"",COUNTA(D$4:D135))</f>
        <v/>
      </c>
      <c r="B135" s="44"/>
      <c r="C135" s="174"/>
      <c r="D135" s="104"/>
      <c r="E135" s="300"/>
      <c r="F135" s="352"/>
      <c r="G135" s="61" t="str">
        <f t="shared" si="4"/>
        <v/>
      </c>
      <c r="H135" s="75" t="s">
        <v>163</v>
      </c>
      <c r="I135" s="194" t="s">
        <v>8</v>
      </c>
      <c r="J135" s="165">
        <f>CEILING(D131*1.65,1)</f>
        <v>33</v>
      </c>
      <c r="K135" s="61"/>
      <c r="L135" s="272">
        <f>IF(ISBLANK(J135),"",K135*J135)</f>
        <v>0</v>
      </c>
      <c r="M135" s="96"/>
      <c r="N135" s="96"/>
    </row>
    <row r="136" spans="1:29" s="98" customFormat="1" ht="13.2" x14ac:dyDescent="0.25">
      <c r="A136" s="158" t="str">
        <f>IF(ISBLANK(D136),"",COUNTA(D$4:D136))</f>
        <v/>
      </c>
      <c r="B136" s="44"/>
      <c r="C136" s="174"/>
      <c r="D136" s="104"/>
      <c r="E136" s="300"/>
      <c r="F136" s="352"/>
      <c r="G136" s="61" t="str">
        <f t="shared" si="4"/>
        <v/>
      </c>
      <c r="H136" s="75" t="s">
        <v>164</v>
      </c>
      <c r="I136" s="194" t="s">
        <v>8</v>
      </c>
      <c r="J136" s="165">
        <f>CEILING(D131*0.75,1)</f>
        <v>15</v>
      </c>
      <c r="K136" s="61"/>
      <c r="L136" s="272">
        <f>IF(ISBLANK(J136),"",K136*J136)</f>
        <v>0</v>
      </c>
      <c r="M136" s="96"/>
      <c r="N136" s="96"/>
    </row>
    <row r="137" spans="1:29" s="98" customFormat="1" ht="13.2" x14ac:dyDescent="0.25">
      <c r="A137" s="158" t="str">
        <f>IF(ISBLANK(D137),"",COUNTA(D$4:D137))</f>
        <v/>
      </c>
      <c r="B137" s="44"/>
      <c r="C137" s="174"/>
      <c r="D137" s="104"/>
      <c r="E137" s="300"/>
      <c r="F137" s="352"/>
      <c r="G137" s="61" t="str">
        <f t="shared" si="4"/>
        <v/>
      </c>
      <c r="H137" s="75" t="s">
        <v>184</v>
      </c>
      <c r="I137" s="194" t="s">
        <v>74</v>
      </c>
      <c r="J137" s="165">
        <f>CEILING(D131*0.2,1)</f>
        <v>4</v>
      </c>
      <c r="K137" s="61"/>
      <c r="L137" s="272">
        <f>IF(ISBLANK(J137),"",K137*J137)</f>
        <v>0</v>
      </c>
      <c r="M137" s="96"/>
      <c r="N137" s="96"/>
    </row>
    <row r="138" spans="1:29" s="98" customFormat="1" ht="13.2" x14ac:dyDescent="0.25">
      <c r="A138" s="158" t="str">
        <f>IF(ISBLANK(D138),"",COUNTA(D$4:D138))</f>
        <v/>
      </c>
      <c r="B138" s="44"/>
      <c r="C138" s="174"/>
      <c r="D138" s="104"/>
      <c r="E138" s="300"/>
      <c r="F138" s="352"/>
      <c r="G138" s="61" t="str">
        <f t="shared" si="4"/>
        <v/>
      </c>
      <c r="H138" s="75" t="s">
        <v>46</v>
      </c>
      <c r="I138" s="194" t="s">
        <v>8</v>
      </c>
      <c r="J138" s="165">
        <f>CEILING((D131*16),1)</f>
        <v>312</v>
      </c>
      <c r="K138" s="61"/>
      <c r="L138" s="272">
        <f>IF(ISBLANK(J138),"",K138*J138)</f>
        <v>0</v>
      </c>
      <c r="M138" s="96"/>
      <c r="N138" s="96"/>
    </row>
    <row r="139" spans="1:29" s="98" customFormat="1" ht="13.2" x14ac:dyDescent="0.25">
      <c r="A139" s="158" t="str">
        <f>IF(ISBLANK(D139),"",COUNTA(D$4:D139))</f>
        <v/>
      </c>
      <c r="B139" s="44"/>
      <c r="C139" s="174"/>
      <c r="D139" s="104"/>
      <c r="E139" s="300"/>
      <c r="F139" s="352"/>
      <c r="G139" s="61" t="str">
        <f t="shared" si="4"/>
        <v/>
      </c>
      <c r="H139" s="44" t="s">
        <v>73</v>
      </c>
      <c r="I139" s="174" t="s">
        <v>74</v>
      </c>
      <c r="J139" s="165">
        <f>CEILING(J133*2*1.1/100,0.5)</f>
        <v>0.5</v>
      </c>
      <c r="K139" s="61"/>
      <c r="L139" s="272">
        <f>IF(ISBLANK(J139),"",K139*J139)</f>
        <v>0</v>
      </c>
      <c r="M139" s="96"/>
      <c r="N139" s="96"/>
    </row>
    <row r="140" spans="1:29" s="98" customFormat="1" ht="13.2" x14ac:dyDescent="0.25">
      <c r="A140" s="158" t="str">
        <f>IF(ISBLANK(D140),"",COUNTA(D$4:D140))</f>
        <v/>
      </c>
      <c r="B140" s="44"/>
      <c r="C140" s="174"/>
      <c r="D140" s="104"/>
      <c r="E140" s="300"/>
      <c r="F140" s="352"/>
      <c r="G140" s="61" t="str">
        <f t="shared" si="4"/>
        <v/>
      </c>
      <c r="H140" s="75" t="s">
        <v>75</v>
      </c>
      <c r="I140" s="194" t="s">
        <v>74</v>
      </c>
      <c r="J140" s="165">
        <f>CEILING(D131*15/100,4)</f>
        <v>4</v>
      </c>
      <c r="K140" s="61"/>
      <c r="L140" s="272">
        <f>IF(ISBLANK(J140),"",K140*J140)</f>
        <v>0</v>
      </c>
      <c r="M140" s="96"/>
      <c r="N140" s="96"/>
    </row>
    <row r="141" spans="1:29" s="98" customFormat="1" ht="13.2" x14ac:dyDescent="0.25">
      <c r="A141" s="158" t="str">
        <f>IF(ISBLANK(D141),"",COUNTA(D$4:D141))</f>
        <v/>
      </c>
      <c r="B141" s="262"/>
      <c r="C141" s="301"/>
      <c r="D141" s="302"/>
      <c r="E141" s="300"/>
      <c r="F141" s="352"/>
      <c r="G141" s="61" t="str">
        <f t="shared" si="4"/>
        <v/>
      </c>
      <c r="H141" s="44" t="s">
        <v>76</v>
      </c>
      <c r="I141" s="194" t="s">
        <v>19</v>
      </c>
      <c r="J141" s="212">
        <f>CEILING(J133*1.2,1)</f>
        <v>22</v>
      </c>
      <c r="K141" s="61"/>
      <c r="L141" s="272">
        <f>IF(ISBLANK(J141),"",K141*J141)</f>
        <v>0</v>
      </c>
      <c r="M141" s="96"/>
      <c r="N141" s="96"/>
    </row>
    <row r="142" spans="1:29" s="98" customFormat="1" ht="26.4" x14ac:dyDescent="0.25">
      <c r="A142" s="158" t="str">
        <f>IF(ISBLANK(D142),"",COUNTA(D$4:D142))</f>
        <v/>
      </c>
      <c r="B142" s="44"/>
      <c r="C142" s="174"/>
      <c r="D142" s="104"/>
      <c r="E142" s="56"/>
      <c r="F142" s="56"/>
      <c r="G142" s="61" t="str">
        <f t="shared" si="4"/>
        <v/>
      </c>
      <c r="H142" s="167" t="s">
        <v>219</v>
      </c>
      <c r="I142" s="192" t="s">
        <v>47</v>
      </c>
      <c r="J142" s="165">
        <f>CEILING(D131*25*1.1/1000,0.01)</f>
        <v>0.54</v>
      </c>
      <c r="K142" s="61"/>
      <c r="L142" s="272">
        <f>IF(ISBLANK(J142),"",K142*J142)</f>
        <v>0</v>
      </c>
      <c r="M142" s="96"/>
      <c r="N142" s="96"/>
    </row>
    <row r="143" spans="1:29" ht="25.2" customHeight="1" x14ac:dyDescent="0.25">
      <c r="A143" s="158" t="str">
        <f>IF(ISBLANK(D143),"",COUNTA(D$4:D143))</f>
        <v/>
      </c>
      <c r="B143" s="49"/>
      <c r="C143" s="85"/>
      <c r="D143" s="56"/>
      <c r="E143" s="57"/>
      <c r="F143" s="57"/>
      <c r="G143" s="61" t="str">
        <f t="shared" si="4"/>
        <v/>
      </c>
      <c r="H143" s="167" t="s">
        <v>49</v>
      </c>
      <c r="I143" s="192" t="s">
        <v>47</v>
      </c>
      <c r="J143" s="165">
        <f>CEILING(D131*25*1.1/1000,0.5)</f>
        <v>1</v>
      </c>
      <c r="K143" s="239"/>
      <c r="L143" s="272">
        <f>IF(ISBLANK(J143),"",K143*J143)</f>
        <v>0</v>
      </c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</row>
    <row r="144" spans="1:29" s="102" customFormat="1" ht="26.4" x14ac:dyDescent="0.25">
      <c r="A144" s="158">
        <f>IF(ISBLANK(D144),"",COUNTA(D$4:D144))</f>
        <v>54</v>
      </c>
      <c r="B144" s="303" t="s">
        <v>128</v>
      </c>
      <c r="C144" s="304" t="s">
        <v>7</v>
      </c>
      <c r="D144" s="305">
        <f>D131</f>
        <v>19.5</v>
      </c>
      <c r="E144" s="306"/>
      <c r="F144" s="352"/>
      <c r="G144" s="61">
        <f t="shared" si="4"/>
        <v>0</v>
      </c>
      <c r="H144" s="75" t="s">
        <v>173</v>
      </c>
      <c r="I144" s="192" t="s">
        <v>7</v>
      </c>
      <c r="J144" s="165">
        <f>CEILING(D144*1.1*2,0.1)</f>
        <v>42.900000000000006</v>
      </c>
      <c r="K144" s="61"/>
      <c r="L144" s="272">
        <f>IF(ISBLANK(J144),"",K144*J144)</f>
        <v>0</v>
      </c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</row>
    <row r="145" spans="1:29" s="98" customFormat="1" ht="16.2" customHeight="1" x14ac:dyDescent="0.25">
      <c r="A145" s="158">
        <f>IF(ISBLANK(D145),"",COUNTA(D$4:D145))</f>
        <v>55</v>
      </c>
      <c r="B145" s="44" t="s">
        <v>77</v>
      </c>
      <c r="C145" s="174" t="s">
        <v>19</v>
      </c>
      <c r="D145" s="104">
        <f>D131*1.1</f>
        <v>21.450000000000003</v>
      </c>
      <c r="E145" s="300"/>
      <c r="F145" s="352"/>
      <c r="G145" s="61">
        <f t="shared" si="4"/>
        <v>0</v>
      </c>
      <c r="H145" s="44" t="s">
        <v>50</v>
      </c>
      <c r="I145" s="174" t="s">
        <v>26</v>
      </c>
      <c r="J145" s="104">
        <f>CEILING(D145*0.45,1)</f>
        <v>10</v>
      </c>
      <c r="K145" s="61"/>
      <c r="L145" s="272">
        <f>IF(ISBLANK(J145),"",K145*J145)</f>
        <v>0</v>
      </c>
      <c r="M145" s="97"/>
      <c r="N145" s="96"/>
    </row>
    <row r="146" spans="1:29" s="98" customFormat="1" ht="16.2" customHeight="1" x14ac:dyDescent="0.25">
      <c r="A146" s="158" t="str">
        <f>IF(ISBLANK(D146),"",COUNTA(D$4:D146))</f>
        <v/>
      </c>
      <c r="B146" s="44"/>
      <c r="C146" s="174"/>
      <c r="D146" s="104"/>
      <c r="E146" s="300"/>
      <c r="F146" s="352"/>
      <c r="G146" s="61" t="str">
        <f t="shared" si="4"/>
        <v/>
      </c>
      <c r="H146" s="44" t="s">
        <v>39</v>
      </c>
      <c r="I146" s="174" t="s">
        <v>21</v>
      </c>
      <c r="J146" s="104">
        <f>CEILING(D145*0.15*0.1,0.1)</f>
        <v>0.4</v>
      </c>
      <c r="K146" s="57"/>
      <c r="L146" s="272">
        <f>IF(ISBLANK(J146),"",K146*J146)</f>
        <v>0</v>
      </c>
      <c r="M146" s="50"/>
      <c r="N146" s="96"/>
    </row>
    <row r="147" spans="1:29" s="98" customFormat="1" ht="16.2" customHeight="1" x14ac:dyDescent="0.25">
      <c r="A147" s="158" t="str">
        <f>IF(ISBLANK(D147),"",COUNTA(D$4:D147))</f>
        <v/>
      </c>
      <c r="B147" s="44"/>
      <c r="C147" s="174"/>
      <c r="D147" s="104"/>
      <c r="E147" s="300"/>
      <c r="F147" s="352"/>
      <c r="G147" s="61" t="str">
        <f t="shared" si="4"/>
        <v/>
      </c>
      <c r="H147" s="44" t="s">
        <v>51</v>
      </c>
      <c r="I147" s="174" t="s">
        <v>19</v>
      </c>
      <c r="J147" s="104">
        <f>CEILING(D145*1.05,1)</f>
        <v>23</v>
      </c>
      <c r="K147" s="61"/>
      <c r="L147" s="272">
        <f>IF(ISBLANK(J147),"",K147*J147)</f>
        <v>0</v>
      </c>
      <c r="M147" s="96"/>
      <c r="N147" s="96"/>
    </row>
    <row r="148" spans="1:29" s="94" customFormat="1" ht="12.75" customHeight="1" x14ac:dyDescent="0.25">
      <c r="A148" s="158" t="str">
        <f>IF(ISBLANK(D148),"",COUNTA(D$4:D148))</f>
        <v/>
      </c>
      <c r="B148" s="297" t="s">
        <v>114</v>
      </c>
      <c r="C148" s="271"/>
      <c r="D148" s="271"/>
      <c r="E148" s="271"/>
      <c r="F148" s="349"/>
      <c r="G148" s="61" t="str">
        <f t="shared" si="4"/>
        <v/>
      </c>
      <c r="H148" s="89"/>
      <c r="I148" s="89"/>
      <c r="J148" s="89"/>
      <c r="K148" s="89"/>
      <c r="L148" s="272" t="str">
        <f>IF(ISBLANK(J148),"",K148*J148)</f>
        <v/>
      </c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</row>
    <row r="149" spans="1:29" s="94" customFormat="1" ht="12.75" customHeight="1" x14ac:dyDescent="0.25">
      <c r="A149" s="158">
        <f>IF(ISBLANK(D149),"",COUNTA(D$4:D149))</f>
        <v>56</v>
      </c>
      <c r="B149" s="89" t="s">
        <v>79</v>
      </c>
      <c r="C149" s="271" t="s">
        <v>7</v>
      </c>
      <c r="D149" s="271">
        <f>D151</f>
        <v>1.68</v>
      </c>
      <c r="E149" s="89"/>
      <c r="F149" s="351"/>
      <c r="G149" s="61">
        <f t="shared" si="4"/>
        <v>0</v>
      </c>
      <c r="H149" s="89" t="s">
        <v>204</v>
      </c>
      <c r="I149" s="89" t="s">
        <v>26</v>
      </c>
      <c r="J149" s="89">
        <f>CEILING(D149*0.4,0.1)</f>
        <v>0.70000000000000007</v>
      </c>
      <c r="K149" s="57"/>
      <c r="L149" s="272">
        <f>IF(ISBLANK(J149),"",K149*J149)</f>
        <v>0</v>
      </c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</row>
    <row r="150" spans="1:29" s="94" customFormat="1" ht="12.75" customHeight="1" x14ac:dyDescent="0.25">
      <c r="A150" s="158">
        <f>IF(ISBLANK(D150),"",COUNTA(D$4:D150))</f>
        <v>57</v>
      </c>
      <c r="B150" s="89" t="s">
        <v>129</v>
      </c>
      <c r="C150" s="89" t="s">
        <v>7</v>
      </c>
      <c r="D150" s="89">
        <f>D149</f>
        <v>1.68</v>
      </c>
      <c r="E150" s="89"/>
      <c r="F150" s="351"/>
      <c r="G150" s="61">
        <f t="shared" si="4"/>
        <v>0</v>
      </c>
      <c r="H150" s="89" t="s">
        <v>218</v>
      </c>
      <c r="I150" s="89" t="s">
        <v>7</v>
      </c>
      <c r="J150" s="89">
        <f>1.1*D150</f>
        <v>1.8480000000000001</v>
      </c>
      <c r="K150" s="89"/>
      <c r="L150" s="272">
        <f>IF(ISBLANK(J150),"",K150*J150)</f>
        <v>0</v>
      </c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</row>
    <row r="151" spans="1:29" s="94" customFormat="1" ht="26.4" x14ac:dyDescent="0.25">
      <c r="A151" s="158">
        <f>IF(ISBLANK(D151),"",COUNTA(D$4:D151))</f>
        <v>58</v>
      </c>
      <c r="B151" s="89" t="s">
        <v>210</v>
      </c>
      <c r="C151" s="89" t="s">
        <v>7</v>
      </c>
      <c r="D151" s="89">
        <f>2*0.84</f>
        <v>1.68</v>
      </c>
      <c r="E151" s="89"/>
      <c r="F151" s="351"/>
      <c r="G151" s="61">
        <f t="shared" si="4"/>
        <v>0</v>
      </c>
      <c r="H151" s="89" t="s">
        <v>116</v>
      </c>
      <c r="I151" s="89" t="s">
        <v>26</v>
      </c>
      <c r="J151" s="89">
        <f>CEILING(D151*32,1)</f>
        <v>54</v>
      </c>
      <c r="K151" s="89"/>
      <c r="L151" s="272">
        <f>IF(ISBLANK(J151),"",K151*J151)</f>
        <v>0</v>
      </c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</row>
    <row r="152" spans="1:29" s="94" customFormat="1" ht="12.75" customHeight="1" x14ac:dyDescent="0.25">
      <c r="A152" s="158" t="str">
        <f>IF(ISBLANK(D152),"",COUNTA(D$4:D152))</f>
        <v/>
      </c>
      <c r="B152" s="163"/>
      <c r="C152" s="298"/>
      <c r="D152" s="298"/>
      <c r="E152" s="298"/>
      <c r="F152" s="349"/>
      <c r="G152" s="61" t="str">
        <f t="shared" si="4"/>
        <v/>
      </c>
      <c r="H152" s="89" t="s">
        <v>117</v>
      </c>
      <c r="I152" s="89" t="s">
        <v>19</v>
      </c>
      <c r="J152" s="89">
        <f>CEILING(1*D151,1)</f>
        <v>2</v>
      </c>
      <c r="K152" s="89"/>
      <c r="L152" s="272">
        <f>IF(ISBLANK(J152),"",K152*J152)</f>
        <v>0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1:29" s="94" customFormat="1" ht="12.75" customHeight="1" x14ac:dyDescent="0.25">
      <c r="A153" s="158" t="str">
        <f>IF(ISBLANK(D153),"",COUNTA(D$4:D153))</f>
        <v/>
      </c>
      <c r="B153" s="297"/>
      <c r="C153" s="271"/>
      <c r="D153" s="271"/>
      <c r="E153" s="271"/>
      <c r="F153" s="349"/>
      <c r="G153" s="61" t="str">
        <f t="shared" si="4"/>
        <v/>
      </c>
      <c r="H153" s="89" t="s">
        <v>118</v>
      </c>
      <c r="I153" s="89" t="s">
        <v>19</v>
      </c>
      <c r="J153" s="89">
        <f>0.25*D151</f>
        <v>0.42</v>
      </c>
      <c r="K153" s="89"/>
      <c r="L153" s="272">
        <f>IF(ISBLANK(J153),"",K153*J153)</f>
        <v>0</v>
      </c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</row>
    <row r="154" spans="1:29" s="98" customFormat="1" ht="13.2" x14ac:dyDescent="0.25">
      <c r="A154" s="158" t="str">
        <f>IF(ISBLANK(D154),"",COUNTA(D$4:D154))</f>
        <v/>
      </c>
      <c r="B154" s="83" t="s">
        <v>78</v>
      </c>
      <c r="C154" s="174"/>
      <c r="D154" s="104"/>
      <c r="E154" s="300"/>
      <c r="F154" s="352"/>
      <c r="G154" s="61" t="str">
        <f t="shared" si="4"/>
        <v/>
      </c>
      <c r="H154" s="44"/>
      <c r="I154" s="174"/>
      <c r="J154" s="104"/>
      <c r="K154" s="61"/>
      <c r="L154" s="272" t="str">
        <f>IF(ISBLANK(J154),"",K154*J154)</f>
        <v/>
      </c>
      <c r="M154" s="96"/>
      <c r="N154" s="96"/>
    </row>
    <row r="155" spans="1:29" s="98" customFormat="1" ht="13.2" x14ac:dyDescent="0.25">
      <c r="A155" s="158" t="str">
        <f>IF(ISBLANK(D155),"",COUNTA(D$4:D155))</f>
        <v/>
      </c>
      <c r="B155" s="83"/>
      <c r="C155" s="174"/>
      <c r="D155" s="104"/>
      <c r="E155" s="300"/>
      <c r="F155" s="352"/>
      <c r="G155" s="61" t="str">
        <f t="shared" si="4"/>
        <v/>
      </c>
      <c r="H155" s="44"/>
      <c r="I155" s="174"/>
      <c r="J155" s="104"/>
      <c r="K155" s="61"/>
      <c r="L155" s="272" t="str">
        <f>IF(ISBLANK(J155),"",K155*J155)</f>
        <v/>
      </c>
      <c r="M155" s="96"/>
      <c r="N155" s="96"/>
    </row>
    <row r="156" spans="1:29" s="98" customFormat="1" ht="13.2" x14ac:dyDescent="0.25">
      <c r="A156" s="158">
        <f>IF(ISBLANK(D156),"",COUNTA(D$4:D156))</f>
        <v>59</v>
      </c>
      <c r="B156" s="44" t="s">
        <v>79</v>
      </c>
      <c r="C156" s="174" t="s">
        <v>7</v>
      </c>
      <c r="D156" s="104">
        <f>2.86+0.84</f>
        <v>3.6999999999999997</v>
      </c>
      <c r="E156" s="300"/>
      <c r="F156" s="352"/>
      <c r="G156" s="61">
        <f t="shared" si="4"/>
        <v>0</v>
      </c>
      <c r="H156" s="44" t="s">
        <v>39</v>
      </c>
      <c r="I156" s="174" t="s">
        <v>21</v>
      </c>
      <c r="J156" s="104">
        <f>CEILING(D156*0.15,0.1)</f>
        <v>0.60000000000000009</v>
      </c>
      <c r="K156" s="57"/>
      <c r="L156" s="272">
        <f>IF(ISBLANK(J156),"",K156*J156)</f>
        <v>0</v>
      </c>
      <c r="M156" s="50"/>
      <c r="N156" s="96"/>
    </row>
    <row r="157" spans="1:29" s="98" customFormat="1" ht="13.2" x14ac:dyDescent="0.25">
      <c r="A157" s="158">
        <f>IF(ISBLANK(D157),"",COUNTA(D$4:D157))</f>
        <v>60</v>
      </c>
      <c r="B157" s="44" t="s">
        <v>80</v>
      </c>
      <c r="C157" s="174" t="s">
        <v>7</v>
      </c>
      <c r="D157" s="104">
        <f>D156</f>
        <v>3.6999999999999997</v>
      </c>
      <c r="E157" s="300"/>
      <c r="F157" s="352"/>
      <c r="G157" s="61">
        <f t="shared" si="4"/>
        <v>0</v>
      </c>
      <c r="H157" s="44" t="s">
        <v>120</v>
      </c>
      <c r="I157" s="174" t="s">
        <v>26</v>
      </c>
      <c r="J157" s="104">
        <f>CEILING(D157*1.5,1)</f>
        <v>6</v>
      </c>
      <c r="K157" s="239"/>
      <c r="L157" s="272">
        <f>IF(ISBLANK(J157),"",K157*J157)</f>
        <v>0</v>
      </c>
      <c r="M157" s="339"/>
      <c r="N157" s="96"/>
    </row>
    <row r="158" spans="1:29" s="98" customFormat="1" ht="13.2" x14ac:dyDescent="0.25">
      <c r="A158" s="158" t="str">
        <f>IF(ISBLANK(D158),"",COUNTA(D$4:D158))</f>
        <v/>
      </c>
      <c r="B158" s="44"/>
      <c r="C158" s="174"/>
      <c r="D158" s="104"/>
      <c r="E158" s="300"/>
      <c r="F158" s="352"/>
      <c r="G158" s="61" t="str">
        <f t="shared" si="4"/>
        <v/>
      </c>
      <c r="H158" s="89" t="s">
        <v>113</v>
      </c>
      <c r="I158" s="174" t="s">
        <v>19</v>
      </c>
      <c r="J158" s="104">
        <f>CEILING(D157*0.1,1)</f>
        <v>1</v>
      </c>
      <c r="K158" s="239"/>
      <c r="L158" s="272">
        <f>IF(ISBLANK(J158),"",K158*J158)</f>
        <v>0</v>
      </c>
      <c r="M158" s="96"/>
      <c r="N158" s="96"/>
    </row>
    <row r="159" spans="1:29" s="98" customFormat="1" ht="13.2" x14ac:dyDescent="0.25">
      <c r="A159" s="158" t="str">
        <f>IF(ISBLANK(D159),"",COUNTA(D$4:D159))</f>
        <v/>
      </c>
      <c r="B159" s="83" t="s">
        <v>81</v>
      </c>
      <c r="C159" s="174"/>
      <c r="D159" s="104"/>
      <c r="E159" s="300"/>
      <c r="F159" s="352"/>
      <c r="G159" s="61" t="str">
        <f t="shared" si="4"/>
        <v/>
      </c>
      <c r="H159" s="44"/>
      <c r="I159" s="174"/>
      <c r="J159" s="104"/>
      <c r="K159" s="61"/>
      <c r="L159" s="272" t="str">
        <f>IF(ISBLANK(J159),"",K159*J159)</f>
        <v/>
      </c>
      <c r="M159" s="96"/>
      <c r="N159" s="96"/>
    </row>
    <row r="160" spans="1:29" s="98" customFormat="1" ht="13.2" x14ac:dyDescent="0.25">
      <c r="A160" s="158">
        <f>IF(ISBLANK(D160),"",COUNTA(D$4:D160))</f>
        <v>61</v>
      </c>
      <c r="B160" s="44" t="s">
        <v>79</v>
      </c>
      <c r="C160" s="174" t="s">
        <v>7</v>
      </c>
      <c r="D160" s="104">
        <f>D157</f>
        <v>3.6999999999999997</v>
      </c>
      <c r="E160" s="300"/>
      <c r="F160" s="352"/>
      <c r="G160" s="61">
        <f t="shared" si="4"/>
        <v>0</v>
      </c>
      <c r="H160" s="44" t="s">
        <v>58</v>
      </c>
      <c r="I160" s="174" t="s">
        <v>21</v>
      </c>
      <c r="J160" s="104">
        <f>CEILING(D160*0.15,0.1)</f>
        <v>0.60000000000000009</v>
      </c>
      <c r="K160" s="239"/>
      <c r="L160" s="272">
        <f>IF(ISBLANK(J160),"",K160*J160)</f>
        <v>0</v>
      </c>
      <c r="M160" s="96"/>
      <c r="N160" s="96"/>
    </row>
    <row r="161" spans="1:36" s="98" customFormat="1" ht="13.2" x14ac:dyDescent="0.25">
      <c r="A161" s="158">
        <f>IF(ISBLANK(D161),"",COUNTA(D$4:D161))</f>
        <v>62</v>
      </c>
      <c r="B161" s="44" t="s">
        <v>82</v>
      </c>
      <c r="C161" s="174" t="s">
        <v>7</v>
      </c>
      <c r="D161" s="104">
        <f>D160</f>
        <v>3.6999999999999997</v>
      </c>
      <c r="E161" s="300"/>
      <c r="F161" s="352"/>
      <c r="G161" s="61">
        <f t="shared" si="4"/>
        <v>0</v>
      </c>
      <c r="H161" s="44" t="s">
        <v>60</v>
      </c>
      <c r="I161" s="174" t="s">
        <v>21</v>
      </c>
      <c r="J161" s="104">
        <f>CEILING(D161*0.3,1)</f>
        <v>2</v>
      </c>
      <c r="K161" s="239"/>
      <c r="L161" s="272">
        <f>IF(ISBLANK(J161),"",K161*J161)</f>
        <v>0</v>
      </c>
      <c r="M161" s="96"/>
      <c r="N161" s="96"/>
    </row>
    <row r="162" spans="1:36" s="98" customFormat="1" ht="13.2" x14ac:dyDescent="0.25">
      <c r="A162" s="158" t="str">
        <f>IF(ISBLANK(D162),"",COUNTA(D$4:D162))</f>
        <v/>
      </c>
      <c r="B162" s="44"/>
      <c r="C162" s="174"/>
      <c r="D162" s="104"/>
      <c r="E162" s="300"/>
      <c r="F162" s="352"/>
      <c r="G162" s="61" t="str">
        <f t="shared" si="4"/>
        <v/>
      </c>
      <c r="H162" s="75" t="s">
        <v>61</v>
      </c>
      <c r="I162" s="174" t="s">
        <v>62</v>
      </c>
      <c r="J162" s="104">
        <f>CEILING(D161*0.025,1)</f>
        <v>1</v>
      </c>
      <c r="K162" s="61"/>
      <c r="L162" s="272">
        <f>IF(ISBLANK(J162),"",K162*J162)</f>
        <v>0</v>
      </c>
      <c r="M162" s="96"/>
      <c r="N162" s="96"/>
    </row>
    <row r="163" spans="1:36" s="102" customFormat="1" ht="16.95" customHeight="1" x14ac:dyDescent="0.25">
      <c r="A163" s="158" t="str">
        <f>IF(ISBLANK(D163),"",COUNTA(D$4:D163))</f>
        <v/>
      </c>
      <c r="B163" s="307" t="s">
        <v>83</v>
      </c>
      <c r="C163" s="192"/>
      <c r="D163" s="165"/>
      <c r="E163" s="300"/>
      <c r="F163" s="352"/>
      <c r="G163" s="61" t="str">
        <f t="shared" si="4"/>
        <v/>
      </c>
      <c r="H163" s="81"/>
      <c r="I163" s="192"/>
      <c r="J163" s="165"/>
      <c r="K163" s="61"/>
      <c r="L163" s="272" t="str">
        <f>IF(ISBLANK(J163),"",K163*J163)</f>
        <v/>
      </c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</row>
    <row r="164" spans="1:36" s="94" customFormat="1" ht="12.75" customHeight="1" x14ac:dyDescent="0.25">
      <c r="A164" s="158">
        <f>IF(ISBLANK(D164),"",COUNTA(D$4:D164))</f>
        <v>63</v>
      </c>
      <c r="B164" s="89" t="s">
        <v>186</v>
      </c>
      <c r="C164" s="271" t="s">
        <v>7</v>
      </c>
      <c r="D164" s="271">
        <f>D165</f>
        <v>421.49</v>
      </c>
      <c r="E164" s="89"/>
      <c r="F164" s="351"/>
      <c r="G164" s="61">
        <f t="shared" si="4"/>
        <v>0</v>
      </c>
      <c r="H164" s="89" t="s">
        <v>187</v>
      </c>
      <c r="I164" s="89" t="s">
        <v>26</v>
      </c>
      <c r="J164" s="89">
        <f>CEILING(D164*0.107,0.1)</f>
        <v>45.1</v>
      </c>
      <c r="K164" s="89"/>
      <c r="L164" s="272">
        <f>IF(ISBLANK(J164),"",K164*J164)</f>
        <v>0</v>
      </c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</row>
    <row r="165" spans="1:36" s="102" customFormat="1" ht="15" customHeight="1" x14ac:dyDescent="0.25">
      <c r="A165" s="158">
        <f>IF(ISBLANK(D165),"",COUNTA(D$4:D165))</f>
        <v>64</v>
      </c>
      <c r="B165" s="75" t="s">
        <v>84</v>
      </c>
      <c r="C165" s="194" t="s">
        <v>7</v>
      </c>
      <c r="D165" s="212">
        <f>217.99+203.5</f>
        <v>421.49</v>
      </c>
      <c r="E165" s="300"/>
      <c r="F165" s="352"/>
      <c r="G165" s="61">
        <f t="shared" si="4"/>
        <v>0</v>
      </c>
      <c r="H165" s="47" t="s">
        <v>215</v>
      </c>
      <c r="I165" s="308" t="s">
        <v>7</v>
      </c>
      <c r="J165" s="260">
        <f>CEILING(D165*1.05,0.6*0.6)</f>
        <v>442.8</v>
      </c>
      <c r="K165" s="61"/>
      <c r="L165" s="272">
        <f>IF(ISBLANK(J165),"",K165*J165)</f>
        <v>0</v>
      </c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</row>
    <row r="166" spans="1:36" s="102" customFormat="1" ht="15" customHeight="1" x14ac:dyDescent="0.25">
      <c r="A166" s="158" t="str">
        <f>IF(ISBLANK(D166),"",COUNTA(D$4:D166))</f>
        <v/>
      </c>
      <c r="B166" s="75"/>
      <c r="C166" s="194"/>
      <c r="D166" s="212"/>
      <c r="E166" s="300"/>
      <c r="F166" s="352"/>
      <c r="G166" s="61" t="str">
        <f t="shared" si="4"/>
        <v/>
      </c>
      <c r="H166" s="75" t="s">
        <v>176</v>
      </c>
      <c r="I166" s="194" t="s">
        <v>8</v>
      </c>
      <c r="J166" s="260">
        <f>CEILING(D165*0.265,1)</f>
        <v>112</v>
      </c>
      <c r="K166" s="61"/>
      <c r="L166" s="272">
        <f>IF(ISBLANK(J166),"",K166*J166)</f>
        <v>0</v>
      </c>
      <c r="M166" s="343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</row>
    <row r="167" spans="1:36" s="102" customFormat="1" ht="15" customHeight="1" x14ac:dyDescent="0.25">
      <c r="A167" s="158" t="str">
        <f>IF(ISBLANK(D167),"",COUNTA(D$4:D167))</f>
        <v/>
      </c>
      <c r="B167" s="75"/>
      <c r="C167" s="194"/>
      <c r="D167" s="309"/>
      <c r="E167" s="300"/>
      <c r="F167" s="352"/>
      <c r="G167" s="61" t="str">
        <f t="shared" si="4"/>
        <v/>
      </c>
      <c r="H167" s="75" t="s">
        <v>177</v>
      </c>
      <c r="I167" s="194" t="s">
        <v>8</v>
      </c>
      <c r="J167" s="260">
        <f>CEILING(D165*1.58,1)</f>
        <v>666</v>
      </c>
      <c r="K167" s="61"/>
      <c r="L167" s="272">
        <f>IF(ISBLANK(J167),"",K167*J167)</f>
        <v>0</v>
      </c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</row>
    <row r="168" spans="1:36" s="102" customFormat="1" ht="15" customHeight="1" x14ac:dyDescent="0.25">
      <c r="A168" s="158" t="str">
        <f>IF(ISBLANK(D168),"",COUNTA(D$4:D168))</f>
        <v/>
      </c>
      <c r="B168" s="75"/>
      <c r="C168" s="194"/>
      <c r="D168" s="212"/>
      <c r="E168" s="300"/>
      <c r="F168" s="352"/>
      <c r="G168" s="61" t="str">
        <f t="shared" si="4"/>
        <v/>
      </c>
      <c r="H168" s="75" t="s">
        <v>178</v>
      </c>
      <c r="I168" s="194" t="s">
        <v>8</v>
      </c>
      <c r="J168" s="260">
        <f>CEILING(D165*1.58,1)</f>
        <v>666</v>
      </c>
      <c r="K168" s="61"/>
      <c r="L168" s="272">
        <f>IF(ISBLANK(J168),"",K168*J168)</f>
        <v>0</v>
      </c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</row>
    <row r="169" spans="1:36" s="102" customFormat="1" ht="15" customHeight="1" x14ac:dyDescent="0.25">
      <c r="A169" s="158" t="str">
        <f>IF(ISBLANK(D169),"",COUNTA(D$4:D169))</f>
        <v/>
      </c>
      <c r="B169" s="75"/>
      <c r="C169" s="194"/>
      <c r="D169" s="212"/>
      <c r="E169" s="300"/>
      <c r="F169" s="352"/>
      <c r="G169" s="61" t="str">
        <f t="shared" si="4"/>
        <v/>
      </c>
      <c r="H169" s="75" t="s">
        <v>179</v>
      </c>
      <c r="I169" s="194" t="s">
        <v>8</v>
      </c>
      <c r="J169" s="260">
        <f>CEILING(D165*0.355,1)</f>
        <v>150</v>
      </c>
      <c r="K169" s="61"/>
      <c r="L169" s="272">
        <f>IF(ISBLANK(J169),"",K169*J169)</f>
        <v>0</v>
      </c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</row>
    <row r="170" spans="1:36" s="102" customFormat="1" ht="15" customHeight="1" x14ac:dyDescent="0.25">
      <c r="A170" s="158" t="str">
        <f>IF(ISBLANK(D170),"",COUNTA(D$4:D170))</f>
        <v/>
      </c>
      <c r="B170" s="75"/>
      <c r="C170" s="194"/>
      <c r="D170" s="212"/>
      <c r="E170" s="300"/>
      <c r="F170" s="352"/>
      <c r="G170" s="61" t="str">
        <f t="shared" si="4"/>
        <v/>
      </c>
      <c r="H170" s="75" t="s">
        <v>85</v>
      </c>
      <c r="I170" s="194" t="s">
        <v>8</v>
      </c>
      <c r="J170" s="260">
        <f>CEILING(D165*1,1)</f>
        <v>422</v>
      </c>
      <c r="K170" s="61"/>
      <c r="L170" s="272">
        <f>IF(ISBLANK(J170),"",K170*J170)</f>
        <v>0</v>
      </c>
      <c r="M170" s="343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</row>
    <row r="171" spans="1:36" s="102" customFormat="1" ht="15" customHeight="1" x14ac:dyDescent="0.25">
      <c r="A171" s="158" t="str">
        <f>IF(ISBLANK(D171),"",COUNTA(D$4:D171))</f>
        <v/>
      </c>
      <c r="B171" s="75"/>
      <c r="C171" s="194"/>
      <c r="D171" s="212"/>
      <c r="E171" s="300"/>
      <c r="F171" s="352"/>
      <c r="G171" s="61" t="str">
        <f t="shared" si="4"/>
        <v/>
      </c>
      <c r="H171" s="75" t="s">
        <v>86</v>
      </c>
      <c r="I171" s="194" t="s">
        <v>8</v>
      </c>
      <c r="J171" s="260">
        <f>CEILING(D165*1,1)</f>
        <v>422</v>
      </c>
      <c r="K171" s="61"/>
      <c r="L171" s="272">
        <f>IF(ISBLANK(J171),"",K171*J171)</f>
        <v>0</v>
      </c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</row>
    <row r="172" spans="1:36" s="102" customFormat="1" ht="15" customHeight="1" x14ac:dyDescent="0.25">
      <c r="A172" s="158" t="str">
        <f>IF(ISBLANK(D172),"",COUNTA(D$4:D172))</f>
        <v/>
      </c>
      <c r="B172" s="75"/>
      <c r="C172" s="194"/>
      <c r="D172" s="212"/>
      <c r="E172" s="300"/>
      <c r="F172" s="352"/>
      <c r="G172" s="61" t="str">
        <f t="shared" si="4"/>
        <v/>
      </c>
      <c r="H172" s="44" t="s">
        <v>73</v>
      </c>
      <c r="I172" s="174" t="s">
        <v>74</v>
      </c>
      <c r="J172" s="260">
        <f>CEILING(D165*0.025,1)</f>
        <v>11</v>
      </c>
      <c r="K172" s="61"/>
      <c r="L172" s="272">
        <f>IF(ISBLANK(J172),"",K172*J172)</f>
        <v>0</v>
      </c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</row>
    <row r="173" spans="1:36" s="102" customFormat="1" ht="15" customHeight="1" x14ac:dyDescent="0.25">
      <c r="A173" s="158" t="str">
        <f>IF(ISBLANK(D173),"",COUNTA(D$4:D173))</f>
        <v/>
      </c>
      <c r="B173" s="75"/>
      <c r="C173" s="194"/>
      <c r="D173" s="212"/>
      <c r="E173" s="300"/>
      <c r="F173" s="352"/>
      <c r="G173" s="61" t="str">
        <f t="shared" si="4"/>
        <v/>
      </c>
      <c r="H173" s="75" t="s">
        <v>75</v>
      </c>
      <c r="I173" s="194" t="s">
        <v>74</v>
      </c>
      <c r="J173" s="260">
        <f>CEILING(D165*0.01,1)</f>
        <v>5</v>
      </c>
      <c r="K173" s="61"/>
      <c r="L173" s="272">
        <f>IF(ISBLANK(J173),"",K173*J173)</f>
        <v>0</v>
      </c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</row>
    <row r="174" spans="1:36" ht="12.75" customHeight="1" x14ac:dyDescent="0.25">
      <c r="A174" s="158">
        <f>IF(ISBLANK(D174),"",COUNTA(D$4:D174))</f>
        <v>65</v>
      </c>
      <c r="B174" s="89" t="s">
        <v>200</v>
      </c>
      <c r="C174" s="271" t="s">
        <v>19</v>
      </c>
      <c r="D174" s="271">
        <f>D165*0.8</f>
        <v>337.19200000000001</v>
      </c>
      <c r="E174" s="271"/>
      <c r="F174" s="349"/>
      <c r="G174" s="61">
        <f t="shared" si="4"/>
        <v>0</v>
      </c>
      <c r="H174" s="89" t="s">
        <v>201</v>
      </c>
      <c r="I174" s="271" t="s">
        <v>63</v>
      </c>
      <c r="J174" s="271">
        <f>D174/6</f>
        <v>56.198666666666668</v>
      </c>
      <c r="K174" s="89"/>
      <c r="L174" s="272">
        <f>IF(ISBLANK(J174),"",K174*J174)</f>
        <v>0</v>
      </c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</row>
    <row r="175" spans="1:36" s="45" customFormat="1" ht="14.4" customHeight="1" thickBot="1" x14ac:dyDescent="0.3">
      <c r="A175" s="158" t="str">
        <f>IF(ISBLANK(D175),"",COUNTA(D$4:D175))</f>
        <v/>
      </c>
      <c r="B175" s="48"/>
      <c r="C175" s="179"/>
      <c r="D175" s="213"/>
      <c r="E175" s="214"/>
      <c r="F175" s="214"/>
      <c r="G175" s="214"/>
      <c r="H175" s="54"/>
      <c r="I175" s="193"/>
      <c r="J175" s="214"/>
      <c r="K175" s="214"/>
      <c r="L175" s="238"/>
      <c r="M175" s="96"/>
      <c r="N175" s="50"/>
    </row>
    <row r="176" spans="1:36" s="55" customFormat="1" x14ac:dyDescent="0.25">
      <c r="A176" s="134"/>
      <c r="B176" s="138" t="s">
        <v>16</v>
      </c>
      <c r="C176" s="135"/>
      <c r="D176" s="157"/>
      <c r="E176" s="157"/>
      <c r="F176" s="157"/>
      <c r="G176" s="157">
        <f>SUBTOTAL(9,G129:G175)</f>
        <v>0</v>
      </c>
      <c r="H176" s="135" t="s">
        <v>17</v>
      </c>
      <c r="I176" s="135"/>
      <c r="J176" s="157"/>
      <c r="K176" s="157"/>
      <c r="L176" s="157">
        <f>SUBTOTAL(9,L129:L175)</f>
        <v>0</v>
      </c>
      <c r="M176" s="97"/>
    </row>
    <row r="177" spans="1:59" s="33" customFormat="1" ht="17.399999999999999" x14ac:dyDescent="0.3">
      <c r="A177" s="82"/>
      <c r="B177" s="30"/>
      <c r="C177" s="32"/>
      <c r="D177" s="205"/>
      <c r="E177" s="205"/>
      <c r="F177" s="205"/>
      <c r="G177" s="205"/>
      <c r="H177" s="31"/>
      <c r="I177" s="31"/>
      <c r="J177" s="205"/>
      <c r="K177" s="233"/>
      <c r="L177" s="205"/>
      <c r="M177" s="28"/>
    </row>
    <row r="178" spans="1:59" s="33" customFormat="1" ht="19.2" thickBot="1" x14ac:dyDescent="0.35">
      <c r="A178" s="82"/>
      <c r="B178" s="22"/>
      <c r="C178" s="172"/>
      <c r="D178" s="201"/>
      <c r="E178" s="201"/>
      <c r="F178" s="201"/>
      <c r="G178" s="155" t="s">
        <v>87</v>
      </c>
      <c r="H178" s="23"/>
      <c r="I178" s="172"/>
      <c r="J178" s="201"/>
      <c r="K178" s="229"/>
      <c r="L178" s="155">
        <f>SUBTOTAL(9,G179:G203,L179:L203)</f>
        <v>0</v>
      </c>
      <c r="M178" s="95"/>
    </row>
    <row r="179" spans="1:59" s="1" customFormat="1" ht="18.600000000000001" x14ac:dyDescent="0.3">
      <c r="A179" s="70"/>
      <c r="B179" s="17"/>
      <c r="C179" s="18"/>
      <c r="D179" s="74"/>
      <c r="E179" s="74"/>
      <c r="F179" s="74"/>
      <c r="G179" s="74"/>
      <c r="H179" s="17"/>
      <c r="I179" s="18"/>
      <c r="J179" s="74"/>
      <c r="K179" s="207"/>
      <c r="L179" s="230"/>
      <c r="M179" s="95"/>
    </row>
    <row r="180" spans="1:59" s="45" customFormat="1" ht="15" customHeight="1" x14ac:dyDescent="0.25">
      <c r="A180" s="46"/>
      <c r="B180" s="83" t="s">
        <v>88</v>
      </c>
      <c r="C180" s="80"/>
      <c r="D180" s="56"/>
      <c r="E180" s="56"/>
      <c r="F180" s="56"/>
      <c r="G180" s="104" t="str">
        <f t="shared" ref="G180:G201" si="5">IF(ISBLANK(D180),"",E180*D180)</f>
        <v/>
      </c>
      <c r="H180" s="49"/>
      <c r="I180" s="85"/>
      <c r="J180" s="57"/>
      <c r="K180" s="57"/>
      <c r="L180" s="84" t="str">
        <f>IF(ISBLANK(J180),"",K180*J180)</f>
        <v/>
      </c>
      <c r="M180" s="96"/>
      <c r="N180" s="50"/>
    </row>
    <row r="181" spans="1:59" s="45" customFormat="1" ht="13.2" x14ac:dyDescent="0.25">
      <c r="A181" s="265">
        <f>IF(ISBLANK(D181),"",COUNTA(D$4:D181))</f>
        <v>66</v>
      </c>
      <c r="B181" s="44" t="s">
        <v>89</v>
      </c>
      <c r="C181" s="174" t="s">
        <v>90</v>
      </c>
      <c r="D181" s="104">
        <f>SUM(J181:J184)</f>
        <v>20</v>
      </c>
      <c r="E181" s="56"/>
      <c r="F181" s="56"/>
      <c r="G181" s="104">
        <f t="shared" si="5"/>
        <v>0</v>
      </c>
      <c r="H181" s="44" t="s">
        <v>191</v>
      </c>
      <c r="I181" s="174" t="s">
        <v>90</v>
      </c>
      <c r="J181" s="104">
        <f>2+4</f>
        <v>6</v>
      </c>
      <c r="K181" s="57"/>
      <c r="L181" s="79">
        <f>IF(ISBLANK(J181),"",K181*J181)</f>
        <v>0</v>
      </c>
      <c r="M181" s="96"/>
      <c r="N181" s="96"/>
      <c r="O181" s="98"/>
      <c r="P181" s="98"/>
    </row>
    <row r="182" spans="1:59" s="45" customFormat="1" ht="13.2" x14ac:dyDescent="0.25">
      <c r="A182" s="265" t="str">
        <f>IF(ISBLANK(D182),"",COUNTA(D$4:D182))</f>
        <v/>
      </c>
      <c r="B182" s="44"/>
      <c r="C182" s="174"/>
      <c r="D182" s="104"/>
      <c r="E182" s="56"/>
      <c r="F182" s="56"/>
      <c r="G182" s="104" t="str">
        <f t="shared" ref="G182" si="6">IF(ISBLANK(D182),"",E182*D182)</f>
        <v/>
      </c>
      <c r="H182" s="44" t="s">
        <v>213</v>
      </c>
      <c r="I182" s="174" t="s">
        <v>90</v>
      </c>
      <c r="J182" s="104">
        <v>1</v>
      </c>
      <c r="K182" s="57"/>
      <c r="L182" s="79">
        <f>IF(ISBLANK(J182),"",K182*J182)</f>
        <v>0</v>
      </c>
      <c r="M182" s="96"/>
      <c r="N182" s="96"/>
      <c r="O182" s="98"/>
      <c r="P182" s="98"/>
    </row>
    <row r="183" spans="1:59" s="45" customFormat="1" ht="13.2" x14ac:dyDescent="0.25">
      <c r="A183" s="265" t="str">
        <f>IF(ISBLANK(D183),"",COUNTA(D$4:D183))</f>
        <v/>
      </c>
      <c r="B183" s="44"/>
      <c r="C183" s="174"/>
      <c r="D183" s="104"/>
      <c r="E183" s="56"/>
      <c r="F183" s="56"/>
      <c r="G183" s="104" t="str">
        <f t="shared" si="5"/>
        <v/>
      </c>
      <c r="H183" s="44" t="s">
        <v>211</v>
      </c>
      <c r="I183" s="174" t="s">
        <v>90</v>
      </c>
      <c r="J183" s="104">
        <f>5+5</f>
        <v>10</v>
      </c>
      <c r="K183" s="57"/>
      <c r="L183" s="79">
        <f>IF(ISBLANK(J183),"",K183*J183)</f>
        <v>0</v>
      </c>
      <c r="M183" s="96"/>
      <c r="N183" s="96"/>
      <c r="O183" s="98"/>
      <c r="P183" s="98"/>
    </row>
    <row r="184" spans="1:59" s="45" customFormat="1" ht="13.2" x14ac:dyDescent="0.25">
      <c r="A184" s="265" t="str">
        <f>IF(ISBLANK(D184),"",COUNTA(D$4:D184))</f>
        <v/>
      </c>
      <c r="B184" s="44"/>
      <c r="C184" s="174"/>
      <c r="D184" s="104"/>
      <c r="E184" s="56"/>
      <c r="F184" s="56"/>
      <c r="G184" s="104" t="str">
        <f t="shared" si="5"/>
        <v/>
      </c>
      <c r="H184" s="44" t="s">
        <v>212</v>
      </c>
      <c r="I184" s="174" t="s">
        <v>90</v>
      </c>
      <c r="J184" s="104">
        <f>1+2</f>
        <v>3</v>
      </c>
      <c r="K184" s="57"/>
      <c r="L184" s="79">
        <f>IF(ISBLANK(J184),"",K184*J184)</f>
        <v>0</v>
      </c>
      <c r="M184" s="96"/>
      <c r="N184" s="96"/>
      <c r="O184" s="98"/>
      <c r="P184" s="98"/>
    </row>
    <row r="185" spans="1:59" s="45" customFormat="1" ht="13.2" x14ac:dyDescent="0.25">
      <c r="A185" s="265" t="str">
        <f>IF(ISBLANK(D185),"",COUNTA(D$4:D185))</f>
        <v/>
      </c>
      <c r="B185" s="44"/>
      <c r="C185" s="174"/>
      <c r="D185" s="104"/>
      <c r="E185" s="56"/>
      <c r="F185" s="56"/>
      <c r="G185" s="104" t="str">
        <f t="shared" si="5"/>
        <v/>
      </c>
      <c r="H185" s="44" t="s">
        <v>175</v>
      </c>
      <c r="I185" s="174" t="s">
        <v>19</v>
      </c>
      <c r="J185" s="104">
        <f>104.7+105.2</f>
        <v>209.9</v>
      </c>
      <c r="K185" s="57"/>
      <c r="L185" s="79">
        <f>IF(ISBLANK(J185),"",K185*J185)</f>
        <v>0</v>
      </c>
      <c r="M185" s="96"/>
      <c r="N185" s="96"/>
      <c r="O185" s="98"/>
      <c r="P185" s="98"/>
    </row>
    <row r="186" spans="1:59" ht="13.2" customHeight="1" x14ac:dyDescent="0.25">
      <c r="A186" s="265" t="str">
        <f>IF(ISBLANK(D186),"",COUNTA(D$4:D186))</f>
        <v/>
      </c>
      <c r="B186" s="44"/>
      <c r="C186" s="80"/>
      <c r="D186" s="56"/>
      <c r="E186" s="56"/>
      <c r="F186" s="56"/>
      <c r="G186" s="104" t="str">
        <f t="shared" si="5"/>
        <v/>
      </c>
      <c r="H186" s="44" t="s">
        <v>185</v>
      </c>
      <c r="I186" s="80" t="s">
        <v>8</v>
      </c>
      <c r="J186" s="56">
        <f>3*D181</f>
        <v>60</v>
      </c>
      <c r="K186" s="57"/>
      <c r="L186" s="79">
        <f>IF(ISBLANK(J186),"",K186*J186)</f>
        <v>0</v>
      </c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</row>
    <row r="187" spans="1:59" ht="15" customHeight="1" x14ac:dyDescent="0.25">
      <c r="A187" s="265" t="str">
        <f>IF(ISBLANK(D187),"",COUNTA(D$4:D187))</f>
        <v/>
      </c>
      <c r="B187" s="44"/>
      <c r="C187" s="80"/>
      <c r="D187" s="56"/>
      <c r="E187" s="56"/>
      <c r="F187" s="56"/>
      <c r="G187" s="104" t="str">
        <f t="shared" si="5"/>
        <v/>
      </c>
      <c r="H187" s="44" t="s">
        <v>91</v>
      </c>
      <c r="I187" s="80" t="s">
        <v>8</v>
      </c>
      <c r="J187" s="56">
        <f>D181</f>
        <v>20</v>
      </c>
      <c r="K187" s="57"/>
      <c r="L187" s="79">
        <f>IF(ISBLANK(J187),"",K187*J187)</f>
        <v>0</v>
      </c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</row>
    <row r="188" spans="1:59" s="102" customFormat="1" ht="17.399999999999999" customHeight="1" x14ac:dyDescent="0.25">
      <c r="A188" s="265" t="str">
        <f>IF(ISBLANK(D188),"",COUNTA(D$4:D188))</f>
        <v/>
      </c>
      <c r="B188" s="83" t="s">
        <v>88</v>
      </c>
      <c r="C188" s="251"/>
      <c r="D188" s="251"/>
      <c r="E188" s="251"/>
      <c r="F188" s="251"/>
      <c r="G188" s="104" t="str">
        <f t="shared" si="5"/>
        <v/>
      </c>
      <c r="H188" s="310"/>
      <c r="I188" s="251"/>
      <c r="J188" s="57"/>
      <c r="K188" s="251"/>
      <c r="L188" s="79" t="str">
        <f>IF(ISBLANK(J188),"",K188*J188)</f>
        <v/>
      </c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</row>
    <row r="189" spans="1:59" s="102" customFormat="1" x14ac:dyDescent="0.25">
      <c r="A189" s="265">
        <f>IF(ISBLANK(D189),"",COUNTA(D$4:D189))</f>
        <v>67</v>
      </c>
      <c r="B189" s="44" t="s">
        <v>92</v>
      </c>
      <c r="C189" s="251" t="s">
        <v>109</v>
      </c>
      <c r="D189" s="251">
        <f>SUM(J189:J189)</f>
        <v>3</v>
      </c>
      <c r="E189" s="251"/>
      <c r="F189" s="251"/>
      <c r="G189" s="104">
        <f t="shared" si="5"/>
        <v>0</v>
      </c>
      <c r="H189" s="285" t="s">
        <v>192</v>
      </c>
      <c r="I189" s="251" t="s">
        <v>8</v>
      </c>
      <c r="J189" s="57">
        <v>3</v>
      </c>
      <c r="K189" s="251"/>
      <c r="L189" s="79">
        <f>IF(ISBLANK(J189),"",K189*J189)</f>
        <v>0</v>
      </c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</row>
    <row r="190" spans="1:59" s="102" customFormat="1" ht="17.399999999999999" customHeight="1" x14ac:dyDescent="0.25">
      <c r="A190" s="265" t="str">
        <f>IF(ISBLANK(D190),"",COUNTA(D$4:D190))</f>
        <v/>
      </c>
      <c r="B190" s="49"/>
      <c r="C190" s="251"/>
      <c r="D190" s="251"/>
      <c r="E190" s="251"/>
      <c r="F190" s="251"/>
      <c r="G190" s="104" t="str">
        <f t="shared" si="5"/>
        <v/>
      </c>
      <c r="H190" s="44" t="s">
        <v>185</v>
      </c>
      <c r="I190" s="251" t="s">
        <v>8</v>
      </c>
      <c r="J190" s="57">
        <f>D189</f>
        <v>3</v>
      </c>
      <c r="K190" s="57"/>
      <c r="L190" s="79">
        <f>IF(ISBLANK(J190),"",K190*J190)</f>
        <v>0</v>
      </c>
      <c r="M190" s="91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</row>
    <row r="191" spans="1:59" ht="15" customHeight="1" x14ac:dyDescent="0.25">
      <c r="A191" s="265" t="str">
        <f>IF(ISBLANK(D191),"",COUNTA(D$4:D191))</f>
        <v/>
      </c>
      <c r="B191" s="44"/>
      <c r="C191" s="80"/>
      <c r="D191" s="56"/>
      <c r="E191" s="56"/>
      <c r="F191" s="56"/>
      <c r="G191" s="104" t="str">
        <f t="shared" si="5"/>
        <v/>
      </c>
      <c r="H191" s="44" t="s">
        <v>91</v>
      </c>
      <c r="I191" s="80" t="s">
        <v>8</v>
      </c>
      <c r="J191" s="56">
        <f>D189</f>
        <v>3</v>
      </c>
      <c r="K191" s="57"/>
      <c r="L191" s="79">
        <f>IF(ISBLANK(J191),"",K191*J191)</f>
        <v>0</v>
      </c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</row>
    <row r="192" spans="1:59" s="102" customFormat="1" ht="17.399999999999999" customHeight="1" x14ac:dyDescent="0.25">
      <c r="A192" s="265" t="str">
        <f>IF(ISBLANK(D192),"",COUNTA(D$4:D192))</f>
        <v/>
      </c>
      <c r="B192" s="164" t="s">
        <v>157</v>
      </c>
      <c r="C192" s="251"/>
      <c r="D192" s="251"/>
      <c r="E192" s="251"/>
      <c r="F192" s="251"/>
      <c r="G192" s="104" t="str">
        <f t="shared" si="5"/>
        <v/>
      </c>
      <c r="H192" s="310"/>
      <c r="I192" s="251"/>
      <c r="J192" s="57"/>
      <c r="K192" s="251"/>
      <c r="L192" s="79" t="str">
        <f>IF(ISBLANK(J192),"",K192*J192)</f>
        <v/>
      </c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</row>
    <row r="193" spans="1:59" s="102" customFormat="1" x14ac:dyDescent="0.25">
      <c r="A193" s="265">
        <f>IF(ISBLANK(D193),"",COUNTA(D$4:D193))</f>
        <v>68</v>
      </c>
      <c r="B193" s="49" t="s">
        <v>158</v>
      </c>
      <c r="C193" s="251" t="s">
        <v>109</v>
      </c>
      <c r="D193" s="251">
        <f>SUM(J193:J193)</f>
        <v>2</v>
      </c>
      <c r="E193" s="251"/>
      <c r="F193" s="251"/>
      <c r="G193" s="104">
        <f t="shared" si="5"/>
        <v>0</v>
      </c>
      <c r="H193" s="285" t="s">
        <v>214</v>
      </c>
      <c r="I193" s="251" t="s">
        <v>8</v>
      </c>
      <c r="J193" s="57">
        <v>2</v>
      </c>
      <c r="K193" s="251"/>
      <c r="L193" s="79">
        <f>IF(ISBLANK(J193),"",K193*J193)</f>
        <v>0</v>
      </c>
      <c r="M193" s="344"/>
      <c r="N193" s="321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</row>
    <row r="194" spans="1:59" s="102" customFormat="1" ht="17.399999999999999" customHeight="1" x14ac:dyDescent="0.25">
      <c r="A194" s="265" t="str">
        <f>IF(ISBLANK(D194),"",COUNTA(D$4:D194))</f>
        <v/>
      </c>
      <c r="B194" s="49"/>
      <c r="C194" s="251"/>
      <c r="D194" s="251"/>
      <c r="E194" s="251"/>
      <c r="F194" s="251"/>
      <c r="G194" s="104" t="str">
        <f t="shared" si="5"/>
        <v/>
      </c>
      <c r="H194" s="44" t="s">
        <v>185</v>
      </c>
      <c r="I194" s="251" t="s">
        <v>8</v>
      </c>
      <c r="J194" s="57">
        <f>D193</f>
        <v>2</v>
      </c>
      <c r="K194" s="57"/>
      <c r="L194" s="79">
        <f>IF(ISBLANK(J194),"",K194*J194)</f>
        <v>0</v>
      </c>
      <c r="M194" s="91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</row>
    <row r="195" spans="1:59" ht="15" customHeight="1" x14ac:dyDescent="0.25">
      <c r="A195" s="265" t="str">
        <f>IF(ISBLANK(D195),"",COUNTA(D$4:D195))</f>
        <v/>
      </c>
      <c r="B195" s="44"/>
      <c r="C195" s="80"/>
      <c r="D195" s="56"/>
      <c r="E195" s="56"/>
      <c r="F195" s="56"/>
      <c r="G195" s="104" t="str">
        <f t="shared" si="5"/>
        <v/>
      </c>
      <c r="H195" s="44" t="s">
        <v>91</v>
      </c>
      <c r="I195" s="80" t="s">
        <v>8</v>
      </c>
      <c r="J195" s="56">
        <f>D193</f>
        <v>2</v>
      </c>
      <c r="K195" s="57"/>
      <c r="L195" s="79">
        <f>IF(ISBLANK(J195),"",K195*J195)</f>
        <v>0</v>
      </c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</row>
    <row r="196" spans="1:59" s="98" customFormat="1" ht="15" customHeight="1" x14ac:dyDescent="0.25">
      <c r="A196" s="265" t="str">
        <f>IF(ISBLANK(D196),"",COUNTA(D$4:D196))</f>
        <v/>
      </c>
      <c r="B196" s="83" t="s">
        <v>188</v>
      </c>
      <c r="C196" s="174"/>
      <c r="D196" s="104"/>
      <c r="E196" s="56"/>
      <c r="F196" s="56"/>
      <c r="G196" s="104" t="str">
        <f t="shared" si="5"/>
        <v/>
      </c>
      <c r="H196" s="44"/>
      <c r="I196" s="174"/>
      <c r="J196" s="104"/>
      <c r="K196" s="57"/>
      <c r="L196" s="79" t="str">
        <f>IF(ISBLANK(J196),"",K196*J196)</f>
        <v/>
      </c>
      <c r="M196" s="96"/>
      <c r="N196" s="96"/>
    </row>
    <row r="197" spans="1:59" s="99" customFormat="1" ht="15" customHeight="1" x14ac:dyDescent="0.25">
      <c r="A197" s="265">
        <f>IF(ISBLANK(D197),"",COUNTA(D$4:D197))</f>
        <v>69</v>
      </c>
      <c r="B197" s="44" t="s">
        <v>189</v>
      </c>
      <c r="C197" s="80" t="s">
        <v>8</v>
      </c>
      <c r="D197" s="56">
        <f>J197</f>
        <v>2</v>
      </c>
      <c r="E197" s="56"/>
      <c r="F197" s="56"/>
      <c r="G197" s="104">
        <f t="shared" si="5"/>
        <v>0</v>
      </c>
      <c r="H197" s="44" t="s">
        <v>190</v>
      </c>
      <c r="I197" s="80" t="s">
        <v>8</v>
      </c>
      <c r="J197" s="56">
        <v>2</v>
      </c>
      <c r="K197" s="57"/>
      <c r="L197" s="79">
        <f>IF(ISBLANK(J197),"",K197*J197)</f>
        <v>0</v>
      </c>
      <c r="M197" s="344"/>
      <c r="N197" s="97"/>
    </row>
    <row r="198" spans="1:59" s="99" customFormat="1" ht="15" customHeight="1" x14ac:dyDescent="0.25">
      <c r="A198" s="265" t="str">
        <f>IF(ISBLANK(D198),"",COUNTA(D$4:D198))</f>
        <v/>
      </c>
      <c r="B198" s="44"/>
      <c r="C198" s="80"/>
      <c r="D198" s="56"/>
      <c r="E198" s="56"/>
      <c r="F198" s="56"/>
      <c r="G198" s="104" t="str">
        <f t="shared" si="5"/>
        <v/>
      </c>
      <c r="H198" s="44" t="s">
        <v>185</v>
      </c>
      <c r="I198" s="311" t="s">
        <v>8</v>
      </c>
      <c r="J198" s="312">
        <f>D197</f>
        <v>2</v>
      </c>
      <c r="K198" s="57"/>
      <c r="L198" s="79">
        <f>IF(ISBLANK(J198),"",K198*J198)</f>
        <v>0</v>
      </c>
      <c r="M198" s="91"/>
      <c r="N198" s="97"/>
    </row>
    <row r="199" spans="1:59" s="98" customFormat="1" ht="15" customHeight="1" x14ac:dyDescent="0.25">
      <c r="A199" s="265" t="str">
        <f>IF(ISBLANK(D199),"",COUNTA(D$4:D199))</f>
        <v/>
      </c>
      <c r="B199" s="83" t="s">
        <v>193</v>
      </c>
      <c r="C199" s="174"/>
      <c r="D199" s="104"/>
      <c r="E199" s="56"/>
      <c r="F199" s="56"/>
      <c r="G199" s="104" t="str">
        <f t="shared" si="5"/>
        <v/>
      </c>
      <c r="H199" s="44"/>
      <c r="I199" s="174"/>
      <c r="J199" s="104"/>
      <c r="K199" s="57"/>
      <c r="L199" s="79" t="str">
        <f>IF(ISBLANK(J199),"",K199*J199)</f>
        <v/>
      </c>
      <c r="M199" s="96"/>
      <c r="N199" s="96"/>
    </row>
    <row r="200" spans="1:59" ht="18.600000000000001" x14ac:dyDescent="0.3">
      <c r="A200" s="265">
        <f>IF(ISBLANK(D200),"",COUNTA(D$4:D200))</f>
        <v>70</v>
      </c>
      <c r="B200" s="313" t="s">
        <v>156</v>
      </c>
      <c r="C200" s="251" t="s">
        <v>19</v>
      </c>
      <c r="D200" s="251">
        <f>20.5+19</f>
        <v>39.5</v>
      </c>
      <c r="E200" s="251"/>
      <c r="F200" s="251"/>
      <c r="G200" s="104">
        <f t="shared" si="5"/>
        <v>0</v>
      </c>
      <c r="H200" s="49" t="s">
        <v>174</v>
      </c>
      <c r="I200" s="251" t="s">
        <v>19</v>
      </c>
      <c r="J200" s="251">
        <f>D200*1.1</f>
        <v>43.45</v>
      </c>
      <c r="K200" s="334"/>
      <c r="L200" s="79">
        <f>IF(ISBLANK(J200),"",K200*J200)</f>
        <v>0</v>
      </c>
      <c r="M200" s="95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</row>
    <row r="201" spans="1:59" ht="18.600000000000001" x14ac:dyDescent="0.3">
      <c r="A201" s="267" t="str">
        <f>IF(ISBLANK(D201),"",COUNTA(D$4:D201))</f>
        <v/>
      </c>
      <c r="B201" s="49"/>
      <c r="C201" s="251"/>
      <c r="D201" s="251"/>
      <c r="E201" s="251"/>
      <c r="F201" s="251"/>
      <c r="G201" s="104" t="str">
        <f t="shared" si="5"/>
        <v/>
      </c>
      <c r="H201" s="49" t="s">
        <v>220</v>
      </c>
      <c r="I201" s="251" t="s">
        <v>37</v>
      </c>
      <c r="J201" s="251">
        <v>2</v>
      </c>
      <c r="K201" s="49"/>
      <c r="L201" s="79">
        <f>IF(ISBLANK(J201),"",K201*J201)</f>
        <v>0</v>
      </c>
      <c r="M201" s="95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</row>
    <row r="202" spans="1:59" ht="18.600000000000001" x14ac:dyDescent="0.3">
      <c r="A202" s="267" t="str">
        <f>IF(ISBLANK(D202),"",COUNTA(D$4:D202))</f>
        <v/>
      </c>
      <c r="B202" s="49"/>
      <c r="C202" s="251"/>
      <c r="D202" s="251"/>
      <c r="E202" s="251"/>
      <c r="F202" s="251"/>
      <c r="G202" s="49"/>
      <c r="H202" s="49" t="s">
        <v>194</v>
      </c>
      <c r="I202" s="251" t="s">
        <v>8</v>
      </c>
      <c r="J202" s="251">
        <v>2</v>
      </c>
      <c r="K202" s="49"/>
      <c r="L202" s="79">
        <f>IF(ISBLANK(J202),"",K202*J202)</f>
        <v>0</v>
      </c>
      <c r="M202" s="95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</row>
    <row r="203" spans="1:59" s="5" customFormat="1" thickBot="1" x14ac:dyDescent="0.3">
      <c r="A203" s="37"/>
      <c r="B203" s="77"/>
      <c r="C203" s="20"/>
      <c r="D203" s="215"/>
      <c r="E203" s="16"/>
      <c r="F203" s="16"/>
      <c r="G203" s="16"/>
      <c r="H203" s="12"/>
      <c r="I203" s="10"/>
      <c r="J203" s="16"/>
      <c r="K203" s="214"/>
      <c r="L203" s="238"/>
      <c r="M203" s="7"/>
      <c r="N203" s="4"/>
    </row>
    <row r="204" spans="1:59" s="55" customFormat="1" x14ac:dyDescent="0.25">
      <c r="A204" s="131" t="str">
        <f>IF(ISBLANK(D204),"",COUNTA(D$17:D187))</f>
        <v/>
      </c>
      <c r="B204" s="138" t="s">
        <v>16</v>
      </c>
      <c r="C204" s="135"/>
      <c r="D204" s="157"/>
      <c r="E204" s="157"/>
      <c r="F204" s="157"/>
      <c r="G204" s="157">
        <f>SUBTOTAL(9,G179:G203)</f>
        <v>0</v>
      </c>
      <c r="H204" s="135" t="s">
        <v>17</v>
      </c>
      <c r="I204" s="135"/>
      <c r="J204" s="157"/>
      <c r="K204" s="157"/>
      <c r="L204" s="157">
        <f>SUBTOTAL(9,L179:L203)</f>
        <v>0</v>
      </c>
      <c r="M204" s="97"/>
    </row>
    <row r="205" spans="1:59" s="33" customFormat="1" ht="17.399999999999999" x14ac:dyDescent="0.3">
      <c r="A205" s="27" t="str">
        <f>IF(ISBLANK(D205),"",COUNTA(D$17:D204))</f>
        <v/>
      </c>
      <c r="B205" s="34"/>
      <c r="C205" s="35"/>
      <c r="D205" s="113"/>
      <c r="E205" s="113"/>
      <c r="F205" s="113"/>
      <c r="G205" s="113"/>
      <c r="H205" s="72"/>
      <c r="I205" s="72"/>
      <c r="J205" s="113"/>
      <c r="K205" s="233"/>
      <c r="L205" s="113"/>
      <c r="M205" s="28"/>
    </row>
    <row r="206" spans="1:59" s="25" customFormat="1" ht="19.2" thickBot="1" x14ac:dyDescent="0.35">
      <c r="A206" s="322"/>
      <c r="B206" s="323"/>
      <c r="C206" s="324"/>
      <c r="D206" s="325"/>
      <c r="E206" s="325"/>
      <c r="F206" s="325"/>
      <c r="G206" s="326" t="s">
        <v>221</v>
      </c>
      <c r="H206" s="327"/>
      <c r="I206" s="324"/>
      <c r="J206" s="325"/>
      <c r="K206" s="325"/>
      <c r="L206" s="326">
        <f>SUBTOTAL(9,G207:G227,L207:L227)</f>
        <v>0</v>
      </c>
      <c r="M206" s="95"/>
    </row>
    <row r="207" spans="1:59" s="5" customFormat="1" ht="13.2" x14ac:dyDescent="0.25">
      <c r="A207" s="106"/>
      <c r="B207" s="107"/>
      <c r="C207" s="109"/>
      <c r="D207" s="202"/>
      <c r="E207" s="202"/>
      <c r="F207" s="202"/>
      <c r="G207" s="202"/>
      <c r="H207" s="108"/>
      <c r="I207" s="109"/>
      <c r="J207" s="202"/>
      <c r="K207" s="328"/>
      <c r="L207" s="226"/>
      <c r="M207" s="7"/>
      <c r="N207" s="1"/>
    </row>
    <row r="208" spans="1:59" s="52" customFormat="1" ht="22.8" customHeight="1" x14ac:dyDescent="0.25">
      <c r="A208" s="158" t="str">
        <f>IF(ISBLANK(D208),"",COUNTA(#REF!))</f>
        <v/>
      </c>
      <c r="B208" s="345" t="s">
        <v>239</v>
      </c>
      <c r="C208" s="174"/>
      <c r="D208" s="104"/>
      <c r="E208" s="56"/>
      <c r="F208" s="56"/>
      <c r="G208" s="251" t="str">
        <f t="shared" ref="G208" si="7">IF(ISBLANK(D208),"",E208*D208)</f>
        <v/>
      </c>
      <c r="H208" s="279"/>
      <c r="I208" s="162"/>
      <c r="J208" s="160"/>
      <c r="K208" s="57"/>
      <c r="L208" s="251" t="str">
        <f>IF(ISBLANK(J208),"",K208*J208)</f>
        <v/>
      </c>
      <c r="M208" s="337"/>
    </row>
    <row r="209" spans="1:34" s="52" customFormat="1" ht="16.2" customHeight="1" x14ac:dyDescent="0.25">
      <c r="A209" s="158" t="str">
        <f>IF(ISBLANK(D209),"",COUNTA(#REF!))</f>
        <v/>
      </c>
      <c r="B209" s="278" t="s">
        <v>234</v>
      </c>
      <c r="C209" s="174"/>
      <c r="D209" s="104"/>
      <c r="E209" s="56"/>
      <c r="F209" s="56"/>
      <c r="G209" s="251" t="str">
        <f t="shared" ref="G209" si="8">IF(ISBLANK(D209),"",E209*D209)</f>
        <v/>
      </c>
      <c r="H209" s="279"/>
      <c r="I209" s="162"/>
      <c r="J209" s="160"/>
      <c r="K209" s="57"/>
      <c r="L209" s="251" t="str">
        <f>IF(ISBLANK(J209),"",K209*J209)</f>
        <v/>
      </c>
      <c r="M209" s="337"/>
    </row>
    <row r="210" spans="1:34" s="45" customFormat="1" ht="13.2" x14ac:dyDescent="0.25">
      <c r="A210" s="158">
        <f>IF(ISBLANK(D210),"",COUNTA(D$2:D207))</f>
        <v>71</v>
      </c>
      <c r="B210" s="44" t="s">
        <v>222</v>
      </c>
      <c r="C210" s="49" t="s">
        <v>12</v>
      </c>
      <c r="D210" s="49">
        <f>7.6+7.656</f>
        <v>15.256</v>
      </c>
      <c r="E210" s="49"/>
      <c r="F210" s="49"/>
      <c r="G210" s="251">
        <f t="shared" ref="G210:G226" si="9">IF(ISBLANK(D210),"",E210*D210)</f>
        <v>0</v>
      </c>
      <c r="H210" s="174"/>
      <c r="I210" s="80"/>
      <c r="J210" s="56"/>
      <c r="K210" s="57"/>
      <c r="L210" s="231"/>
      <c r="M210" s="50"/>
      <c r="N210" s="50"/>
    </row>
    <row r="211" spans="1:34" s="52" customFormat="1" x14ac:dyDescent="0.25">
      <c r="A211" s="158">
        <f>IF(ISBLANK(D211),"",COUNTA(D$2:D210))</f>
        <v>72</v>
      </c>
      <c r="B211" s="49" t="s">
        <v>223</v>
      </c>
      <c r="C211" s="49" t="s">
        <v>29</v>
      </c>
      <c r="D211" s="49">
        <f>0.83258+1.184</f>
        <v>2.0165799999999998</v>
      </c>
      <c r="E211" s="49"/>
      <c r="F211" s="49"/>
      <c r="G211" s="251">
        <f t="shared" si="9"/>
        <v>0</v>
      </c>
      <c r="H211" s="49"/>
      <c r="I211" s="49"/>
      <c r="J211" s="49"/>
      <c r="K211" s="49"/>
      <c r="L211" s="266" t="str">
        <f>IF(ISBLANK(J211),"",K211*J211)</f>
        <v/>
      </c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</row>
    <row r="212" spans="1:34" s="50" customFormat="1" ht="13.2" x14ac:dyDescent="0.25">
      <c r="A212" s="158">
        <f>IF(ISBLANK(D212),"",COUNTA(D$2:D211))</f>
        <v>73</v>
      </c>
      <c r="B212" s="44" t="s">
        <v>224</v>
      </c>
      <c r="C212" s="43" t="s">
        <v>12</v>
      </c>
      <c r="D212" s="251">
        <f>35.55+50.56</f>
        <v>86.11</v>
      </c>
      <c r="E212" s="43"/>
      <c r="F212" s="43"/>
      <c r="G212" s="251">
        <f t="shared" si="9"/>
        <v>0</v>
      </c>
      <c r="H212" s="44"/>
      <c r="I212" s="251"/>
      <c r="J212" s="49"/>
      <c r="K212" s="251"/>
      <c r="L212" s="251"/>
    </row>
    <row r="213" spans="1:34" s="52" customFormat="1" ht="14.4" customHeight="1" x14ac:dyDescent="0.25">
      <c r="A213" s="158">
        <f>IF(ISBLANK(D213),"",COUNTA(D$2:D212))</f>
        <v>74</v>
      </c>
      <c r="B213" s="273" t="s">
        <v>225</v>
      </c>
      <c r="C213" s="274" t="s">
        <v>7</v>
      </c>
      <c r="D213" s="275">
        <f>35.55+50.56</f>
        <v>86.11</v>
      </c>
      <c r="E213" s="56"/>
      <c r="F213" s="56"/>
      <c r="G213" s="251">
        <f t="shared" si="9"/>
        <v>0</v>
      </c>
      <c r="H213" s="262"/>
      <c r="I213" s="276"/>
      <c r="J213" s="277"/>
      <c r="K213" s="57"/>
      <c r="L213" s="251" t="str">
        <f>IF(ISBLANK(J213),"",K213*J213)</f>
        <v/>
      </c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</row>
    <row r="214" spans="1:34" s="52" customFormat="1" ht="39.6" x14ac:dyDescent="0.25">
      <c r="A214" s="158">
        <f>IF(ISBLANK(D214),"",COUNTA(D$2:D213))</f>
        <v>75</v>
      </c>
      <c r="B214" s="273" t="s">
        <v>226</v>
      </c>
      <c r="C214" s="274" t="s">
        <v>7</v>
      </c>
      <c r="D214" s="275">
        <f>35.55+50.56</f>
        <v>86.11</v>
      </c>
      <c r="E214" s="56"/>
      <c r="F214" s="56"/>
      <c r="G214" s="251">
        <f t="shared" si="9"/>
        <v>0</v>
      </c>
      <c r="H214" s="262"/>
      <c r="I214" s="276"/>
      <c r="J214" s="277"/>
      <c r="K214" s="57"/>
      <c r="L214" s="251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</row>
    <row r="215" spans="1:34" s="52" customFormat="1" ht="39.6" x14ac:dyDescent="0.25">
      <c r="A215" s="158">
        <f>IF(ISBLANK(D215),"",COUNTA(D$2:D214))</f>
        <v>76</v>
      </c>
      <c r="B215" s="273" t="s">
        <v>227</v>
      </c>
      <c r="C215" s="274" t="s">
        <v>7</v>
      </c>
      <c r="D215" s="275">
        <f>35.55+50.56</f>
        <v>86.11</v>
      </c>
      <c r="E215" s="56"/>
      <c r="F215" s="56"/>
      <c r="G215" s="251">
        <f t="shared" si="9"/>
        <v>0</v>
      </c>
      <c r="H215" s="262"/>
      <c r="I215" s="276"/>
      <c r="J215" s="277"/>
      <c r="K215" s="57"/>
      <c r="L215" s="251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</row>
    <row r="216" spans="1:34" s="52" customFormat="1" ht="26.4" x14ac:dyDescent="0.25">
      <c r="A216" s="158">
        <f>IF(ISBLANK(D216),"",COUNTA(D$2:D215))</f>
        <v>77</v>
      </c>
      <c r="B216" s="273" t="s">
        <v>228</v>
      </c>
      <c r="C216" s="274" t="s">
        <v>29</v>
      </c>
      <c r="D216" s="275">
        <f>0.397+0.546</f>
        <v>0.94300000000000006</v>
      </c>
      <c r="E216" s="56"/>
      <c r="F216" s="56"/>
      <c r="G216" s="251">
        <f t="shared" si="9"/>
        <v>0</v>
      </c>
      <c r="H216" s="262"/>
      <c r="I216" s="276"/>
      <c r="J216" s="277"/>
      <c r="K216" s="57"/>
      <c r="L216" s="251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</row>
    <row r="217" spans="1:34" s="52" customFormat="1" ht="26.4" x14ac:dyDescent="0.25">
      <c r="A217" s="158">
        <f>IF(ISBLANK(D217),"",COUNTA(D$2:D216))</f>
        <v>78</v>
      </c>
      <c r="B217" s="273" t="s">
        <v>229</v>
      </c>
      <c r="C217" s="274" t="s">
        <v>7</v>
      </c>
      <c r="D217" s="275">
        <f>16.9519+23.3142</f>
        <v>40.266099999999994</v>
      </c>
      <c r="E217" s="56"/>
      <c r="F217" s="56"/>
      <c r="G217" s="251">
        <f t="shared" si="9"/>
        <v>0</v>
      </c>
      <c r="H217" s="262"/>
      <c r="I217" s="276"/>
      <c r="J217" s="277"/>
      <c r="K217" s="57"/>
      <c r="L217" s="251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</row>
    <row r="218" spans="1:34" s="52" customFormat="1" ht="26.4" x14ac:dyDescent="0.25">
      <c r="A218" s="158">
        <f>IF(ISBLANK(D218),"",COUNTA(D$2:D217))</f>
        <v>79</v>
      </c>
      <c r="B218" s="273" t="s">
        <v>230</v>
      </c>
      <c r="C218" s="274" t="s">
        <v>7</v>
      </c>
      <c r="D218" s="275">
        <f>16.9519+23.3142</f>
        <v>40.266099999999994</v>
      </c>
      <c r="E218" s="56"/>
      <c r="F218" s="56"/>
      <c r="G218" s="251">
        <f t="shared" si="9"/>
        <v>0</v>
      </c>
      <c r="H218" s="262"/>
      <c r="I218" s="276"/>
      <c r="J218" s="277"/>
      <c r="K218" s="57"/>
      <c r="L218" s="251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</row>
    <row r="219" spans="1:34" s="52" customFormat="1" ht="39.6" x14ac:dyDescent="0.25">
      <c r="A219" s="158">
        <f>IF(ISBLANK(D219),"",COUNTA(D$2:D218))</f>
        <v>80</v>
      </c>
      <c r="B219" s="273" t="s">
        <v>226</v>
      </c>
      <c r="C219" s="274" t="s">
        <v>7</v>
      </c>
      <c r="D219" s="275">
        <f>13.66+23.3142</f>
        <v>36.974199999999996</v>
      </c>
      <c r="E219" s="56"/>
      <c r="F219" s="56"/>
      <c r="G219" s="251">
        <f t="shared" si="9"/>
        <v>0</v>
      </c>
      <c r="H219" s="262"/>
      <c r="I219" s="276"/>
      <c r="J219" s="277"/>
      <c r="K219" s="57"/>
      <c r="L219" s="251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</row>
    <row r="220" spans="1:34" s="52" customFormat="1" ht="39.6" x14ac:dyDescent="0.25">
      <c r="A220" s="158">
        <f>IF(ISBLANK(D220),"",COUNTA(D$2:D219))</f>
        <v>81</v>
      </c>
      <c r="B220" s="273" t="s">
        <v>227</v>
      </c>
      <c r="C220" s="274" t="s">
        <v>7</v>
      </c>
      <c r="D220" s="275">
        <f>13.66+23.3142</f>
        <v>36.974199999999996</v>
      </c>
      <c r="E220" s="56"/>
      <c r="F220" s="56"/>
      <c r="G220" s="251">
        <f t="shared" si="9"/>
        <v>0</v>
      </c>
      <c r="H220" s="262"/>
      <c r="I220" s="276"/>
      <c r="J220" s="277"/>
      <c r="K220" s="57"/>
      <c r="L220" s="251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</row>
    <row r="221" spans="1:34" s="52" customFormat="1" ht="39.6" x14ac:dyDescent="0.25">
      <c r="A221" s="158">
        <f>IF(ISBLANK(D221),"",COUNTA(D$2:D220))</f>
        <v>82</v>
      </c>
      <c r="B221" s="273" t="s">
        <v>231</v>
      </c>
      <c r="C221" s="274" t="s">
        <v>12</v>
      </c>
      <c r="D221" s="275">
        <f>2.5+3.6</f>
        <v>6.1</v>
      </c>
      <c r="E221" s="56"/>
      <c r="F221" s="56"/>
      <c r="G221" s="251">
        <f t="shared" si="9"/>
        <v>0</v>
      </c>
      <c r="H221" s="262"/>
      <c r="I221" s="276"/>
      <c r="J221" s="277"/>
      <c r="K221" s="57"/>
      <c r="L221" s="251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</row>
    <row r="222" spans="1:34" s="52" customFormat="1" ht="26.4" x14ac:dyDescent="0.25">
      <c r="A222" s="158">
        <f>IF(ISBLANK(D222),"",COUNTA(D$2:D221))</f>
        <v>83</v>
      </c>
      <c r="B222" s="273" t="s">
        <v>232</v>
      </c>
      <c r="C222" s="274" t="s">
        <v>29</v>
      </c>
      <c r="D222" s="275">
        <f>15.2+15.312</f>
        <v>30.512</v>
      </c>
      <c r="E222" s="56"/>
      <c r="F222" s="56"/>
      <c r="G222" s="251">
        <f t="shared" si="9"/>
        <v>0</v>
      </c>
      <c r="H222" s="262"/>
      <c r="I222" s="276"/>
      <c r="J222" s="277"/>
      <c r="K222" s="57"/>
      <c r="L222" s="251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</row>
    <row r="223" spans="1:34" s="52" customFormat="1" x14ac:dyDescent="0.25">
      <c r="A223" s="158">
        <f>IF(ISBLANK(D223),"",COUNTA(D$2:D222))</f>
        <v>84</v>
      </c>
      <c r="B223" s="273" t="s">
        <v>233</v>
      </c>
      <c r="C223" s="274" t="s">
        <v>29</v>
      </c>
      <c r="D223" s="275">
        <f>15.2+15.312</f>
        <v>30.512</v>
      </c>
      <c r="E223" s="56"/>
      <c r="F223" s="56"/>
      <c r="G223" s="251">
        <f t="shared" si="9"/>
        <v>0</v>
      </c>
      <c r="H223" s="262"/>
      <c r="I223" s="276"/>
      <c r="J223" s="277"/>
      <c r="K223" s="57"/>
      <c r="L223" s="251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</row>
    <row r="224" spans="1:34" s="52" customFormat="1" ht="14.4" customHeight="1" x14ac:dyDescent="0.25">
      <c r="A224" s="158" t="str">
        <f>IF(ISBLANK(D224),"",COUNTA(D$2:D223))</f>
        <v/>
      </c>
      <c r="B224" s="278" t="s">
        <v>237</v>
      </c>
      <c r="C224" s="274"/>
      <c r="D224" s="275"/>
      <c r="E224" s="56"/>
      <c r="F224" s="56"/>
      <c r="G224" s="251" t="str">
        <f t="shared" si="9"/>
        <v/>
      </c>
      <c r="H224" s="262"/>
      <c r="I224" s="276"/>
      <c r="J224" s="277"/>
      <c r="K224" s="57"/>
      <c r="L224" s="251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</row>
    <row r="225" spans="1:33" s="52" customFormat="1" ht="39.6" x14ac:dyDescent="0.25">
      <c r="A225" s="158">
        <f>IF(ISBLANK(D225),"",COUNTA(D$2:D224))</f>
        <v>85</v>
      </c>
      <c r="B225" s="273" t="s">
        <v>235</v>
      </c>
      <c r="C225" s="274" t="s">
        <v>7</v>
      </c>
      <c r="D225" s="275">
        <f>22.44+20.57</f>
        <v>43.010000000000005</v>
      </c>
      <c r="E225" s="56"/>
      <c r="F225" s="56"/>
      <c r="G225" s="251">
        <f t="shared" si="9"/>
        <v>0</v>
      </c>
      <c r="H225" s="262"/>
      <c r="I225" s="276"/>
      <c r="J225" s="277"/>
      <c r="K225" s="57"/>
      <c r="L225" s="251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</row>
    <row r="226" spans="1:33" s="52" customFormat="1" ht="39.6" x14ac:dyDescent="0.25">
      <c r="A226" s="158">
        <f>IF(ISBLANK(D226),"",COUNTA(D$2:D225))</f>
        <v>86</v>
      </c>
      <c r="B226" s="273" t="s">
        <v>236</v>
      </c>
      <c r="C226" s="274" t="s">
        <v>7</v>
      </c>
      <c r="D226" s="275">
        <f>17.52+17.4</f>
        <v>34.92</v>
      </c>
      <c r="E226" s="56"/>
      <c r="F226" s="56"/>
      <c r="G226" s="251">
        <f t="shared" si="9"/>
        <v>0</v>
      </c>
      <c r="H226" s="262"/>
      <c r="I226" s="276"/>
      <c r="J226" s="277"/>
      <c r="K226" s="57"/>
      <c r="L226" s="251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</row>
    <row r="227" spans="1:33" s="65" customFormat="1" thickBot="1" x14ac:dyDescent="0.3">
      <c r="A227" s="161" t="str">
        <f>IF(ISBLANK(D227),"",COUNTA(D$2:D226))</f>
        <v/>
      </c>
      <c r="B227" s="110"/>
      <c r="C227" s="111"/>
      <c r="D227" s="112"/>
      <c r="E227" s="147"/>
      <c r="F227" s="147"/>
      <c r="G227" s="112"/>
      <c r="H227" s="110"/>
      <c r="I227" s="111"/>
      <c r="J227" s="227"/>
      <c r="K227" s="329"/>
      <c r="L227" s="228"/>
      <c r="M227" s="7"/>
      <c r="N227" s="7"/>
    </row>
    <row r="228" spans="1:33" s="3" customFormat="1" x14ac:dyDescent="0.25">
      <c r="A228" s="136"/>
      <c r="B228" s="137" t="s">
        <v>16</v>
      </c>
      <c r="C228" s="133"/>
      <c r="D228" s="132"/>
      <c r="E228" s="132"/>
      <c r="F228" s="132"/>
      <c r="G228" s="132">
        <f>SUBTOTAL(9,G207:G227)</f>
        <v>0</v>
      </c>
      <c r="H228" s="133" t="s">
        <v>17</v>
      </c>
      <c r="I228" s="133"/>
      <c r="J228" s="132"/>
      <c r="K228" s="132"/>
      <c r="L228" s="132">
        <f>SUBTOTAL(9,L206:L227)</f>
        <v>0</v>
      </c>
      <c r="M228" s="93"/>
    </row>
    <row r="229" spans="1:33" s="3" customFormat="1" x14ac:dyDescent="0.25">
      <c r="A229" s="136"/>
      <c r="B229" s="137"/>
      <c r="C229" s="133"/>
      <c r="D229" s="132"/>
      <c r="E229" s="132"/>
      <c r="F229" s="132"/>
      <c r="G229" s="132"/>
      <c r="H229" s="133"/>
      <c r="I229" s="133"/>
      <c r="J229" s="132"/>
      <c r="K229" s="132"/>
      <c r="L229" s="132"/>
      <c r="M229" s="93"/>
    </row>
    <row r="230" spans="1:33" s="33" customFormat="1" ht="19.2" thickBot="1" x14ac:dyDescent="0.35">
      <c r="A230" s="27" t="str">
        <f>IF(ISBLANK(D230),"",COUNTA(D$17:D205))</f>
        <v/>
      </c>
      <c r="B230" s="22"/>
      <c r="C230" s="172"/>
      <c r="D230" s="201"/>
      <c r="E230" s="201"/>
      <c r="F230" s="201"/>
      <c r="G230" s="155" t="s">
        <v>93</v>
      </c>
      <c r="H230" s="23"/>
      <c r="I230" s="172"/>
      <c r="J230" s="201"/>
      <c r="K230" s="229"/>
      <c r="L230" s="155">
        <f>SUBTOTAL(9,G231:G237,L231:L237)</f>
        <v>0</v>
      </c>
      <c r="M230" s="95"/>
    </row>
    <row r="231" spans="1:33" s="1" customFormat="1" ht="13.2" x14ac:dyDescent="0.25">
      <c r="A231" s="42" t="str">
        <f>IF(ISBLANK(D231),"",COUNTA(D$17:D230))</f>
        <v/>
      </c>
      <c r="B231" s="19"/>
      <c r="C231" s="180"/>
      <c r="D231" s="216"/>
      <c r="E231" s="216"/>
      <c r="F231" s="216"/>
      <c r="G231" s="216"/>
      <c r="H231" s="11"/>
      <c r="I231" s="17"/>
      <c r="J231" s="211"/>
      <c r="K231" s="333"/>
      <c r="L231" s="237"/>
      <c r="M231" s="7"/>
    </row>
    <row r="232" spans="1:33" s="261" customFormat="1" ht="16.2" customHeight="1" x14ac:dyDescent="0.25">
      <c r="A232" s="265">
        <f>IF(ISBLANK(D232),"",COUNTA(D$4:D232))</f>
        <v>87</v>
      </c>
      <c r="B232" s="314" t="s">
        <v>95</v>
      </c>
      <c r="C232" s="315" t="s">
        <v>7</v>
      </c>
      <c r="D232" s="316">
        <v>464.95</v>
      </c>
      <c r="E232" s="240"/>
      <c r="F232" s="240"/>
      <c r="G232" s="104">
        <f t="shared" ref="G232:G237" si="10">IF(ISBLANK(D232),"",E232*D232)</f>
        <v>0</v>
      </c>
      <c r="H232" s="317" t="s">
        <v>96</v>
      </c>
      <c r="I232" s="316" t="s">
        <v>7</v>
      </c>
      <c r="J232" s="316">
        <f>D232*1.1</f>
        <v>511.44500000000005</v>
      </c>
      <c r="K232" s="240"/>
      <c r="L232" s="79">
        <f>IF(ISBLANK(J232),"",K232*J232)</f>
        <v>0</v>
      </c>
      <c r="M232" s="55"/>
      <c r="N232" s="52"/>
    </row>
    <row r="233" spans="1:33" s="261" customFormat="1" ht="15.6" customHeight="1" x14ac:dyDescent="0.25">
      <c r="A233" s="265" t="str">
        <f>IF(ISBLANK(D233),"",COUNTA(D$4:D233))</f>
        <v/>
      </c>
      <c r="B233" s="314"/>
      <c r="C233" s="315"/>
      <c r="D233" s="316"/>
      <c r="E233" s="240"/>
      <c r="F233" s="240"/>
      <c r="G233" s="104" t="str">
        <f t="shared" si="10"/>
        <v/>
      </c>
      <c r="H233" s="317" t="s">
        <v>94</v>
      </c>
      <c r="I233" s="316" t="s">
        <v>62</v>
      </c>
      <c r="J233" s="316">
        <f>CEILING(D232*0.0125,1)</f>
        <v>6</v>
      </c>
      <c r="K233" s="240"/>
      <c r="L233" s="79">
        <f>IF(ISBLANK(J233),"",K233*J233)</f>
        <v>0</v>
      </c>
      <c r="M233" s="55"/>
      <c r="N233" s="52"/>
    </row>
    <row r="234" spans="1:33" s="45" customFormat="1" ht="13.2" x14ac:dyDescent="0.25">
      <c r="A234" s="265">
        <f>IF(ISBLANK(D234),"",COUNTA(D$4:D234))</f>
        <v>88</v>
      </c>
      <c r="B234" s="44" t="s">
        <v>97</v>
      </c>
      <c r="C234" s="174" t="s">
        <v>7</v>
      </c>
      <c r="D234" s="104">
        <f>D232</f>
        <v>464.95</v>
      </c>
      <c r="E234" s="240"/>
      <c r="F234" s="240"/>
      <c r="G234" s="104">
        <f t="shared" si="10"/>
        <v>0</v>
      </c>
      <c r="H234" s="49"/>
      <c r="I234" s="173"/>
      <c r="J234" s="61"/>
      <c r="K234" s="240"/>
      <c r="L234" s="79" t="str">
        <f>IF(ISBLANK(J234),"",K234*J234)</f>
        <v/>
      </c>
      <c r="M234" s="50"/>
      <c r="N234" s="50"/>
    </row>
    <row r="235" spans="1:33" s="45" customFormat="1" ht="13.2" x14ac:dyDescent="0.25">
      <c r="A235" s="265">
        <f>IF(ISBLANK(D235),"",COUNTA(D$4:D235))</f>
        <v>89</v>
      </c>
      <c r="B235" s="44" t="s">
        <v>98</v>
      </c>
      <c r="C235" s="174" t="s">
        <v>14</v>
      </c>
      <c r="D235" s="104">
        <v>4</v>
      </c>
      <c r="E235" s="240"/>
      <c r="F235" s="240"/>
      <c r="G235" s="104">
        <f t="shared" si="10"/>
        <v>0</v>
      </c>
      <c r="H235" s="49"/>
      <c r="I235" s="173"/>
      <c r="J235" s="61"/>
      <c r="K235" s="240"/>
      <c r="L235" s="79" t="str">
        <f>IF(ISBLANK(J235),"",K235*J235)</f>
        <v/>
      </c>
      <c r="M235" s="50"/>
      <c r="N235" s="50"/>
    </row>
    <row r="236" spans="1:33" s="45" customFormat="1" ht="13.2" x14ac:dyDescent="0.25">
      <c r="A236" s="265">
        <f>IF(ISBLANK(D236),"",COUNTA(D$4:D236))</f>
        <v>90</v>
      </c>
      <c r="B236" s="44" t="s">
        <v>99</v>
      </c>
      <c r="C236" s="174" t="s">
        <v>14</v>
      </c>
      <c r="D236" s="104">
        <f>D235</f>
        <v>4</v>
      </c>
      <c r="E236" s="240"/>
      <c r="F236" s="240"/>
      <c r="G236" s="104">
        <f t="shared" si="10"/>
        <v>0</v>
      </c>
      <c r="H236" s="49" t="s">
        <v>15</v>
      </c>
      <c r="I236" s="173" t="s">
        <v>8</v>
      </c>
      <c r="J236" s="57">
        <f>CEILING(D236*10/0.05*1.1,1)</f>
        <v>880</v>
      </c>
      <c r="K236" s="57"/>
      <c r="L236" s="79">
        <f>IF(ISBLANK(J236),"",K236*J236)</f>
        <v>0</v>
      </c>
      <c r="M236" s="50"/>
      <c r="N236" s="50"/>
    </row>
    <row r="237" spans="1:33" s="50" customFormat="1" thickBot="1" x14ac:dyDescent="0.3">
      <c r="A237" s="265" t="str">
        <f>IF(ISBLANK(D237),"",COUNTA(D$4:D237))</f>
        <v/>
      </c>
      <c r="B237" s="193"/>
      <c r="C237" s="318"/>
      <c r="D237" s="319"/>
      <c r="E237" s="319"/>
      <c r="F237" s="353"/>
      <c r="G237" s="104" t="str">
        <f t="shared" si="10"/>
        <v/>
      </c>
      <c r="H237" s="193"/>
      <c r="I237" s="318"/>
      <c r="J237" s="319"/>
      <c r="K237" s="319"/>
      <c r="L237" s="320"/>
    </row>
    <row r="238" spans="1:33" s="3" customFormat="1" x14ac:dyDescent="0.25">
      <c r="A238" s="136" t="str">
        <f>IF(ISBLANK(D238),"",COUNTA(D$17:D237))</f>
        <v/>
      </c>
      <c r="B238" s="137" t="s">
        <v>16</v>
      </c>
      <c r="C238" s="133"/>
      <c r="D238" s="132"/>
      <c r="E238" s="132"/>
      <c r="F238" s="132"/>
      <c r="G238" s="132">
        <f>SUBTOTAL(9,G231:G237)</f>
        <v>0</v>
      </c>
      <c r="H238" s="133" t="s">
        <v>17</v>
      </c>
      <c r="I238" s="133"/>
      <c r="J238" s="132"/>
      <c r="K238" s="132"/>
      <c r="L238" s="132">
        <f>SUBTOTAL(9,L231:L237)</f>
        <v>0</v>
      </c>
      <c r="M238" s="93"/>
    </row>
    <row r="239" spans="1:33" s="33" customFormat="1" ht="16.8" x14ac:dyDescent="0.25">
      <c r="A239" s="39"/>
      <c r="B239" s="40"/>
      <c r="C239" s="41"/>
      <c r="D239" s="217"/>
      <c r="E239" s="217"/>
      <c r="F239" s="217"/>
      <c r="G239" s="217"/>
      <c r="H239" s="41"/>
      <c r="I239" s="41"/>
      <c r="J239" s="217"/>
      <c r="K239" s="217"/>
      <c r="L239" s="217"/>
      <c r="M239" s="28"/>
    </row>
    <row r="240" spans="1:33" s="1" customFormat="1" thickBot="1" x14ac:dyDescent="0.3">
      <c r="B240" s="8"/>
      <c r="C240" s="181"/>
      <c r="D240" s="218"/>
      <c r="E240" s="219"/>
      <c r="F240" s="219"/>
      <c r="G240" s="219"/>
      <c r="H240" s="73"/>
      <c r="I240" s="73"/>
      <c r="J240" s="219"/>
      <c r="K240" s="241"/>
      <c r="L240" s="219"/>
      <c r="M240" s="7"/>
    </row>
    <row r="241" spans="1:22" s="1" customFormat="1" ht="15.6" customHeight="1" x14ac:dyDescent="0.25">
      <c r="A241" s="9"/>
      <c r="B241" s="140" t="s">
        <v>100</v>
      </c>
      <c r="C241" s="182"/>
      <c r="D241" s="220"/>
      <c r="E241" s="220"/>
      <c r="F241" s="220"/>
      <c r="G241" s="221">
        <f>SUBTOTAL(9,G4:G240)</f>
        <v>0</v>
      </c>
      <c r="H241" s="141" t="s">
        <v>101</v>
      </c>
      <c r="I241" s="195"/>
      <c r="J241" s="242"/>
      <c r="K241" s="243"/>
      <c r="L241" s="244">
        <f>SUBTOTAL(9,L4:L240)</f>
        <v>0</v>
      </c>
      <c r="M241" s="7"/>
      <c r="N241" s="4"/>
    </row>
    <row r="242" spans="1:22" ht="16.2" customHeight="1" x14ac:dyDescent="0.25">
      <c r="A242" s="114"/>
      <c r="B242" s="130"/>
      <c r="C242" s="183"/>
      <c r="D242" s="115"/>
      <c r="E242" s="148"/>
      <c r="F242" s="354"/>
      <c r="G242" s="116"/>
      <c r="H242" s="117" t="s">
        <v>102</v>
      </c>
      <c r="I242" s="196"/>
      <c r="J242" s="120"/>
      <c r="K242" s="149">
        <v>0.03</v>
      </c>
      <c r="L242" s="263">
        <f>K242*L241</f>
        <v>0</v>
      </c>
      <c r="M242" s="7"/>
      <c r="N242" s="92"/>
      <c r="O242" s="92"/>
      <c r="P242" s="92"/>
      <c r="Q242" s="92"/>
      <c r="R242" s="92"/>
      <c r="S242" s="92"/>
      <c r="T242" s="92"/>
      <c r="U242" s="92"/>
      <c r="V242" s="92"/>
    </row>
    <row r="243" spans="1:22" ht="16.2" customHeight="1" x14ac:dyDescent="0.25">
      <c r="A243" s="118"/>
      <c r="B243" s="119" t="s">
        <v>103</v>
      </c>
      <c r="C243" s="184"/>
      <c r="D243" s="120"/>
      <c r="E243" s="148">
        <v>0.05</v>
      </c>
      <c r="F243" s="354"/>
      <c r="G243" s="116">
        <f>G241*E243</f>
        <v>0</v>
      </c>
      <c r="H243" s="117" t="s">
        <v>104</v>
      </c>
      <c r="I243" s="196"/>
      <c r="J243" s="120"/>
      <c r="K243" s="149">
        <v>0.02</v>
      </c>
      <c r="L243" s="263">
        <f>K243*L241</f>
        <v>0</v>
      </c>
      <c r="M243" s="93"/>
      <c r="N243" s="93"/>
      <c r="O243" s="93"/>
      <c r="P243" s="93"/>
      <c r="Q243" s="93"/>
      <c r="R243" s="91"/>
      <c r="S243" s="91"/>
      <c r="T243" s="91"/>
      <c r="U243" s="91"/>
      <c r="V243" s="91"/>
    </row>
    <row r="244" spans="1:22" ht="16.2" customHeight="1" x14ac:dyDescent="0.25">
      <c r="A244" s="121"/>
      <c r="B244" s="76"/>
      <c r="C244" s="185"/>
      <c r="D244" s="122"/>
      <c r="E244" s="152"/>
      <c r="F244" s="355"/>
      <c r="G244" s="154"/>
      <c r="H244" s="153" t="s">
        <v>105</v>
      </c>
      <c r="I244" s="183"/>
      <c r="J244" s="115"/>
      <c r="K244" s="148">
        <v>0.04</v>
      </c>
      <c r="L244" s="116">
        <f>L241*K244</f>
        <v>0</v>
      </c>
      <c r="M244" s="93"/>
      <c r="N244" s="91"/>
      <c r="O244" s="91"/>
      <c r="P244" s="91"/>
      <c r="Q244" s="91"/>
      <c r="R244" s="91"/>
      <c r="S244" s="91"/>
      <c r="T244" s="91"/>
      <c r="U244" s="91"/>
      <c r="V244" s="91"/>
    </row>
    <row r="245" spans="1:22" ht="20.399999999999999" customHeight="1" x14ac:dyDescent="0.3">
      <c r="A245" s="121"/>
      <c r="B245" s="142" t="s">
        <v>106</v>
      </c>
      <c r="C245" s="186"/>
      <c r="D245" s="143"/>
      <c r="E245" s="143"/>
      <c r="F245" s="356"/>
      <c r="G245" s="144">
        <f>SUM(G241:G244)</f>
        <v>0</v>
      </c>
      <c r="H245" s="145"/>
      <c r="I245" s="197"/>
      <c r="J245" s="245"/>
      <c r="K245" s="246"/>
      <c r="L245" s="146">
        <f>SUM(L241:L244)</f>
        <v>0</v>
      </c>
      <c r="M245" s="93"/>
      <c r="N245" s="91"/>
      <c r="O245" s="93"/>
      <c r="P245" s="93"/>
      <c r="Q245" s="93"/>
      <c r="R245" s="91"/>
      <c r="S245" s="91"/>
      <c r="T245" s="91"/>
      <c r="U245" s="91"/>
      <c r="V245" s="91"/>
    </row>
    <row r="246" spans="1:22" ht="19.350000000000001" customHeight="1" x14ac:dyDescent="0.25">
      <c r="A246" s="121"/>
      <c r="B246" s="123" t="s">
        <v>107</v>
      </c>
      <c r="C246" s="187"/>
      <c r="D246" s="124"/>
      <c r="E246" s="125">
        <v>0.2</v>
      </c>
      <c r="F246" s="357"/>
      <c r="G246" s="126">
        <f>G245*E246</f>
        <v>0</v>
      </c>
      <c r="H246" s="127"/>
      <c r="I246" s="198"/>
      <c r="J246" s="124"/>
      <c r="K246" s="128">
        <v>0.2</v>
      </c>
      <c r="L246" s="129">
        <f>ROUND(L245*K246,2)</f>
        <v>0</v>
      </c>
      <c r="M246" s="7"/>
      <c r="N246" s="92"/>
      <c r="O246" s="92"/>
      <c r="P246" s="92"/>
      <c r="Q246" s="92"/>
      <c r="R246" s="92"/>
      <c r="S246" s="92"/>
      <c r="T246" s="92"/>
      <c r="U246" s="92"/>
      <c r="V246" s="92"/>
    </row>
    <row r="247" spans="1:22" s="63" customFormat="1" ht="24" thickBot="1" x14ac:dyDescent="0.45">
      <c r="A247" s="62"/>
      <c r="B247" s="150" t="s">
        <v>108</v>
      </c>
      <c r="C247" s="188"/>
      <c r="D247" s="222"/>
      <c r="E247" s="222"/>
      <c r="F247" s="346"/>
      <c r="G247" s="222"/>
      <c r="H247" s="151"/>
      <c r="I247" s="199"/>
      <c r="J247" s="222"/>
      <c r="K247" s="359">
        <f>G245+G246+L245+L246</f>
        <v>0</v>
      </c>
      <c r="L247" s="360"/>
      <c r="M247" s="7"/>
    </row>
    <row r="248" spans="1:22" ht="18" x14ac:dyDescent="0.35">
      <c r="A248" s="6"/>
      <c r="B248" s="14"/>
      <c r="C248" s="189"/>
      <c r="D248" s="223"/>
      <c r="E248" s="223"/>
      <c r="F248" s="223"/>
      <c r="G248" s="224"/>
      <c r="H248" s="13"/>
      <c r="I248" s="189"/>
      <c r="J248" s="223"/>
      <c r="K248" s="223"/>
      <c r="L248" s="247"/>
      <c r="O248" s="248"/>
    </row>
    <row r="249" spans="1:22" x14ac:dyDescent="0.25">
      <c r="L249" s="264"/>
    </row>
    <row r="250" spans="1:22" x14ac:dyDescent="0.25">
      <c r="G250" s="264"/>
      <c r="L250" s="264"/>
    </row>
    <row r="251" spans="1:22" x14ac:dyDescent="0.25">
      <c r="E251" s="264"/>
      <c r="F251" s="264"/>
      <c r="L251" s="264"/>
    </row>
    <row r="252" spans="1:22" x14ac:dyDescent="0.25">
      <c r="L252" s="264"/>
    </row>
  </sheetData>
  <autoFilter ref="A2:ALZ239" xr:uid="{D8F0E5AB-0B38-4DA9-B320-6421C6E62D0D}"/>
  <mergeCells count="2">
    <mergeCell ref="K247:L247"/>
    <mergeCell ref="A1:L1"/>
  </mergeCells>
  <conditionalFormatting sqref="G51">
    <cfRule type="expression" dxfId="2" priority="2" stopIfTrue="1">
      <formula>AND(NOT(ISBLANK(#REF!)),OR(ISBLANK(G51),G51=0))</formula>
    </cfRule>
  </conditionalFormatting>
  <conditionalFormatting sqref="H51">
    <cfRule type="expression" dxfId="1" priority="3">
      <formula>AND(NOT(ISBLANK(C51)),OR(ISBLANK(H51),H51=0))</formula>
    </cfRule>
  </conditionalFormatting>
  <conditionalFormatting sqref="H55">
    <cfRule type="expression" dxfId="0" priority="1">
      <formula>AND(NOT(ISBLANK(C55)),OR(ISBLANK(H55),H55=0))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  <colBreaks count="1" manualBreakCount="1">
    <brk id="12" max="58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DF357E263B688429CF5FBBF83DFB9A7" ma:contentTypeVersion="14" ma:contentTypeDescription="Створення нового документа." ma:contentTypeScope="" ma:versionID="1e1a75433f33dad1e3869ffc3e74e7bd">
  <xsd:schema xmlns:xsd="http://www.w3.org/2001/XMLSchema" xmlns:xs="http://www.w3.org/2001/XMLSchema" xmlns:p="http://schemas.microsoft.com/office/2006/metadata/properties" xmlns:ns2="a5814c33-03e1-4ae0-97d5-c8bdbc5d25ee" xmlns:ns3="a18d7544-d968-443d-b9b1-569fa30f3bf0" targetNamespace="http://schemas.microsoft.com/office/2006/metadata/properties" ma:root="true" ma:fieldsID="a0db8848b1679a0107279e49e1eff594" ns2:_="" ns3:_="">
    <xsd:import namespace="a5814c33-03e1-4ae0-97d5-c8bdbc5d25ee"/>
    <xsd:import namespace="a18d7544-d968-443d-b9b1-569fa30f3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14c33-03e1-4ae0-97d5-c8bdbc5d25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1806a122-7831-43d2-81cd-ca6982288e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d7544-d968-443d-b9b1-569fa30f3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814c33-03e1-4ae0-97d5-c8bdbc5d25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DD7839-CC17-4B1B-B3FF-54787EE02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DE1681-7C79-4BDA-A37F-59CE9D25A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14c33-03e1-4ae0-97d5-c8bdbc5d25ee"/>
    <ds:schemaRef ds:uri="a18d7544-d968-443d-b9b1-569fa30f3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C38B18-19D5-42F0-9F32-763A421E4CCF}">
  <ds:schemaRefs>
    <ds:schemaRef ds:uri="a3b53231-5e85-4387-85fd-bf845f1790b2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a5814c33-03e1-4ae0-97d5-c8bdbc5d25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БМР (2поверхи)</vt:lpstr>
    </vt:vector>
  </TitlesOfParts>
  <Manager/>
  <Company>*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</dc:creator>
  <cp:keywords/>
  <dc:description/>
  <cp:lastModifiedBy>user</cp:lastModifiedBy>
  <cp:revision/>
  <dcterms:created xsi:type="dcterms:W3CDTF">2012-06-24T07:09:18Z</dcterms:created>
  <dcterms:modified xsi:type="dcterms:W3CDTF">2025-07-09T06:59:43Z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0x0101007DF357E263B688429CF5FBBF83DFB9A7</vt:lpwstr>
  </property>
  <property fmtid="{D5CDD505-2E9C-101B-9397-08002B2CF9AE}" pid="3" name="MediaServiceImageTags">
    <vt:lpwstr/>
  </property>
</Properties>
</file>