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Hello\Desktop\"/>
    </mc:Choice>
  </mc:AlternateContent>
  <xr:revisionPtr revIDLastSave="0" documentId="13_ncr:1_{3236F5AA-0AAB-4C7A-A3A3-64B354EB9F0F}" xr6:coauthVersionLast="47" xr6:coauthVersionMax="47" xr10:uidLastSave="{00000000-0000-0000-0000-000000000000}"/>
  <bookViews>
    <workbookView xWindow="-108" yWindow="-108" windowWidth="23256" windowHeight="12576" firstSheet="14" activeTab="14" xr2:uid="{00000000-000D-0000-FFFF-FFFF00000000}"/>
  </bookViews>
  <sheets>
    <sheet name="Обзор экспорта" sheetId="1" state="hidden" r:id="rId1"/>
    <sheet name="ТДЦ1" sheetId="2" state="hidden" r:id="rId2"/>
    <sheet name="ТДЦ2" sheetId="3" state="hidden" r:id="rId3"/>
    <sheet name="ТДЦ3" sheetId="4" state="hidden" r:id="rId4"/>
    <sheet name="ДЦ4ВК" sheetId="5" state="hidden" r:id="rId5"/>
    <sheet name="мелкие мк ТДЦ4" sheetId="6" state="hidden" r:id="rId6"/>
    <sheet name="ТДЦ5" sheetId="7" state="hidden" r:id="rId7"/>
    <sheet name="ТДЦ6" sheetId="8" state="hidden" r:id="rId8"/>
    <sheet name="ТДЦ7" sheetId="9" state="hidden" r:id="rId9"/>
    <sheet name="ТДЦ8" sheetId="10" state="hidden" r:id="rId10"/>
    <sheet name="покр Т" sheetId="11" state="hidden" r:id="rId11"/>
    <sheet name="ТДЦ11" sheetId="18" state="hidden" r:id="rId12"/>
    <sheet name="Манго ДЦ2" sheetId="14" state="hidden" r:id="rId13"/>
    <sheet name="МДЦ1 финанс" sheetId="15" state="hidden" r:id="rId14"/>
    <sheet name="ГКЛ" sheetId="21" r:id="rId15"/>
  </sheets>
  <calcPr calcId="191029"/>
</workbook>
</file>

<file path=xl/calcChain.xml><?xml version="1.0" encoding="utf-8"?>
<calcChain xmlns="http://schemas.openxmlformats.org/spreadsheetml/2006/main">
  <c r="F28" i="21" l="1"/>
  <c r="F27" i="21"/>
  <c r="F26" i="21"/>
  <c r="F24" i="21"/>
  <c r="F25" i="21"/>
  <c r="F6" i="21" l="1"/>
  <c r="F13" i="21"/>
  <c r="F15" i="21"/>
  <c r="F11" i="21"/>
  <c r="F9" i="21"/>
  <c r="F16" i="21"/>
  <c r="F10" i="21"/>
  <c r="F7" i="21"/>
  <c r="F8" i="21"/>
  <c r="F12" i="21"/>
  <c r="F14" i="21"/>
  <c r="F17" i="21"/>
  <c r="F18" i="21"/>
  <c r="F19" i="21"/>
  <c r="F20" i="21"/>
  <c r="F21" i="21"/>
  <c r="F22" i="21"/>
  <c r="F23" i="21"/>
  <c r="F30" i="21" l="1"/>
  <c r="G93" i="18"/>
  <c r="G83" i="18"/>
  <c r="H82" i="18"/>
  <c r="G82" i="18"/>
  <c r="H81" i="18"/>
  <c r="G81" i="18"/>
  <c r="H80" i="18"/>
  <c r="G80" i="18"/>
  <c r="H79" i="18"/>
  <c r="G79" i="18"/>
  <c r="H78" i="18"/>
  <c r="G78" i="18"/>
  <c r="H77" i="18"/>
  <c r="G77" i="18"/>
  <c r="H95" i="18" l="1"/>
  <c r="D92" i="18"/>
  <c r="X18" i="4"/>
  <c r="G94" i="18" l="1"/>
  <c r="H92" i="18"/>
  <c r="G91" i="18"/>
  <c r="G84" i="18"/>
  <c r="D90" i="18"/>
  <c r="H90" i="18" s="1"/>
  <c r="D89" i="18"/>
  <c r="H89" i="18" s="1"/>
  <c r="G88" i="18"/>
  <c r="G87" i="18"/>
  <c r="H85" i="18"/>
  <c r="G74" i="18"/>
  <c r="D73" i="18"/>
  <c r="H73" i="18" s="1"/>
  <c r="D72" i="18"/>
  <c r="H72" i="18" s="1"/>
  <c r="G71" i="18"/>
  <c r="D70" i="18"/>
  <c r="H70" i="18" s="1"/>
  <c r="G69" i="18"/>
  <c r="G64" i="18"/>
  <c r="G65" i="18"/>
  <c r="G66" i="18"/>
  <c r="G63" i="18"/>
  <c r="G59" i="18"/>
  <c r="D54" i="18"/>
  <c r="D55" i="18" s="1"/>
  <c r="H55" i="18" s="1"/>
  <c r="D53" i="18"/>
  <c r="H53" i="18" s="1"/>
  <c r="D52" i="18"/>
  <c r="H52" i="18" s="1"/>
  <c r="G51" i="18"/>
  <c r="D50" i="18"/>
  <c r="H50" i="18" s="1"/>
  <c r="D49" i="18"/>
  <c r="H49" i="18" s="1"/>
  <c r="G48" i="18"/>
  <c r="G46" i="18"/>
  <c r="H45" i="18"/>
  <c r="D44" i="18"/>
  <c r="H44" i="18" s="1"/>
  <c r="H43" i="18"/>
  <c r="D42" i="18"/>
  <c r="H42" i="18" s="1"/>
  <c r="H41" i="18"/>
  <c r="D40" i="18"/>
  <c r="H40" i="18" s="1"/>
  <c r="D39" i="18"/>
  <c r="H39" i="18" s="1"/>
  <c r="D38" i="18"/>
  <c r="H38" i="18" s="1"/>
  <c r="G37" i="18"/>
  <c r="E21" i="18"/>
  <c r="G21" i="18" s="1"/>
  <c r="E15" i="18"/>
  <c r="G15" i="18" s="1"/>
  <c r="D36" i="18"/>
  <c r="H36" i="18" s="1"/>
  <c r="D35" i="18"/>
  <c r="H35" i="18" s="1"/>
  <c r="D34" i="18"/>
  <c r="H34" i="18" s="1"/>
  <c r="G33" i="18"/>
  <c r="D18" i="18"/>
  <c r="H18" i="18" s="1"/>
  <c r="D17" i="18"/>
  <c r="H17" i="18" s="1"/>
  <c r="D16" i="18"/>
  <c r="H16" i="18" s="1"/>
  <c r="D29" i="18"/>
  <c r="D30" i="18" s="1"/>
  <c r="H30" i="18" s="1"/>
  <c r="D28" i="18"/>
  <c r="H28" i="18" s="1"/>
  <c r="D27" i="18"/>
  <c r="H27" i="18" s="1"/>
  <c r="G26" i="18"/>
  <c r="D25" i="18"/>
  <c r="H25" i="18" s="1"/>
  <c r="D24" i="18"/>
  <c r="H24" i="18" s="1"/>
  <c r="G23" i="18"/>
  <c r="D22" i="18"/>
  <c r="H22" i="18" s="1"/>
  <c r="G14" i="18"/>
  <c r="G13" i="18"/>
  <c r="C111" i="18"/>
  <c r="G86" i="18"/>
  <c r="G62" i="18"/>
  <c r="H58" i="18"/>
  <c r="H57" i="18"/>
  <c r="F56" i="18"/>
  <c r="H56" i="18" s="1"/>
  <c r="X25" i="4"/>
  <c r="AB25" i="4" s="1"/>
  <c r="N53" i="10"/>
  <c r="Q53" i="10" s="1"/>
  <c r="X51" i="7"/>
  <c r="X52" i="7" s="1"/>
  <c r="AB52" i="7" s="1"/>
  <c r="AB127" i="4"/>
  <c r="W127" i="4"/>
  <c r="R127" i="4"/>
  <c r="M127" i="4"/>
  <c r="H127" i="4"/>
  <c r="X124" i="4"/>
  <c r="AB124" i="4" s="1"/>
  <c r="X65" i="3"/>
  <c r="X28" i="3"/>
  <c r="AB28" i="3" s="1"/>
  <c r="R65" i="10"/>
  <c r="Q64" i="10"/>
  <c r="Q63" i="10"/>
  <c r="Q62" i="10"/>
  <c r="R59" i="10"/>
  <c r="R58" i="10"/>
  <c r="Q57" i="10"/>
  <c r="Q56" i="10"/>
  <c r="N55" i="10"/>
  <c r="R55" i="10" s="1"/>
  <c r="N54" i="10"/>
  <c r="R60" i="10" s="1"/>
  <c r="R52" i="10"/>
  <c r="Q51" i="10"/>
  <c r="R50" i="10"/>
  <c r="Q49" i="10"/>
  <c r="R48" i="10"/>
  <c r="R47" i="10"/>
  <c r="Q46" i="10"/>
  <c r="R45" i="10"/>
  <c r="R44" i="10"/>
  <c r="Q43" i="10"/>
  <c r="R42" i="10"/>
  <c r="R41" i="10"/>
  <c r="Q40" i="10"/>
  <c r="R39" i="10"/>
  <c r="Q38" i="10"/>
  <c r="R37" i="10"/>
  <c r="Q36" i="10"/>
  <c r="N35" i="10"/>
  <c r="R35" i="10" s="1"/>
  <c r="Q34" i="10"/>
  <c r="N33" i="10"/>
  <c r="R33" i="10" s="1"/>
  <c r="Q32" i="10"/>
  <c r="N31" i="10"/>
  <c r="R31" i="10" s="1"/>
  <c r="N30" i="10"/>
  <c r="R30" i="10" s="1"/>
  <c r="Q29" i="10"/>
  <c r="N28" i="10"/>
  <c r="R28" i="10" s="1"/>
  <c r="Q27" i="10"/>
  <c r="R25" i="10"/>
  <c r="R24" i="10"/>
  <c r="Q23" i="10"/>
  <c r="R22" i="10"/>
  <c r="R21" i="10"/>
  <c r="Q20" i="10"/>
  <c r="R19" i="10"/>
  <c r="R18" i="10"/>
  <c r="R17" i="10"/>
  <c r="Q16" i="10"/>
  <c r="AA65" i="7"/>
  <c r="AA63" i="7"/>
  <c r="AA62" i="7"/>
  <c r="X60" i="7"/>
  <c r="AB60" i="7" s="1"/>
  <c r="AA59" i="7"/>
  <c r="X61" i="7"/>
  <c r="AB61" i="7" s="1"/>
  <c r="X57" i="7"/>
  <c r="X48" i="7"/>
  <c r="AB48" i="7" s="1"/>
  <c r="X47" i="7"/>
  <c r="AB47" i="7" s="1"/>
  <c r="AA46" i="7"/>
  <c r="AB45" i="7"/>
  <c r="AA44" i="7"/>
  <c r="AB43" i="7"/>
  <c r="AB42" i="7"/>
  <c r="AA41" i="7"/>
  <c r="AB40" i="7"/>
  <c r="Z39" i="7"/>
  <c r="AB39" i="7" s="1"/>
  <c r="AA38" i="7"/>
  <c r="AB37" i="7"/>
  <c r="AB36" i="7"/>
  <c r="AB35" i="7"/>
  <c r="AB34" i="7"/>
  <c r="AB33" i="7"/>
  <c r="AB32" i="7"/>
  <c r="Z31" i="7"/>
  <c r="AB31" i="7" s="1"/>
  <c r="Y30" i="7"/>
  <c r="AA30" i="7" s="1"/>
  <c r="AB29" i="7"/>
  <c r="AB28" i="7"/>
  <c r="AB27" i="7"/>
  <c r="AB26" i="7"/>
  <c r="AB25" i="7"/>
  <c r="AB24" i="7"/>
  <c r="AB23" i="7"/>
  <c r="AB22" i="7"/>
  <c r="AA21" i="7"/>
  <c r="Y21" i="7"/>
  <c r="AB19" i="7"/>
  <c r="AA18" i="7"/>
  <c r="AA17" i="7"/>
  <c r="AA16" i="7"/>
  <c r="Y15" i="7"/>
  <c r="AA15" i="7" s="1"/>
  <c r="AA130" i="4"/>
  <c r="AA129" i="4"/>
  <c r="AB128" i="4"/>
  <c r="AA126" i="4"/>
  <c r="AB125" i="4"/>
  <c r="AB123" i="4"/>
  <c r="AA122" i="4"/>
  <c r="AB121" i="4"/>
  <c r="AB120" i="4"/>
  <c r="AA119" i="4"/>
  <c r="AB118" i="4"/>
  <c r="AB117" i="4"/>
  <c r="AB116" i="4"/>
  <c r="AB115" i="4"/>
  <c r="AB114" i="4"/>
  <c r="Z113" i="4"/>
  <c r="AB113" i="4" s="1"/>
  <c r="AA112" i="4"/>
  <c r="AB109" i="4"/>
  <c r="AB108" i="4"/>
  <c r="AB107" i="4"/>
  <c r="AA107" i="4"/>
  <c r="AB106" i="4"/>
  <c r="AA105" i="4"/>
  <c r="X104" i="4"/>
  <c r="AB104" i="4" s="1"/>
  <c r="AA103" i="4"/>
  <c r="X102" i="4"/>
  <c r="AB102" i="4" s="1"/>
  <c r="AA101" i="4"/>
  <c r="X100" i="4"/>
  <c r="AB100" i="4" s="1"/>
  <c r="X99" i="4"/>
  <c r="AB99" i="4" s="1"/>
  <c r="X98" i="4"/>
  <c r="AB98" i="4" s="1"/>
  <c r="AA97" i="4"/>
  <c r="AB96" i="4"/>
  <c r="AA95" i="4"/>
  <c r="AB94" i="4"/>
  <c r="AB91" i="4"/>
  <c r="AA90" i="4"/>
  <c r="AB92" i="4"/>
  <c r="AB89" i="4"/>
  <c r="AB88" i="4"/>
  <c r="AA87" i="4"/>
  <c r="AB84" i="4"/>
  <c r="AB83" i="4"/>
  <c r="AA82" i="4"/>
  <c r="AB81" i="4"/>
  <c r="AB80" i="4"/>
  <c r="AB79" i="4"/>
  <c r="AA78" i="4"/>
  <c r="AB77" i="4"/>
  <c r="AA76" i="4"/>
  <c r="AB75" i="4"/>
  <c r="AB74" i="4"/>
  <c r="AB73" i="4"/>
  <c r="AB72" i="4"/>
  <c r="AB71" i="4"/>
  <c r="AB70" i="4"/>
  <c r="AB69" i="4"/>
  <c r="AB68" i="4"/>
  <c r="Y67" i="4"/>
  <c r="AA67" i="4" s="1"/>
  <c r="AB59" i="4"/>
  <c r="X58" i="4"/>
  <c r="X60" i="4" s="1"/>
  <c r="AB60" i="4" s="1"/>
  <c r="AB52" i="4"/>
  <c r="AB51" i="4"/>
  <c r="AB50" i="4"/>
  <c r="AB49" i="4"/>
  <c r="AB48" i="4"/>
  <c r="AB47" i="4"/>
  <c r="AB46" i="4"/>
  <c r="AB45" i="4"/>
  <c r="AB44" i="4"/>
  <c r="AA36" i="4"/>
  <c r="AB33" i="4"/>
  <c r="AB32" i="4"/>
  <c r="AB31" i="4"/>
  <c r="AA31" i="4"/>
  <c r="AB29" i="4"/>
  <c r="AA29" i="4"/>
  <c r="AB28" i="4"/>
  <c r="X27" i="4"/>
  <c r="AB27" i="4" s="1"/>
  <c r="Z26" i="4"/>
  <c r="AB26" i="4" s="1"/>
  <c r="AB24" i="4"/>
  <c r="AA24" i="4"/>
  <c r="AB23" i="4"/>
  <c r="AB22" i="4"/>
  <c r="AA21" i="4"/>
  <c r="AB20" i="4"/>
  <c r="AA19" i="4"/>
  <c r="AB18" i="4"/>
  <c r="AA16" i="4"/>
  <c r="AA77" i="3"/>
  <c r="AA76" i="3"/>
  <c r="AA74" i="3"/>
  <c r="AA73" i="3"/>
  <c r="AB71" i="3"/>
  <c r="X70" i="3"/>
  <c r="AB70" i="3" s="1"/>
  <c r="X69" i="3"/>
  <c r="AB69" i="3" s="1"/>
  <c r="X68" i="3"/>
  <c r="AB68" i="3" s="1"/>
  <c r="X67" i="3"/>
  <c r="AB67" i="3" s="1"/>
  <c r="AA66" i="3"/>
  <c r="AB65" i="3"/>
  <c r="AA64" i="3"/>
  <c r="AB62" i="3"/>
  <c r="AB60" i="3"/>
  <c r="AB59" i="3"/>
  <c r="AA58" i="3"/>
  <c r="AB57" i="3"/>
  <c r="AA56" i="3"/>
  <c r="AB55" i="3"/>
  <c r="AB54" i="3"/>
  <c r="AB53" i="3"/>
  <c r="AB52" i="3"/>
  <c r="AB51" i="3"/>
  <c r="AB50" i="3"/>
  <c r="AB49" i="3"/>
  <c r="AB48" i="3"/>
  <c r="Y47" i="3"/>
  <c r="AA47" i="3" s="1"/>
  <c r="AB46" i="3"/>
  <c r="AB45" i="3"/>
  <c r="AB44" i="3"/>
  <c r="AB43" i="3"/>
  <c r="AB42" i="3"/>
  <c r="AB41" i="3"/>
  <c r="AB40" i="3"/>
  <c r="AB39" i="3"/>
  <c r="AB38" i="3"/>
  <c r="AB36" i="3"/>
  <c r="X35" i="3"/>
  <c r="AB35" i="3" s="1"/>
  <c r="X34" i="3"/>
  <c r="AB34" i="3" s="1"/>
  <c r="AB33" i="3"/>
  <c r="AB32" i="3"/>
  <c r="AB31" i="3"/>
  <c r="X30" i="3"/>
  <c r="AB30" i="3" s="1"/>
  <c r="X29" i="3"/>
  <c r="AB29" i="3" s="1"/>
  <c r="Y27" i="3"/>
  <c r="Y37" i="3" s="1"/>
  <c r="AA37" i="3" s="1"/>
  <c r="AB23" i="3"/>
  <c r="AB22" i="3"/>
  <c r="AA21" i="3"/>
  <c r="AB20" i="3"/>
  <c r="AB19" i="3"/>
  <c r="AB18" i="3"/>
  <c r="Z17" i="3"/>
  <c r="AB17" i="3" s="1"/>
  <c r="AB16" i="3"/>
  <c r="Y15" i="3"/>
  <c r="AA15" i="3" s="1"/>
  <c r="AA27" i="3" l="1"/>
  <c r="G54" i="18"/>
  <c r="D47" i="18"/>
  <c r="H47" i="18" s="1"/>
  <c r="D19" i="18"/>
  <c r="G29" i="18"/>
  <c r="Q66" i="10"/>
  <c r="Q69" i="10" s="1"/>
  <c r="X53" i="7"/>
  <c r="AB53" i="7" s="1"/>
  <c r="AA51" i="7"/>
  <c r="R54" i="10"/>
  <c r="R67" i="10" s="1"/>
  <c r="X58" i="7"/>
  <c r="AB58" i="7" s="1"/>
  <c r="AA57" i="7"/>
  <c r="X56" i="7"/>
  <c r="AB56" i="7" s="1"/>
  <c r="AA54" i="7"/>
  <c r="X49" i="7"/>
  <c r="X55" i="7"/>
  <c r="AB55" i="7" s="1"/>
  <c r="AA17" i="4"/>
  <c r="X61" i="4"/>
  <c r="X56" i="4" s="1"/>
  <c r="X53" i="4"/>
  <c r="AA93" i="4"/>
  <c r="AA58" i="4"/>
  <c r="AB63" i="3"/>
  <c r="AB80" i="3" s="1"/>
  <c r="AA61" i="3"/>
  <c r="AA79" i="3" s="1"/>
  <c r="G19" i="18" l="1"/>
  <c r="G96" i="18" s="1"/>
  <c r="G99" i="18" s="1"/>
  <c r="D20" i="18"/>
  <c r="H20" i="18" s="1"/>
  <c r="R68" i="10"/>
  <c r="R70" i="10"/>
  <c r="X50" i="7"/>
  <c r="AB50" i="7" s="1"/>
  <c r="AB68" i="7" s="1"/>
  <c r="AA49" i="7"/>
  <c r="AA67" i="7" s="1"/>
  <c r="AA85" i="4"/>
  <c r="AB86" i="4"/>
  <c r="AA53" i="4"/>
  <c r="X55" i="4"/>
  <c r="AB55" i="4" s="1"/>
  <c r="X54" i="4"/>
  <c r="AB54" i="4" s="1"/>
  <c r="AA56" i="4"/>
  <c r="X57" i="4"/>
  <c r="AB57" i="4" s="1"/>
  <c r="X62" i="4"/>
  <c r="AB62" i="4" s="1"/>
  <c r="X63" i="4"/>
  <c r="AB63" i="4" s="1"/>
  <c r="AA61" i="4"/>
  <c r="AA82" i="3"/>
  <c r="AB83" i="3"/>
  <c r="AB81" i="3"/>
  <c r="AA132" i="4" l="1"/>
  <c r="AA135" i="4" s="1"/>
  <c r="H97" i="18"/>
  <c r="H98" i="18" s="1"/>
  <c r="R71" i="10"/>
  <c r="R72" i="10" s="1"/>
  <c r="R73" i="10" s="1"/>
  <c r="AB84" i="3"/>
  <c r="AB85" i="3" s="1"/>
  <c r="AB86" i="3" s="1"/>
  <c r="AA70" i="7"/>
  <c r="AB69" i="7"/>
  <c r="AB71" i="7"/>
  <c r="AB133" i="4"/>
  <c r="H100" i="18" l="1"/>
  <c r="H101" i="18" s="1"/>
  <c r="H102" i="18" s="1"/>
  <c r="H103" i="18" s="1"/>
  <c r="AB73" i="7"/>
  <c r="AB72" i="7"/>
  <c r="AB134" i="4"/>
  <c r="AB136" i="4"/>
  <c r="AB74" i="7" l="1"/>
  <c r="AB137" i="4"/>
  <c r="AB138" i="4"/>
  <c r="AB139" i="4" l="1"/>
  <c r="W46" i="6" l="1"/>
  <c r="I20" i="11" l="1"/>
  <c r="D65" i="10" l="1"/>
  <c r="M48" i="10"/>
  <c r="H48" i="10"/>
  <c r="I39" i="10"/>
  <c r="I37" i="10"/>
  <c r="I35" i="10"/>
  <c r="S33" i="3"/>
  <c r="S28" i="3"/>
  <c r="S35" i="3"/>
  <c r="S34" i="3"/>
  <c r="S30" i="3"/>
  <c r="S29" i="3"/>
  <c r="S84" i="4"/>
  <c r="S83" i="4"/>
  <c r="S81" i="4"/>
  <c r="S80" i="4"/>
  <c r="S79" i="4"/>
  <c r="S75" i="4"/>
  <c r="S74" i="4"/>
  <c r="S73" i="4"/>
  <c r="S70" i="4"/>
  <c r="S69" i="4"/>
  <c r="S68" i="4"/>
  <c r="S52" i="4"/>
  <c r="S49" i="4"/>
  <c r="S51" i="4"/>
  <c r="S50" i="4"/>
  <c r="S48" i="4"/>
  <c r="S47" i="4"/>
  <c r="S46" i="4"/>
  <c r="S45" i="4"/>
  <c r="S44" i="4"/>
  <c r="S26" i="4"/>
  <c r="M62" i="10" l="1"/>
  <c r="I65" i="10"/>
  <c r="S68" i="3"/>
  <c r="L28" i="11"/>
  <c r="L27" i="11"/>
  <c r="I22" i="11"/>
  <c r="I24" i="11" s="1"/>
  <c r="M20" i="11"/>
  <c r="L19" i="11"/>
  <c r="I18" i="11"/>
  <c r="M18" i="11" s="1"/>
  <c r="L17" i="11"/>
  <c r="L24" i="11" l="1"/>
  <c r="I25" i="11"/>
  <c r="M25" i="11" s="1"/>
  <c r="L22" i="11"/>
  <c r="I23" i="11"/>
  <c r="M23" i="11" s="1"/>
  <c r="M31" i="11" s="1"/>
  <c r="L30" i="11" l="1"/>
  <c r="L33" i="11"/>
  <c r="M34" i="11"/>
  <c r="M32" i="11"/>
  <c r="M36" i="11" s="1"/>
  <c r="M35" i="11" l="1"/>
  <c r="M37" i="11" s="1"/>
  <c r="M65" i="10" l="1"/>
  <c r="L64" i="10"/>
  <c r="L63" i="10"/>
  <c r="M59" i="10"/>
  <c r="M58" i="10"/>
  <c r="L57" i="10"/>
  <c r="L56" i="10"/>
  <c r="I55" i="10"/>
  <c r="M55" i="10" s="1"/>
  <c r="I54" i="10"/>
  <c r="M60" i="10" s="1"/>
  <c r="L53" i="10"/>
  <c r="M52" i="10"/>
  <c r="L51" i="10"/>
  <c r="M50" i="10"/>
  <c r="L49" i="10"/>
  <c r="M47" i="10"/>
  <c r="L46" i="10"/>
  <c r="I45" i="10"/>
  <c r="M45" i="10" s="1"/>
  <c r="M44" i="10"/>
  <c r="L43" i="10"/>
  <c r="I42" i="10"/>
  <c r="M42" i="10" s="1"/>
  <c r="M41" i="10"/>
  <c r="L40" i="10"/>
  <c r="M39" i="10"/>
  <c r="L38" i="10"/>
  <c r="M37" i="10"/>
  <c r="L36" i="10"/>
  <c r="M35" i="10"/>
  <c r="L34" i="10"/>
  <c r="I33" i="10"/>
  <c r="M33" i="10" s="1"/>
  <c r="L32" i="10"/>
  <c r="I31" i="10"/>
  <c r="M31" i="10" s="1"/>
  <c r="I30" i="10"/>
  <c r="M30" i="10" s="1"/>
  <c r="L29" i="10"/>
  <c r="I28" i="10"/>
  <c r="M28" i="10" s="1"/>
  <c r="L27" i="10"/>
  <c r="M25" i="10"/>
  <c r="L23" i="10"/>
  <c r="M22" i="10"/>
  <c r="M21" i="10"/>
  <c r="L20" i="10"/>
  <c r="M19" i="10"/>
  <c r="M18" i="10"/>
  <c r="M17" i="10"/>
  <c r="L16" i="10"/>
  <c r="V65" i="7"/>
  <c r="V63" i="7"/>
  <c r="V62" i="7"/>
  <c r="W60" i="7"/>
  <c r="W61" i="7"/>
  <c r="S52" i="7"/>
  <c r="W52" i="7" s="1"/>
  <c r="S53" i="7"/>
  <c r="W53" i="7" s="1"/>
  <c r="W48" i="7"/>
  <c r="W47" i="7"/>
  <c r="V46" i="7"/>
  <c r="W45" i="7"/>
  <c r="V44" i="7"/>
  <c r="S43" i="7"/>
  <c r="W43" i="7" s="1"/>
  <c r="S42" i="7"/>
  <c r="W42" i="7" s="1"/>
  <c r="V41" i="7"/>
  <c r="U39" i="7"/>
  <c r="W39" i="7"/>
  <c r="W40" i="7"/>
  <c r="W37" i="7"/>
  <c r="W36" i="7"/>
  <c r="W35" i="7"/>
  <c r="W34" i="7"/>
  <c r="W33" i="7"/>
  <c r="W32" i="7"/>
  <c r="U31" i="7"/>
  <c r="T30" i="7"/>
  <c r="V30" i="7" s="1"/>
  <c r="W29" i="7"/>
  <c r="W28" i="7"/>
  <c r="W27" i="7"/>
  <c r="W26" i="7"/>
  <c r="W25" i="7"/>
  <c r="W24" i="7"/>
  <c r="W23" i="7"/>
  <c r="W22" i="7"/>
  <c r="T21" i="7"/>
  <c r="V21" i="7" s="1"/>
  <c r="W19" i="7"/>
  <c r="V18" i="7"/>
  <c r="V17" i="7"/>
  <c r="V16" i="7"/>
  <c r="T15" i="7"/>
  <c r="V15" i="7" s="1"/>
  <c r="V74" i="6"/>
  <c r="W73" i="6"/>
  <c r="S72" i="6"/>
  <c r="W72" i="6" s="1"/>
  <c r="V71" i="6"/>
  <c r="W70" i="6"/>
  <c r="W69" i="6"/>
  <c r="W68" i="6"/>
  <c r="U67" i="6"/>
  <c r="W67" i="6" s="1"/>
  <c r="W66" i="6"/>
  <c r="V65" i="6"/>
  <c r="W63" i="6"/>
  <c r="W62" i="6"/>
  <c r="V61" i="6"/>
  <c r="W60" i="6"/>
  <c r="W59" i="6"/>
  <c r="W58" i="6"/>
  <c r="U57" i="6"/>
  <c r="W57" i="6" s="1"/>
  <c r="W56" i="6"/>
  <c r="V55" i="6"/>
  <c r="W53" i="6"/>
  <c r="W52" i="6"/>
  <c r="V51" i="6"/>
  <c r="W50" i="6"/>
  <c r="W49" i="6"/>
  <c r="W48" i="6"/>
  <c r="U47" i="6"/>
  <c r="W47" i="6" s="1"/>
  <c r="W45" i="6"/>
  <c r="V44" i="6"/>
  <c r="W42" i="6"/>
  <c r="W41" i="6"/>
  <c r="V40" i="6"/>
  <c r="W39" i="6"/>
  <c r="W38" i="6"/>
  <c r="W37" i="6"/>
  <c r="W36" i="6"/>
  <c r="W31" i="6"/>
  <c r="T29" i="6"/>
  <c r="V29" i="6" s="1"/>
  <c r="W25" i="6"/>
  <c r="W24" i="6"/>
  <c r="V23" i="6"/>
  <c r="W22" i="6"/>
  <c r="W21" i="6"/>
  <c r="W20" i="6"/>
  <c r="W19" i="6"/>
  <c r="W18" i="6"/>
  <c r="W17" i="6"/>
  <c r="W16" i="6"/>
  <c r="T15" i="6"/>
  <c r="V15" i="6"/>
  <c r="S98" i="4"/>
  <c r="W98" i="4" s="1"/>
  <c r="S99" i="4"/>
  <c r="W99" i="4" s="1"/>
  <c r="S100" i="4"/>
  <c r="W100" i="4" s="1"/>
  <c r="V130" i="4"/>
  <c r="V129" i="4"/>
  <c r="W128" i="4"/>
  <c r="V126" i="4"/>
  <c r="W125" i="4"/>
  <c r="W123" i="4"/>
  <c r="V122" i="4"/>
  <c r="W121" i="4"/>
  <c r="W120" i="4"/>
  <c r="V119" i="4"/>
  <c r="W118" i="4"/>
  <c r="W117" i="4"/>
  <c r="W116" i="4"/>
  <c r="W115" i="4"/>
  <c r="W114" i="4"/>
  <c r="U113" i="4"/>
  <c r="W113" i="4" s="1"/>
  <c r="V112" i="4"/>
  <c r="S104" i="4"/>
  <c r="W104" i="4" s="1"/>
  <c r="V103" i="4"/>
  <c r="S102" i="4"/>
  <c r="W102" i="4" s="1"/>
  <c r="V101" i="4"/>
  <c r="V97" i="4"/>
  <c r="W96" i="4"/>
  <c r="V95" i="4"/>
  <c r="S90" i="4"/>
  <c r="S89" i="4"/>
  <c r="W89" i="4" s="1"/>
  <c r="S88" i="4"/>
  <c r="W88" i="4" s="1"/>
  <c r="V87" i="4"/>
  <c r="W84" i="4"/>
  <c r="W83" i="4"/>
  <c r="V82" i="4"/>
  <c r="W81" i="4"/>
  <c r="W80" i="4"/>
  <c r="W79" i="4"/>
  <c r="V78" i="4"/>
  <c r="W77" i="4"/>
  <c r="V76" i="4"/>
  <c r="W75" i="4"/>
  <c r="W74" i="4"/>
  <c r="W73" i="4"/>
  <c r="W72" i="4"/>
  <c r="W71" i="4"/>
  <c r="W70" i="4"/>
  <c r="W69" i="4"/>
  <c r="W68" i="4"/>
  <c r="T67" i="4"/>
  <c r="V67" i="4" s="1"/>
  <c r="W60" i="4"/>
  <c r="W59" i="4"/>
  <c r="W52" i="4"/>
  <c r="W51" i="4"/>
  <c r="W50" i="4"/>
  <c r="W49" i="4"/>
  <c r="W48" i="4"/>
  <c r="W47" i="4"/>
  <c r="W46" i="4"/>
  <c r="W45" i="4"/>
  <c r="W44" i="4"/>
  <c r="V43" i="4"/>
  <c r="V36" i="4"/>
  <c r="W33" i="4"/>
  <c r="W32" i="4"/>
  <c r="W31" i="4"/>
  <c r="V31" i="4"/>
  <c r="W29" i="4"/>
  <c r="V29" i="4"/>
  <c r="W28" i="4"/>
  <c r="S27" i="4"/>
  <c r="W27" i="4" s="1"/>
  <c r="U26" i="4"/>
  <c r="W26" i="4" s="1"/>
  <c r="S25" i="4"/>
  <c r="W25" i="4" s="1"/>
  <c r="W24" i="4"/>
  <c r="V24" i="4"/>
  <c r="W23" i="4"/>
  <c r="W22" i="4"/>
  <c r="V21" i="4"/>
  <c r="W20" i="4"/>
  <c r="V19" i="4"/>
  <c r="S18" i="4"/>
  <c r="W18" i="4" s="1"/>
  <c r="V16" i="4"/>
  <c r="V77" i="3"/>
  <c r="V76" i="3"/>
  <c r="V74" i="3"/>
  <c r="V73" i="3"/>
  <c r="W71" i="3"/>
  <c r="S70" i="3"/>
  <c r="W70" i="3" s="1"/>
  <c r="S69" i="3"/>
  <c r="W69" i="3" s="1"/>
  <c r="W68" i="3"/>
  <c r="S67" i="3"/>
  <c r="W67" i="3" s="1"/>
  <c r="V66" i="3"/>
  <c r="S65" i="3"/>
  <c r="W65" i="3" s="1"/>
  <c r="V64" i="3"/>
  <c r="S61" i="3"/>
  <c r="S62" i="3" s="1"/>
  <c r="W62" i="3" s="1"/>
  <c r="W60" i="3"/>
  <c r="W59" i="3"/>
  <c r="V58" i="3"/>
  <c r="W57" i="3"/>
  <c r="V56" i="3"/>
  <c r="W55" i="3"/>
  <c r="W54" i="3"/>
  <c r="W53" i="3"/>
  <c r="W52" i="3"/>
  <c r="W51" i="3"/>
  <c r="W50" i="3"/>
  <c r="W49" i="3"/>
  <c r="W48" i="3"/>
  <c r="T47" i="3"/>
  <c r="V47" i="3" s="1"/>
  <c r="W46" i="3"/>
  <c r="W45" i="3"/>
  <c r="W44" i="3"/>
  <c r="W43" i="3"/>
  <c r="W42" i="3"/>
  <c r="W41" i="3"/>
  <c r="W40" i="3"/>
  <c r="W39" i="3"/>
  <c r="W38" i="3"/>
  <c r="W36" i="3"/>
  <c r="W35" i="3"/>
  <c r="W34" i="3"/>
  <c r="W33" i="3"/>
  <c r="W32" i="3"/>
  <c r="W31" i="3"/>
  <c r="W30" i="3"/>
  <c r="W29" i="3"/>
  <c r="W28" i="3"/>
  <c r="T27" i="3"/>
  <c r="V27" i="3" s="1"/>
  <c r="W23" i="3"/>
  <c r="W22" i="3"/>
  <c r="V21" i="3"/>
  <c r="W20" i="3"/>
  <c r="W19" i="3"/>
  <c r="W18" i="3"/>
  <c r="U17" i="3"/>
  <c r="W17" i="3" s="1"/>
  <c r="W16" i="3"/>
  <c r="T15" i="3"/>
  <c r="V15" i="3" s="1"/>
  <c r="C73" i="15"/>
  <c r="G44" i="15"/>
  <c r="G43" i="15"/>
  <c r="G41" i="15"/>
  <c r="G40" i="15"/>
  <c r="H38" i="15"/>
  <c r="D36" i="15"/>
  <c r="D38" i="15" s="1"/>
  <c r="D35" i="15"/>
  <c r="H35" i="15" s="1"/>
  <c r="H34" i="15"/>
  <c r="D34" i="15"/>
  <c r="G33" i="15"/>
  <c r="H32" i="15"/>
  <c r="G31" i="15"/>
  <c r="D30" i="15"/>
  <c r="H30" i="15" s="1"/>
  <c r="D29" i="15"/>
  <c r="H29" i="15" s="1"/>
  <c r="H28" i="15"/>
  <c r="D28" i="15"/>
  <c r="G27" i="15"/>
  <c r="H26" i="15"/>
  <c r="H25" i="15"/>
  <c r="D25" i="15"/>
  <c r="D24" i="15"/>
  <c r="H24" i="15" s="1"/>
  <c r="H23" i="15"/>
  <c r="H22" i="15"/>
  <c r="D20" i="15"/>
  <c r="H20" i="15" s="1"/>
  <c r="D19" i="15"/>
  <c r="H19" i="15" s="1"/>
  <c r="H18" i="15"/>
  <c r="D18" i="15"/>
  <c r="E17" i="15"/>
  <c r="G17" i="15" s="1"/>
  <c r="H14" i="15"/>
  <c r="D13" i="15"/>
  <c r="H13" i="15" s="1"/>
  <c r="G12" i="15"/>
  <c r="H11" i="15"/>
  <c r="H10" i="15"/>
  <c r="D9" i="15"/>
  <c r="H9" i="15" s="1"/>
  <c r="F8" i="15"/>
  <c r="H8" i="15" s="1"/>
  <c r="H7" i="15"/>
  <c r="G6" i="15"/>
  <c r="E6" i="15"/>
  <c r="C37" i="14"/>
  <c r="M22" i="14"/>
  <c r="M20" i="14"/>
  <c r="H20" i="14"/>
  <c r="L19" i="14"/>
  <c r="G19" i="14"/>
  <c r="L18" i="14"/>
  <c r="G18" i="14"/>
  <c r="L17" i="14"/>
  <c r="G17" i="14"/>
  <c r="I16" i="14"/>
  <c r="M16" i="14" s="1"/>
  <c r="D16" i="14"/>
  <c r="H16" i="14" s="1"/>
  <c r="L15" i="14"/>
  <c r="G15" i="14"/>
  <c r="L14" i="14"/>
  <c r="G14" i="14"/>
  <c r="C46" i="11"/>
  <c r="G28" i="11"/>
  <c r="G27" i="11"/>
  <c r="D23" i="11"/>
  <c r="H23" i="11" s="1"/>
  <c r="D22" i="11"/>
  <c r="D24" i="11" s="1"/>
  <c r="G24" i="11" s="1"/>
  <c r="D20" i="11"/>
  <c r="H20" i="11" s="1"/>
  <c r="G19" i="11"/>
  <c r="D18" i="11"/>
  <c r="H18" i="11" s="1"/>
  <c r="G17" i="11"/>
  <c r="C82" i="10"/>
  <c r="H65" i="10"/>
  <c r="G64" i="10"/>
  <c r="G63" i="10"/>
  <c r="G62" i="10"/>
  <c r="D59" i="10"/>
  <c r="H58" i="10"/>
  <c r="G57" i="10"/>
  <c r="G56" i="10"/>
  <c r="D55" i="10"/>
  <c r="H55" i="10" s="1"/>
  <c r="D54" i="10"/>
  <c r="D60" i="10" s="1"/>
  <c r="H60" i="10" s="1"/>
  <c r="G53" i="10"/>
  <c r="H52" i="10"/>
  <c r="G51" i="10"/>
  <c r="H50" i="10"/>
  <c r="G49" i="10"/>
  <c r="H47" i="10"/>
  <c r="G46" i="10"/>
  <c r="D45" i="10"/>
  <c r="H45" i="10" s="1"/>
  <c r="H44" i="10"/>
  <c r="G43" i="10"/>
  <c r="D42" i="10"/>
  <c r="H42" i="10" s="1"/>
  <c r="H41" i="10"/>
  <c r="G40" i="10"/>
  <c r="D39" i="10"/>
  <c r="H39" i="10" s="1"/>
  <c r="G38" i="10"/>
  <c r="D37" i="10"/>
  <c r="H37" i="10" s="1"/>
  <c r="G36" i="10"/>
  <c r="D35" i="10"/>
  <c r="H35" i="10" s="1"/>
  <c r="G34" i="10"/>
  <c r="D33" i="10"/>
  <c r="H33" i="10" s="1"/>
  <c r="G32" i="10"/>
  <c r="D31" i="10"/>
  <c r="H31" i="10" s="1"/>
  <c r="H30" i="10"/>
  <c r="D30" i="10"/>
  <c r="G29" i="10"/>
  <c r="D28" i="10"/>
  <c r="H28" i="10" s="1"/>
  <c r="G27" i="10"/>
  <c r="H25" i="10"/>
  <c r="D23" i="10"/>
  <c r="H22" i="10"/>
  <c r="H21" i="10"/>
  <c r="G20" i="10"/>
  <c r="H19" i="10"/>
  <c r="H18" i="10"/>
  <c r="H17" i="10"/>
  <c r="G16" i="10"/>
  <c r="C54" i="9"/>
  <c r="L37" i="9"/>
  <c r="G37" i="9"/>
  <c r="I35" i="9"/>
  <c r="I36" i="9" s="1"/>
  <c r="M36" i="9" s="1"/>
  <c r="D35" i="9"/>
  <c r="G35" i="9" s="1"/>
  <c r="N34" i="9"/>
  <c r="M34" i="9"/>
  <c r="D34" i="9"/>
  <c r="H34" i="9" s="1"/>
  <c r="M33" i="9"/>
  <c r="I33" i="9"/>
  <c r="D33" i="9"/>
  <c r="H33" i="9" s="1"/>
  <c r="L32" i="9"/>
  <c r="G32" i="9"/>
  <c r="I31" i="9"/>
  <c r="M31" i="9" s="1"/>
  <c r="D31" i="9"/>
  <c r="H31" i="9" s="1"/>
  <c r="I30" i="9"/>
  <c r="M30" i="9" s="1"/>
  <c r="D30" i="9"/>
  <c r="H30" i="9" s="1"/>
  <c r="L29" i="9"/>
  <c r="G29" i="9"/>
  <c r="I28" i="9"/>
  <c r="M28" i="9" s="1"/>
  <c r="D28" i="9"/>
  <c r="H28" i="9" s="1"/>
  <c r="L27" i="9"/>
  <c r="G27" i="9"/>
  <c r="I26" i="9"/>
  <c r="M26" i="9" s="1"/>
  <c r="D26" i="9"/>
  <c r="H26" i="9" s="1"/>
  <c r="L25" i="9"/>
  <c r="G25" i="9"/>
  <c r="I24" i="9"/>
  <c r="M24" i="9" s="1"/>
  <c r="D24" i="9"/>
  <c r="H24" i="9" s="1"/>
  <c r="M23" i="9"/>
  <c r="I23" i="9"/>
  <c r="D23" i="9"/>
  <c r="H23" i="9" s="1"/>
  <c r="I22" i="9"/>
  <c r="M22" i="9" s="1"/>
  <c r="D22" i="9"/>
  <c r="H22" i="9" s="1"/>
  <c r="J21" i="9"/>
  <c r="L21" i="9" s="1"/>
  <c r="E21" i="9"/>
  <c r="G21" i="9" s="1"/>
  <c r="L20" i="9"/>
  <c r="G20" i="9"/>
  <c r="K19" i="9"/>
  <c r="M19" i="9" s="1"/>
  <c r="H19" i="9"/>
  <c r="F19" i="9"/>
  <c r="L18" i="9"/>
  <c r="G18" i="9"/>
  <c r="C86" i="8"/>
  <c r="L68" i="8"/>
  <c r="G68" i="8"/>
  <c r="L67" i="8"/>
  <c r="G67" i="8"/>
  <c r="L65" i="8"/>
  <c r="G65" i="8"/>
  <c r="L64" i="8"/>
  <c r="G64" i="8"/>
  <c r="L63" i="8"/>
  <c r="G63" i="8"/>
  <c r="I62" i="8"/>
  <c r="M62" i="8" s="1"/>
  <c r="D62" i="8"/>
  <c r="H62" i="8" s="1"/>
  <c r="L61" i="8"/>
  <c r="G61" i="8"/>
  <c r="L60" i="8"/>
  <c r="G60" i="8"/>
  <c r="L58" i="8"/>
  <c r="G58" i="8"/>
  <c r="I56" i="8"/>
  <c r="M56" i="8" s="1"/>
  <c r="D56" i="8"/>
  <c r="H56" i="8" s="1"/>
  <c r="I55" i="8"/>
  <c r="M55" i="8" s="1"/>
  <c r="H55" i="8"/>
  <c r="D55" i="8"/>
  <c r="I54" i="8"/>
  <c r="M54" i="8" s="1"/>
  <c r="D54" i="8"/>
  <c r="H54" i="8" s="1"/>
  <c r="L53" i="8"/>
  <c r="G53" i="8"/>
  <c r="L52" i="8"/>
  <c r="G52" i="8"/>
  <c r="I50" i="8"/>
  <c r="M50" i="8" s="1"/>
  <c r="D50" i="8"/>
  <c r="H50" i="8" s="1"/>
  <c r="I49" i="8"/>
  <c r="M49" i="8" s="1"/>
  <c r="D49" i="8"/>
  <c r="H49" i="8" s="1"/>
  <c r="I48" i="8"/>
  <c r="M48" i="8" s="1"/>
  <c r="H48" i="8"/>
  <c r="D48" i="8"/>
  <c r="L47" i="8"/>
  <c r="G47" i="8"/>
  <c r="L46" i="8"/>
  <c r="G46" i="8"/>
  <c r="I44" i="8"/>
  <c r="M44" i="8" s="1"/>
  <c r="D44" i="8"/>
  <c r="H44" i="8" s="1"/>
  <c r="I43" i="8"/>
  <c r="M43" i="8" s="1"/>
  <c r="D43" i="8"/>
  <c r="H43" i="8" s="1"/>
  <c r="I42" i="8"/>
  <c r="M42" i="8" s="1"/>
  <c r="D42" i="8"/>
  <c r="H42" i="8" s="1"/>
  <c r="L41" i="8"/>
  <c r="G41" i="8"/>
  <c r="L40" i="8"/>
  <c r="G40" i="8"/>
  <c r="L38" i="8"/>
  <c r="G38" i="8"/>
  <c r="M36" i="8"/>
  <c r="H36" i="8"/>
  <c r="L35" i="8"/>
  <c r="G35" i="8"/>
  <c r="M34" i="8"/>
  <c r="M33" i="8"/>
  <c r="M32" i="8"/>
  <c r="H32" i="8"/>
  <c r="D32" i="8"/>
  <c r="M31" i="8"/>
  <c r="D31" i="8"/>
  <c r="H31" i="8" s="1"/>
  <c r="M30" i="8"/>
  <c r="I29" i="8"/>
  <c r="M29" i="8" s="1"/>
  <c r="D29" i="8"/>
  <c r="H29" i="8" s="1"/>
  <c r="M28" i="8"/>
  <c r="H28" i="8"/>
  <c r="D28" i="8"/>
  <c r="D30" i="8" s="1"/>
  <c r="H30" i="8" s="1"/>
  <c r="M27" i="8"/>
  <c r="D27" i="8"/>
  <c r="J26" i="8"/>
  <c r="L26" i="8" s="1"/>
  <c r="E26" i="8"/>
  <c r="G26" i="8" s="1"/>
  <c r="L25" i="8"/>
  <c r="G25" i="8"/>
  <c r="M23" i="8"/>
  <c r="M22" i="8"/>
  <c r="I21" i="8"/>
  <c r="L21" i="8" s="1"/>
  <c r="D21" i="8"/>
  <c r="D23" i="8" s="1"/>
  <c r="H23" i="8" s="1"/>
  <c r="M20" i="8"/>
  <c r="H20" i="8"/>
  <c r="M19" i="8"/>
  <c r="H19" i="8"/>
  <c r="M18" i="8"/>
  <c r="H18" i="8"/>
  <c r="M17" i="8"/>
  <c r="H17" i="8"/>
  <c r="M16" i="8"/>
  <c r="H16" i="8"/>
  <c r="J15" i="8"/>
  <c r="L15" i="8" s="1"/>
  <c r="I15" i="8"/>
  <c r="E15" i="8"/>
  <c r="D15" i="8"/>
  <c r="C83" i="7"/>
  <c r="Q65" i="7"/>
  <c r="L65" i="7"/>
  <c r="G65" i="7"/>
  <c r="Q63" i="7"/>
  <c r="L63" i="7"/>
  <c r="G63" i="7"/>
  <c r="Q62" i="7"/>
  <c r="L62" i="7"/>
  <c r="G62" i="7"/>
  <c r="R61" i="7"/>
  <c r="M61" i="7"/>
  <c r="R60" i="7"/>
  <c r="M60" i="7"/>
  <c r="Q59" i="7"/>
  <c r="L59" i="7"/>
  <c r="D59" i="7"/>
  <c r="D61" i="7" s="1"/>
  <c r="H61" i="7" s="1"/>
  <c r="R58" i="7"/>
  <c r="M58" i="7"/>
  <c r="Q57" i="7"/>
  <c r="L57" i="7"/>
  <c r="R56" i="7"/>
  <c r="M56" i="7"/>
  <c r="R55" i="7"/>
  <c r="M55" i="7"/>
  <c r="Q54" i="7"/>
  <c r="L54" i="7"/>
  <c r="D54" i="7"/>
  <c r="D57" i="7" s="1"/>
  <c r="N53" i="7"/>
  <c r="R53" i="7" s="1"/>
  <c r="M53" i="7"/>
  <c r="N52" i="7"/>
  <c r="R52" i="7" s="1"/>
  <c r="M52" i="7"/>
  <c r="Q51" i="7"/>
  <c r="L51" i="7"/>
  <c r="D51" i="7"/>
  <c r="D53" i="7" s="1"/>
  <c r="H53" i="7" s="1"/>
  <c r="N50" i="7"/>
  <c r="R50" i="7" s="1"/>
  <c r="M50" i="7"/>
  <c r="Q49" i="7"/>
  <c r="L49" i="7"/>
  <c r="R48" i="7"/>
  <c r="M48" i="7"/>
  <c r="D48" i="7"/>
  <c r="H48" i="7" s="1"/>
  <c r="N47" i="7"/>
  <c r="R47" i="7" s="1"/>
  <c r="M47" i="7"/>
  <c r="D47" i="7"/>
  <c r="H47" i="7" s="1"/>
  <c r="Q46" i="7"/>
  <c r="L46" i="7"/>
  <c r="G46" i="7"/>
  <c r="R45" i="7"/>
  <c r="M45" i="7"/>
  <c r="D45" i="7"/>
  <c r="Q44" i="7"/>
  <c r="L44" i="7"/>
  <c r="G44" i="7"/>
  <c r="R43" i="7"/>
  <c r="M43" i="7"/>
  <c r="D43" i="7"/>
  <c r="R42" i="7"/>
  <c r="M42" i="7"/>
  <c r="D42" i="7"/>
  <c r="Q41" i="7"/>
  <c r="L41" i="7"/>
  <c r="G41" i="7"/>
  <c r="R40" i="7"/>
  <c r="M40" i="7"/>
  <c r="P39" i="7"/>
  <c r="R39" i="7" s="1"/>
  <c r="K39" i="7"/>
  <c r="M39" i="7" s="1"/>
  <c r="F39" i="7"/>
  <c r="Q38" i="7"/>
  <c r="L38" i="7"/>
  <c r="D38" i="7"/>
  <c r="G38" i="7" s="1"/>
  <c r="R37" i="7"/>
  <c r="M37" i="7"/>
  <c r="D37" i="7"/>
  <c r="R36" i="7"/>
  <c r="M36" i="7"/>
  <c r="D36" i="7"/>
  <c r="R35" i="7"/>
  <c r="M35" i="7"/>
  <c r="H35" i="7"/>
  <c r="R34" i="7"/>
  <c r="M34" i="7"/>
  <c r="H34" i="7"/>
  <c r="R33" i="7"/>
  <c r="M33" i="7"/>
  <c r="D33" i="7"/>
  <c r="R32" i="7"/>
  <c r="M32" i="7"/>
  <c r="D32" i="7"/>
  <c r="P31" i="7"/>
  <c r="R31" i="7" s="1"/>
  <c r="K31" i="7"/>
  <c r="M31" i="7" s="1"/>
  <c r="F31" i="7"/>
  <c r="D31" i="7"/>
  <c r="O30" i="7"/>
  <c r="Q30" i="7" s="1"/>
  <c r="J30" i="7"/>
  <c r="L30" i="7" s="1"/>
  <c r="E30" i="7"/>
  <c r="G30" i="7" s="1"/>
  <c r="R29" i="7"/>
  <c r="I29" i="7"/>
  <c r="M29" i="7" s="1"/>
  <c r="D29" i="7"/>
  <c r="R28" i="7"/>
  <c r="I28" i="7"/>
  <c r="M28" i="7" s="1"/>
  <c r="D28" i="7"/>
  <c r="R27" i="7"/>
  <c r="I27" i="7"/>
  <c r="M27" i="7" s="1"/>
  <c r="D27" i="7"/>
  <c r="R26" i="7"/>
  <c r="I26" i="7"/>
  <c r="M26" i="7" s="1"/>
  <c r="D26" i="7"/>
  <c r="R25" i="7"/>
  <c r="I25" i="7"/>
  <c r="M25" i="7" s="1"/>
  <c r="D25" i="7"/>
  <c r="R24" i="7"/>
  <c r="I24" i="7"/>
  <c r="M24" i="7" s="1"/>
  <c r="D24" i="7"/>
  <c r="R23" i="7"/>
  <c r="I23" i="7"/>
  <c r="M23" i="7" s="1"/>
  <c r="D23" i="7"/>
  <c r="R22" i="7"/>
  <c r="I22" i="7"/>
  <c r="M22" i="7" s="1"/>
  <c r="D22" i="7"/>
  <c r="O21" i="7"/>
  <c r="Q21" i="7" s="1"/>
  <c r="L21" i="7"/>
  <c r="J21" i="7"/>
  <c r="E21" i="7"/>
  <c r="G21" i="7" s="1"/>
  <c r="R19" i="7"/>
  <c r="M19" i="7"/>
  <c r="H19" i="7"/>
  <c r="Q18" i="7"/>
  <c r="L18" i="7"/>
  <c r="G18" i="7"/>
  <c r="Q17" i="7"/>
  <c r="L17" i="7"/>
  <c r="G17" i="7"/>
  <c r="Q16" i="7"/>
  <c r="L16" i="7"/>
  <c r="G16" i="7"/>
  <c r="O15" i="7"/>
  <c r="Q15" i="7" s="1"/>
  <c r="J15" i="7"/>
  <c r="L15" i="7" s="1"/>
  <c r="E15" i="7"/>
  <c r="G15" i="7" s="1"/>
  <c r="C92" i="6"/>
  <c r="Q74" i="6"/>
  <c r="L74" i="6"/>
  <c r="G74" i="6"/>
  <c r="R73" i="6"/>
  <c r="M73" i="6"/>
  <c r="H73" i="6"/>
  <c r="R72" i="6"/>
  <c r="M72" i="6"/>
  <c r="D72" i="6"/>
  <c r="H72" i="6" s="1"/>
  <c r="Q71" i="6"/>
  <c r="L71" i="6"/>
  <c r="G71" i="6"/>
  <c r="R70" i="6"/>
  <c r="M70" i="6"/>
  <c r="H70" i="6"/>
  <c r="R69" i="6"/>
  <c r="M69" i="6"/>
  <c r="H69" i="6"/>
  <c r="R68" i="6"/>
  <c r="M68" i="6"/>
  <c r="H68" i="6"/>
  <c r="P67" i="6"/>
  <c r="R67" i="6" s="1"/>
  <c r="K67" i="6"/>
  <c r="M67" i="6" s="1"/>
  <c r="H67" i="6"/>
  <c r="F67" i="6"/>
  <c r="R66" i="6"/>
  <c r="M66" i="6"/>
  <c r="H66" i="6"/>
  <c r="Q65" i="6"/>
  <c r="L65" i="6"/>
  <c r="G65" i="6"/>
  <c r="R63" i="6"/>
  <c r="H63" i="6"/>
  <c r="R62" i="6"/>
  <c r="D62" i="6"/>
  <c r="H62" i="6" s="1"/>
  <c r="Q61" i="6"/>
  <c r="I61" i="6"/>
  <c r="I63" i="6" s="1"/>
  <c r="M63" i="6" s="1"/>
  <c r="G61" i="6"/>
  <c r="R60" i="6"/>
  <c r="M60" i="6"/>
  <c r="H60" i="6"/>
  <c r="R59" i="6"/>
  <c r="M59" i="6"/>
  <c r="H59" i="6"/>
  <c r="R58" i="6"/>
  <c r="M58" i="6"/>
  <c r="H58" i="6"/>
  <c r="P57" i="6"/>
  <c r="R57" i="6" s="1"/>
  <c r="K57" i="6"/>
  <c r="M57" i="6" s="1"/>
  <c r="F57" i="6"/>
  <c r="H57" i="6" s="1"/>
  <c r="R56" i="6"/>
  <c r="M56" i="6"/>
  <c r="H56" i="6"/>
  <c r="Q55" i="6"/>
  <c r="L55" i="6"/>
  <c r="G55" i="6"/>
  <c r="R53" i="6"/>
  <c r="M53" i="6"/>
  <c r="H53" i="6"/>
  <c r="R52" i="6"/>
  <c r="M52" i="6"/>
  <c r="D52" i="6"/>
  <c r="H52" i="6" s="1"/>
  <c r="Q51" i="6"/>
  <c r="L51" i="6"/>
  <c r="G51" i="6"/>
  <c r="R50" i="6"/>
  <c r="M50" i="6"/>
  <c r="H50" i="6"/>
  <c r="R49" i="6"/>
  <c r="M49" i="6"/>
  <c r="H49" i="6"/>
  <c r="R48" i="6"/>
  <c r="M48" i="6"/>
  <c r="H48" i="6"/>
  <c r="R47" i="6"/>
  <c r="P47" i="6"/>
  <c r="K47" i="6"/>
  <c r="M47" i="6" s="1"/>
  <c r="H47" i="6"/>
  <c r="F47" i="6"/>
  <c r="R45" i="6"/>
  <c r="M45" i="6"/>
  <c r="H45" i="6"/>
  <c r="Q44" i="6"/>
  <c r="L44" i="6"/>
  <c r="G44" i="6"/>
  <c r="R42" i="6"/>
  <c r="M42" i="6"/>
  <c r="H42" i="6"/>
  <c r="R41" i="6"/>
  <c r="M41" i="6"/>
  <c r="D41" i="6"/>
  <c r="H41" i="6" s="1"/>
  <c r="Q40" i="6"/>
  <c r="L40" i="6"/>
  <c r="G40" i="6"/>
  <c r="R39" i="6"/>
  <c r="M39" i="6"/>
  <c r="H39" i="6"/>
  <c r="R38" i="6"/>
  <c r="M38" i="6"/>
  <c r="H38" i="6"/>
  <c r="R37" i="6"/>
  <c r="M37" i="6"/>
  <c r="H37" i="6"/>
  <c r="R36" i="6"/>
  <c r="M36" i="6"/>
  <c r="H36" i="6"/>
  <c r="M35" i="6"/>
  <c r="M34" i="6"/>
  <c r="M33" i="6"/>
  <c r="M32" i="6"/>
  <c r="R31" i="6"/>
  <c r="M31" i="6"/>
  <c r="H31" i="6"/>
  <c r="M30" i="6"/>
  <c r="O29" i="6"/>
  <c r="Q29" i="6" s="1"/>
  <c r="L29" i="6"/>
  <c r="J29" i="6"/>
  <c r="E29" i="6"/>
  <c r="D29" i="6"/>
  <c r="G29" i="6" s="1"/>
  <c r="R25" i="6"/>
  <c r="H25" i="6"/>
  <c r="R24" i="6"/>
  <c r="D24" i="6"/>
  <c r="H24" i="6" s="1"/>
  <c r="Q23" i="6"/>
  <c r="I23" i="6"/>
  <c r="L23" i="6" s="1"/>
  <c r="G23" i="6"/>
  <c r="R22" i="6"/>
  <c r="M22" i="6"/>
  <c r="H22" i="6"/>
  <c r="R21" i="6"/>
  <c r="M21" i="6"/>
  <c r="H21" i="6"/>
  <c r="R20" i="6"/>
  <c r="M20" i="6"/>
  <c r="H20" i="6"/>
  <c r="R19" i="6"/>
  <c r="M19" i="6"/>
  <c r="H19" i="6"/>
  <c r="R18" i="6"/>
  <c r="M18" i="6"/>
  <c r="H18" i="6"/>
  <c r="R17" i="6"/>
  <c r="M17" i="6"/>
  <c r="H17" i="6"/>
  <c r="R16" i="6"/>
  <c r="M16" i="6"/>
  <c r="H16" i="6"/>
  <c r="O15" i="6"/>
  <c r="Q15" i="6" s="1"/>
  <c r="J15" i="6"/>
  <c r="I15" i="6"/>
  <c r="L15" i="6" s="1"/>
  <c r="E15" i="6"/>
  <c r="D15" i="6"/>
  <c r="G15" i="6" s="1"/>
  <c r="A86" i="5"/>
  <c r="H83" i="5"/>
  <c r="A83" i="5"/>
  <c r="G82" i="5"/>
  <c r="H81" i="5"/>
  <c r="A81" i="5"/>
  <c r="H80" i="5"/>
  <c r="A80" i="5"/>
  <c r="H79" i="5"/>
  <c r="A79" i="5"/>
  <c r="H78" i="5"/>
  <c r="A78" i="5"/>
  <c r="H77" i="5"/>
  <c r="A77" i="5"/>
  <c r="H76" i="5"/>
  <c r="A76" i="5"/>
  <c r="H75" i="5"/>
  <c r="A75" i="5"/>
  <c r="H74" i="5"/>
  <c r="A74" i="5"/>
  <c r="H73" i="5"/>
  <c r="A73" i="5"/>
  <c r="H72" i="5"/>
  <c r="A72" i="5"/>
  <c r="H71" i="5"/>
  <c r="A71" i="5"/>
  <c r="H70" i="5"/>
  <c r="A70" i="5"/>
  <c r="H69" i="5"/>
  <c r="A69" i="5"/>
  <c r="H68" i="5"/>
  <c r="A68" i="5"/>
  <c r="G67" i="5"/>
  <c r="K66" i="5"/>
  <c r="H66" i="5"/>
  <c r="A66" i="5"/>
  <c r="K65" i="5"/>
  <c r="H65" i="5"/>
  <c r="A65" i="5"/>
  <c r="H64" i="5"/>
  <c r="A64" i="5"/>
  <c r="K63" i="5"/>
  <c r="H63" i="5"/>
  <c r="A63" i="5"/>
  <c r="G62" i="5"/>
  <c r="H61" i="5"/>
  <c r="A61" i="5"/>
  <c r="H60" i="5"/>
  <c r="A60" i="5"/>
  <c r="H59" i="5"/>
  <c r="A59" i="5"/>
  <c r="H58" i="5"/>
  <c r="A58" i="5"/>
  <c r="H57" i="5"/>
  <c r="A57" i="5"/>
  <c r="H56" i="5"/>
  <c r="A56" i="5"/>
  <c r="H55" i="5"/>
  <c r="A55" i="5"/>
  <c r="H54" i="5"/>
  <c r="A54" i="5"/>
  <c r="H53" i="5"/>
  <c r="A53" i="5"/>
  <c r="H52" i="5"/>
  <c r="A52" i="5"/>
  <c r="H51" i="5"/>
  <c r="A51" i="5"/>
  <c r="K50" i="5"/>
  <c r="H50" i="5"/>
  <c r="A50" i="5"/>
  <c r="G49" i="5"/>
  <c r="H48" i="5"/>
  <c r="A48" i="5"/>
  <c r="G47" i="5"/>
  <c r="A46" i="5"/>
  <c r="G44" i="5"/>
  <c r="H43" i="5"/>
  <c r="A43" i="5"/>
  <c r="H42" i="5"/>
  <c r="A42" i="5"/>
  <c r="H41" i="5"/>
  <c r="A41" i="5"/>
  <c r="H40" i="5"/>
  <c r="A40" i="5"/>
  <c r="H39" i="5"/>
  <c r="A39" i="5"/>
  <c r="H38" i="5"/>
  <c r="A38" i="5"/>
  <c r="H37" i="5"/>
  <c r="A37" i="5"/>
  <c r="H36" i="5"/>
  <c r="A36" i="5"/>
  <c r="H35" i="5"/>
  <c r="A35" i="5"/>
  <c r="H34" i="5"/>
  <c r="A34" i="5"/>
  <c r="H33" i="5"/>
  <c r="A33" i="5"/>
  <c r="H32" i="5"/>
  <c r="A32" i="5"/>
  <c r="H31" i="5"/>
  <c r="A31" i="5"/>
  <c r="G30" i="5"/>
  <c r="H29" i="5"/>
  <c r="A29" i="5"/>
  <c r="H28" i="5"/>
  <c r="A28" i="5"/>
  <c r="H27" i="5"/>
  <c r="A27" i="5"/>
  <c r="H26" i="5"/>
  <c r="A26" i="5"/>
  <c r="H25" i="5"/>
  <c r="H24" i="5"/>
  <c r="H23" i="5"/>
  <c r="H22" i="5"/>
  <c r="H21" i="5"/>
  <c r="A21" i="5"/>
  <c r="H20" i="5"/>
  <c r="A20" i="5"/>
  <c r="G19" i="5"/>
  <c r="H18" i="5"/>
  <c r="H17" i="5"/>
  <c r="A17" i="5"/>
  <c r="G16" i="5"/>
  <c r="H15" i="5"/>
  <c r="A15" i="5"/>
  <c r="H14" i="5"/>
  <c r="A14" i="5"/>
  <c r="H13" i="5"/>
  <c r="H12" i="5"/>
  <c r="A12" i="5"/>
  <c r="E11" i="5"/>
  <c r="A62" i="5" s="1"/>
  <c r="A10" i="5"/>
  <c r="A9" i="5"/>
  <c r="A8" i="5"/>
  <c r="A7" i="5"/>
  <c r="C148" i="4"/>
  <c r="Q130" i="4"/>
  <c r="L130" i="4"/>
  <c r="G130" i="4"/>
  <c r="Q129" i="4"/>
  <c r="L129" i="4"/>
  <c r="G129" i="4"/>
  <c r="R128" i="4"/>
  <c r="M128" i="4"/>
  <c r="H128" i="4"/>
  <c r="Q126" i="4"/>
  <c r="L126" i="4"/>
  <c r="G126" i="4"/>
  <c r="R125" i="4"/>
  <c r="M125" i="4"/>
  <c r="H125" i="4"/>
  <c r="R123" i="4"/>
  <c r="M123" i="4"/>
  <c r="H123" i="4"/>
  <c r="Q122" i="4"/>
  <c r="L122" i="4"/>
  <c r="G122" i="4"/>
  <c r="R121" i="4"/>
  <c r="M121" i="4"/>
  <c r="H121" i="4"/>
  <c r="R120" i="4"/>
  <c r="M120" i="4"/>
  <c r="H120" i="4"/>
  <c r="Q119" i="4"/>
  <c r="L119" i="4"/>
  <c r="G119" i="4"/>
  <c r="R118" i="4"/>
  <c r="M118" i="4"/>
  <c r="D118" i="4"/>
  <c r="H118" i="4" s="1"/>
  <c r="R117" i="4"/>
  <c r="M117" i="4"/>
  <c r="D117" i="4"/>
  <c r="H117" i="4" s="1"/>
  <c r="R116" i="4"/>
  <c r="M116" i="4"/>
  <c r="H116" i="4"/>
  <c r="R115" i="4"/>
  <c r="M115" i="4"/>
  <c r="D115" i="4"/>
  <c r="H115" i="4" s="1"/>
  <c r="R114" i="4"/>
  <c r="M114" i="4"/>
  <c r="D114" i="4"/>
  <c r="H114" i="4" s="1"/>
  <c r="P113" i="4"/>
  <c r="R113" i="4" s="1"/>
  <c r="K113" i="4"/>
  <c r="M113" i="4" s="1"/>
  <c r="F113" i="4"/>
  <c r="H113" i="4" s="1"/>
  <c r="Q112" i="4"/>
  <c r="L112" i="4"/>
  <c r="G112" i="4"/>
  <c r="R109" i="4"/>
  <c r="M109" i="4"/>
  <c r="H109" i="4"/>
  <c r="R108" i="4"/>
  <c r="M108" i="4"/>
  <c r="H108" i="4"/>
  <c r="R107" i="4"/>
  <c r="Q107" i="4"/>
  <c r="M107" i="4"/>
  <c r="L107" i="4"/>
  <c r="H107" i="4"/>
  <c r="G107" i="4"/>
  <c r="R106" i="4"/>
  <c r="M106" i="4"/>
  <c r="H106" i="4"/>
  <c r="Q105" i="4"/>
  <c r="L105" i="4"/>
  <c r="G105" i="4"/>
  <c r="N104" i="4"/>
  <c r="R104" i="4" s="1"/>
  <c r="M104" i="4"/>
  <c r="D104" i="4"/>
  <c r="H104" i="4" s="1"/>
  <c r="Q103" i="4"/>
  <c r="L103" i="4"/>
  <c r="G103" i="4"/>
  <c r="N102" i="4"/>
  <c r="R102" i="4" s="1"/>
  <c r="M102" i="4"/>
  <c r="D102" i="4"/>
  <c r="H102" i="4" s="1"/>
  <c r="Q101" i="4"/>
  <c r="L101" i="4"/>
  <c r="G101" i="4"/>
  <c r="I100" i="4"/>
  <c r="M100" i="4" s="1"/>
  <c r="D100" i="4"/>
  <c r="H100" i="4" s="1"/>
  <c r="I99" i="4"/>
  <c r="M99" i="4" s="1"/>
  <c r="D99" i="4"/>
  <c r="H99" i="4" s="1"/>
  <c r="I98" i="4"/>
  <c r="M98" i="4" s="1"/>
  <c r="D98" i="4"/>
  <c r="H98" i="4" s="1"/>
  <c r="N97" i="4"/>
  <c r="Q97" i="4" s="1"/>
  <c r="L97" i="4"/>
  <c r="G97" i="4"/>
  <c r="R96" i="4"/>
  <c r="M96" i="4"/>
  <c r="H96" i="4"/>
  <c r="Q95" i="4"/>
  <c r="L95" i="4"/>
  <c r="G95" i="4"/>
  <c r="R94" i="4"/>
  <c r="M94" i="4"/>
  <c r="Q93" i="4"/>
  <c r="L93" i="4"/>
  <c r="R92" i="4"/>
  <c r="M92" i="4"/>
  <c r="R91" i="4"/>
  <c r="M91" i="4"/>
  <c r="Q90" i="4"/>
  <c r="L90" i="4"/>
  <c r="D90" i="4"/>
  <c r="G90" i="4" s="1"/>
  <c r="R89" i="4"/>
  <c r="M89" i="4"/>
  <c r="D89" i="4"/>
  <c r="H89" i="4" s="1"/>
  <c r="R88" i="4"/>
  <c r="M88" i="4"/>
  <c r="D88" i="4"/>
  <c r="H88" i="4" s="1"/>
  <c r="Q87" i="4"/>
  <c r="L87" i="4"/>
  <c r="G87" i="4"/>
  <c r="R86" i="4"/>
  <c r="M86" i="4"/>
  <c r="Q85" i="4"/>
  <c r="L85" i="4"/>
  <c r="R84" i="4"/>
  <c r="M84" i="4"/>
  <c r="D84" i="4"/>
  <c r="H84" i="4" s="1"/>
  <c r="R83" i="4"/>
  <c r="M83" i="4"/>
  <c r="D83" i="4"/>
  <c r="H83" i="4" s="1"/>
  <c r="Q82" i="4"/>
  <c r="L82" i="4"/>
  <c r="G82" i="4"/>
  <c r="R81" i="4"/>
  <c r="I81" i="4"/>
  <c r="M81" i="4" s="1"/>
  <c r="D81" i="4"/>
  <c r="H81" i="4" s="1"/>
  <c r="R80" i="4"/>
  <c r="I80" i="4"/>
  <c r="M80" i="4" s="1"/>
  <c r="D80" i="4"/>
  <c r="H80" i="4" s="1"/>
  <c r="R79" i="4"/>
  <c r="I79" i="4"/>
  <c r="M79" i="4" s="1"/>
  <c r="D79" i="4"/>
  <c r="H79" i="4" s="1"/>
  <c r="Q78" i="4"/>
  <c r="L78" i="4"/>
  <c r="G78" i="4"/>
  <c r="R77" i="4"/>
  <c r="M77" i="4"/>
  <c r="D77" i="4"/>
  <c r="H77" i="4" s="1"/>
  <c r="Q76" i="4"/>
  <c r="L76" i="4"/>
  <c r="G76" i="4"/>
  <c r="R75" i="4"/>
  <c r="I75" i="4"/>
  <c r="M75" i="4" s="1"/>
  <c r="D75" i="4"/>
  <c r="H75" i="4" s="1"/>
  <c r="R74" i="4"/>
  <c r="I74" i="4"/>
  <c r="M74" i="4" s="1"/>
  <c r="D74" i="4"/>
  <c r="H74" i="4" s="1"/>
  <c r="R73" i="4"/>
  <c r="I73" i="4"/>
  <c r="M73" i="4" s="1"/>
  <c r="D73" i="4"/>
  <c r="H73" i="4" s="1"/>
  <c r="R72" i="4"/>
  <c r="M72" i="4"/>
  <c r="H72" i="4"/>
  <c r="R71" i="4"/>
  <c r="M71" i="4"/>
  <c r="H71" i="4"/>
  <c r="R70" i="4"/>
  <c r="I70" i="4"/>
  <c r="M70" i="4" s="1"/>
  <c r="D70" i="4"/>
  <c r="H70" i="4" s="1"/>
  <c r="R69" i="4"/>
  <c r="I69" i="4"/>
  <c r="M69" i="4" s="1"/>
  <c r="D69" i="4"/>
  <c r="H69" i="4" s="1"/>
  <c r="R68" i="4"/>
  <c r="I68" i="4"/>
  <c r="M68" i="4" s="1"/>
  <c r="D68" i="4"/>
  <c r="H68" i="4" s="1"/>
  <c r="O67" i="4"/>
  <c r="Q67" i="4" s="1"/>
  <c r="J67" i="4"/>
  <c r="L67" i="4" s="1"/>
  <c r="E67" i="4"/>
  <c r="G67" i="4" s="1"/>
  <c r="R63" i="4"/>
  <c r="M63" i="4"/>
  <c r="R62" i="4"/>
  <c r="M62" i="4"/>
  <c r="Q61" i="4"/>
  <c r="L61" i="4"/>
  <c r="R60" i="4"/>
  <c r="M60" i="4"/>
  <c r="R59" i="4"/>
  <c r="M59" i="4"/>
  <c r="H59" i="4"/>
  <c r="Q58" i="4"/>
  <c r="L58" i="4"/>
  <c r="D58" i="4"/>
  <c r="G58" i="4" s="1"/>
  <c r="R57" i="4"/>
  <c r="M57" i="4"/>
  <c r="Q56" i="4"/>
  <c r="L56" i="4"/>
  <c r="R55" i="4"/>
  <c r="M55" i="4"/>
  <c r="R54" i="4"/>
  <c r="M54" i="4"/>
  <c r="Q53" i="4"/>
  <c r="L53" i="4"/>
  <c r="R52" i="4"/>
  <c r="I52" i="4"/>
  <c r="M52" i="4" s="1"/>
  <c r="H52" i="4"/>
  <c r="R51" i="4"/>
  <c r="I51" i="4"/>
  <c r="M51" i="4" s="1"/>
  <c r="D51" i="4"/>
  <c r="H51" i="4" s="1"/>
  <c r="R50" i="4"/>
  <c r="I50" i="4"/>
  <c r="M50" i="4" s="1"/>
  <c r="D50" i="4"/>
  <c r="H50" i="4" s="1"/>
  <c r="R49" i="4"/>
  <c r="I49" i="4"/>
  <c r="M49" i="4" s="1"/>
  <c r="H49" i="4"/>
  <c r="R48" i="4"/>
  <c r="I48" i="4"/>
  <c r="M48" i="4" s="1"/>
  <c r="D48" i="4"/>
  <c r="H48" i="4" s="1"/>
  <c r="R47" i="4"/>
  <c r="I47" i="4"/>
  <c r="M47" i="4" s="1"/>
  <c r="D47" i="4"/>
  <c r="H47" i="4" s="1"/>
  <c r="R46" i="4"/>
  <c r="I46" i="4"/>
  <c r="M46" i="4" s="1"/>
  <c r="D46" i="4"/>
  <c r="H46" i="4" s="1"/>
  <c r="R45" i="4"/>
  <c r="I45" i="4"/>
  <c r="M45" i="4" s="1"/>
  <c r="D45" i="4"/>
  <c r="H45" i="4" s="1"/>
  <c r="R44" i="4"/>
  <c r="I44" i="4"/>
  <c r="M44" i="4" s="1"/>
  <c r="D44" i="4"/>
  <c r="H44" i="4" s="1"/>
  <c r="Q43" i="4"/>
  <c r="J43" i="4"/>
  <c r="L43" i="4" s="1"/>
  <c r="G43" i="4"/>
  <c r="Q36" i="4"/>
  <c r="L36" i="4"/>
  <c r="G36" i="4"/>
  <c r="R33" i="4"/>
  <c r="M33" i="4"/>
  <c r="H33" i="4"/>
  <c r="R32" i="4"/>
  <c r="M32" i="4"/>
  <c r="H32" i="4"/>
  <c r="R31" i="4"/>
  <c r="Q31" i="4"/>
  <c r="M31" i="4"/>
  <c r="L31" i="4"/>
  <c r="H31" i="4"/>
  <c r="G31" i="4"/>
  <c r="R29" i="4"/>
  <c r="Q29" i="4"/>
  <c r="M29" i="4"/>
  <c r="L29" i="4"/>
  <c r="H29" i="4"/>
  <c r="G29" i="4"/>
  <c r="R28" i="4"/>
  <c r="M28" i="4"/>
  <c r="H28" i="4"/>
  <c r="R27" i="4"/>
  <c r="M27" i="4"/>
  <c r="D27" i="4"/>
  <c r="H27" i="4" s="1"/>
  <c r="P26" i="4"/>
  <c r="R26" i="4" s="1"/>
  <c r="K26" i="4"/>
  <c r="M26" i="4" s="1"/>
  <c r="H26" i="4"/>
  <c r="F26" i="4"/>
  <c r="R25" i="4"/>
  <c r="M25" i="4"/>
  <c r="H25" i="4"/>
  <c r="D25" i="4"/>
  <c r="R24" i="4"/>
  <c r="Q24" i="4"/>
  <c r="M24" i="4"/>
  <c r="L24" i="4"/>
  <c r="H24" i="4"/>
  <c r="G24" i="4"/>
  <c r="R23" i="4"/>
  <c r="M23" i="4"/>
  <c r="H23" i="4"/>
  <c r="R22" i="4"/>
  <c r="M22" i="4"/>
  <c r="H22" i="4"/>
  <c r="Q21" i="4"/>
  <c r="L21" i="4"/>
  <c r="G21" i="4"/>
  <c r="R20" i="4"/>
  <c r="M20" i="4"/>
  <c r="H20" i="4"/>
  <c r="Q19" i="4"/>
  <c r="L19" i="4"/>
  <c r="G19" i="4"/>
  <c r="N18" i="4"/>
  <c r="R18" i="4" s="1"/>
  <c r="M18" i="4"/>
  <c r="Q17" i="4"/>
  <c r="L17" i="4"/>
  <c r="D17" i="4"/>
  <c r="D18" i="4" s="1"/>
  <c r="H18" i="4" s="1"/>
  <c r="Q16" i="4"/>
  <c r="L16" i="4"/>
  <c r="G16" i="4"/>
  <c r="C95" i="3"/>
  <c r="Q77" i="3"/>
  <c r="L77" i="3"/>
  <c r="G77" i="3"/>
  <c r="Q76" i="3"/>
  <c r="L76" i="3"/>
  <c r="G76" i="3"/>
  <c r="Q75" i="3"/>
  <c r="Q74" i="3"/>
  <c r="L74" i="3"/>
  <c r="G74" i="3"/>
  <c r="Q73" i="3"/>
  <c r="L73" i="3"/>
  <c r="G73" i="3"/>
  <c r="R71" i="3"/>
  <c r="M71" i="3"/>
  <c r="H71" i="3"/>
  <c r="R70" i="3"/>
  <c r="M70" i="3"/>
  <c r="D70" i="3"/>
  <c r="H70" i="3" s="1"/>
  <c r="R69" i="3"/>
  <c r="M69" i="3"/>
  <c r="D69" i="3"/>
  <c r="H69" i="3" s="1"/>
  <c r="R68" i="3"/>
  <c r="M68" i="3"/>
  <c r="D68" i="3"/>
  <c r="H68" i="3" s="1"/>
  <c r="R67" i="3"/>
  <c r="M67" i="3"/>
  <c r="D67" i="3"/>
  <c r="H67" i="3" s="1"/>
  <c r="Q66" i="3"/>
  <c r="L66" i="3"/>
  <c r="G66" i="3"/>
  <c r="R65" i="3"/>
  <c r="M65" i="3"/>
  <c r="D65" i="3"/>
  <c r="H65" i="3" s="1"/>
  <c r="Q64" i="3"/>
  <c r="L64" i="3"/>
  <c r="G64" i="3"/>
  <c r="R63" i="3"/>
  <c r="M63" i="3"/>
  <c r="R62" i="3"/>
  <c r="M62" i="3"/>
  <c r="Q61" i="3"/>
  <c r="L61" i="3"/>
  <c r="D61" i="3"/>
  <c r="R60" i="3"/>
  <c r="I60" i="3"/>
  <c r="M60" i="3" s="1"/>
  <c r="D60" i="3"/>
  <c r="R59" i="3"/>
  <c r="I59" i="3"/>
  <c r="M59" i="3" s="1"/>
  <c r="D59" i="3"/>
  <c r="Q58" i="3"/>
  <c r="L58" i="3"/>
  <c r="G58" i="3"/>
  <c r="R57" i="3"/>
  <c r="I57" i="3"/>
  <c r="H57" i="3"/>
  <c r="Q56" i="3"/>
  <c r="L56" i="3"/>
  <c r="G56" i="3"/>
  <c r="R55" i="3"/>
  <c r="M55" i="3"/>
  <c r="D55" i="3"/>
  <c r="R54" i="3"/>
  <c r="M54" i="3"/>
  <c r="D54" i="3"/>
  <c r="R53" i="3"/>
  <c r="M53" i="3"/>
  <c r="D53" i="3"/>
  <c r="R52" i="3"/>
  <c r="M52" i="3"/>
  <c r="D52" i="3"/>
  <c r="R51" i="3"/>
  <c r="M51" i="3"/>
  <c r="D51" i="3"/>
  <c r="R50" i="3"/>
  <c r="M50" i="3"/>
  <c r="H50" i="3"/>
  <c r="R49" i="3"/>
  <c r="M49" i="3"/>
  <c r="D49" i="3"/>
  <c r="R48" i="3"/>
  <c r="M48" i="3"/>
  <c r="D48" i="3"/>
  <c r="O47" i="3"/>
  <c r="Q47" i="3" s="1"/>
  <c r="J47" i="3"/>
  <c r="L47" i="3" s="1"/>
  <c r="E47" i="3"/>
  <c r="G47" i="3" s="1"/>
  <c r="R46" i="3"/>
  <c r="M46" i="3"/>
  <c r="H46" i="3"/>
  <c r="R45" i="3"/>
  <c r="I45" i="3"/>
  <c r="M45" i="3" s="1"/>
  <c r="D45" i="3"/>
  <c r="R44" i="3"/>
  <c r="I44" i="3"/>
  <c r="M44" i="3" s="1"/>
  <c r="D44" i="3"/>
  <c r="R43" i="3"/>
  <c r="M43" i="3"/>
  <c r="H43" i="3"/>
  <c r="R42" i="3"/>
  <c r="M42" i="3"/>
  <c r="H42" i="3"/>
  <c r="R41" i="3"/>
  <c r="M41" i="3"/>
  <c r="H41" i="3"/>
  <c r="R40" i="3"/>
  <c r="I40" i="3"/>
  <c r="M40" i="3" s="1"/>
  <c r="D40" i="3"/>
  <c r="R39" i="3"/>
  <c r="I39" i="3"/>
  <c r="M39" i="3" s="1"/>
  <c r="D39" i="3"/>
  <c r="R38" i="3"/>
  <c r="I38" i="3"/>
  <c r="M38" i="3" s="1"/>
  <c r="D38" i="3"/>
  <c r="R36" i="3"/>
  <c r="M36" i="3"/>
  <c r="H36" i="3"/>
  <c r="R35" i="3"/>
  <c r="I35" i="3"/>
  <c r="M35" i="3" s="1"/>
  <c r="D35" i="3"/>
  <c r="H35" i="3" s="1"/>
  <c r="R34" i="3"/>
  <c r="I34" i="3"/>
  <c r="M34" i="3" s="1"/>
  <c r="D34" i="3"/>
  <c r="H34" i="3" s="1"/>
  <c r="R33" i="3"/>
  <c r="M33" i="3"/>
  <c r="H33" i="3"/>
  <c r="R32" i="3"/>
  <c r="M32" i="3"/>
  <c r="H32" i="3"/>
  <c r="R31" i="3"/>
  <c r="M31" i="3"/>
  <c r="H31" i="3"/>
  <c r="I30" i="3"/>
  <c r="M30" i="3" s="1"/>
  <c r="D30" i="3"/>
  <c r="H30" i="3" s="1"/>
  <c r="R29" i="3"/>
  <c r="I29" i="3"/>
  <c r="M29" i="3" s="1"/>
  <c r="D29" i="3"/>
  <c r="H29" i="3" s="1"/>
  <c r="R28" i="3"/>
  <c r="I28" i="3"/>
  <c r="M28" i="3" s="1"/>
  <c r="H28" i="3"/>
  <c r="O27" i="3"/>
  <c r="O37" i="3" s="1"/>
  <c r="Q37" i="3" s="1"/>
  <c r="N27" i="3"/>
  <c r="Q27" i="3" s="1"/>
  <c r="J27" i="3"/>
  <c r="J37" i="3" s="1"/>
  <c r="L37" i="3" s="1"/>
  <c r="E27" i="3"/>
  <c r="E37" i="3" s="1"/>
  <c r="G37" i="3" s="1"/>
  <c r="R23" i="3"/>
  <c r="M23" i="3"/>
  <c r="H23" i="3"/>
  <c r="R22" i="3"/>
  <c r="I22" i="3"/>
  <c r="M22" i="3" s="1"/>
  <c r="D22" i="3"/>
  <c r="Q21" i="3"/>
  <c r="L21" i="3"/>
  <c r="G21" i="3"/>
  <c r="R20" i="3"/>
  <c r="M20" i="3"/>
  <c r="H20" i="3"/>
  <c r="R19" i="3"/>
  <c r="M19" i="3"/>
  <c r="H19" i="3"/>
  <c r="R18" i="3"/>
  <c r="I18" i="3"/>
  <c r="M18" i="3" s="1"/>
  <c r="D18" i="3"/>
  <c r="H18" i="3" s="1"/>
  <c r="P17" i="3"/>
  <c r="R17" i="3" s="1"/>
  <c r="K17" i="3"/>
  <c r="M17" i="3" s="1"/>
  <c r="F17" i="3"/>
  <c r="H17" i="3" s="1"/>
  <c r="R16" i="3"/>
  <c r="M16" i="3"/>
  <c r="D16" i="3"/>
  <c r="H16" i="3" s="1"/>
  <c r="O15" i="3"/>
  <c r="Q15" i="3" s="1"/>
  <c r="J15" i="3"/>
  <c r="L15" i="3" s="1"/>
  <c r="E15" i="3"/>
  <c r="G15" i="3" s="1"/>
  <c r="G41" i="2"/>
  <c r="G40" i="2"/>
  <c r="G39" i="2"/>
  <c r="H38" i="2"/>
  <c r="G37" i="2"/>
  <c r="G36" i="2"/>
  <c r="G35" i="2"/>
  <c r="H32" i="2"/>
  <c r="H31" i="2"/>
  <c r="H30" i="2"/>
  <c r="H29" i="2"/>
  <c r="H28" i="2"/>
  <c r="H27" i="2"/>
  <c r="G25" i="2"/>
  <c r="J24" i="2"/>
  <c r="I24" i="2"/>
  <c r="G24" i="2"/>
  <c r="G23" i="2"/>
  <c r="G22" i="2"/>
  <c r="H20" i="2"/>
  <c r="F19" i="2"/>
  <c r="H19" i="2" s="1"/>
  <c r="F18" i="2"/>
  <c r="H18" i="2" s="1"/>
  <c r="H17" i="2"/>
  <c r="H16" i="2"/>
  <c r="H15" i="2"/>
  <c r="F14" i="2"/>
  <c r="H14" i="2" s="1"/>
  <c r="H13" i="2"/>
  <c r="H12" i="2"/>
  <c r="H11" i="2"/>
  <c r="H10" i="2"/>
  <c r="H9" i="2"/>
  <c r="H8" i="2"/>
  <c r="H7" i="2"/>
  <c r="G6" i="2"/>
  <c r="H45" i="2" l="1"/>
  <c r="L35" i="9"/>
  <c r="L38" i="9" s="1"/>
  <c r="H54" i="10"/>
  <c r="D25" i="11"/>
  <c r="H25" i="11" s="1"/>
  <c r="H31" i="11" s="1"/>
  <c r="L21" i="14"/>
  <c r="L24" i="14" s="1"/>
  <c r="H22" i="14"/>
  <c r="G36" i="15"/>
  <c r="T37" i="3"/>
  <c r="V37" i="3" s="1"/>
  <c r="G44" i="2"/>
  <c r="G27" i="3"/>
  <c r="A11" i="5"/>
  <c r="A67" i="5"/>
  <c r="I25" i="6"/>
  <c r="M25" i="6" s="1"/>
  <c r="G22" i="11"/>
  <c r="D37" i="15"/>
  <c r="H37" i="15" s="1"/>
  <c r="A47" i="5"/>
  <c r="A49" i="5"/>
  <c r="L70" i="8"/>
  <c r="L27" i="3"/>
  <c r="G11" i="5"/>
  <c r="G88" i="5" s="1"/>
  <c r="A16" i="5"/>
  <c r="A82" i="5"/>
  <c r="G21" i="8"/>
  <c r="N98" i="4"/>
  <c r="N100" i="4"/>
  <c r="R100" i="4" s="1"/>
  <c r="G17" i="4"/>
  <c r="G54" i="7"/>
  <c r="G59" i="7"/>
  <c r="D40" i="7"/>
  <c r="G51" i="7"/>
  <c r="D24" i="10"/>
  <c r="G23" i="10"/>
  <c r="G66" i="10" s="1"/>
  <c r="H22" i="3"/>
  <c r="H49" i="3"/>
  <c r="D63" i="3"/>
  <c r="H39" i="3"/>
  <c r="H51" i="3"/>
  <c r="H55" i="3"/>
  <c r="H59" i="3"/>
  <c r="H38" i="3"/>
  <c r="H54" i="3"/>
  <c r="H45" i="3"/>
  <c r="H53" i="3"/>
  <c r="H40" i="3"/>
  <c r="H44" i="3"/>
  <c r="H48" i="3"/>
  <c r="H52" i="3"/>
  <c r="M57" i="3"/>
  <c r="M80" i="3" s="1"/>
  <c r="M81" i="3" s="1"/>
  <c r="H60" i="3"/>
  <c r="H29" i="7"/>
  <c r="H24" i="7"/>
  <c r="H28" i="7"/>
  <c r="H42" i="7"/>
  <c r="H23" i="7"/>
  <c r="H27" i="7"/>
  <c r="H32" i="7"/>
  <c r="H36" i="7"/>
  <c r="H45" i="7"/>
  <c r="H25" i="7"/>
  <c r="H43" i="7"/>
  <c r="H33" i="7"/>
  <c r="H37" i="7"/>
  <c r="H22" i="7"/>
  <c r="H26" i="7"/>
  <c r="H40" i="7"/>
  <c r="H59" i="10"/>
  <c r="H31" i="7"/>
  <c r="D53" i="4"/>
  <c r="G53" i="4" s="1"/>
  <c r="V58" i="4"/>
  <c r="D49" i="7"/>
  <c r="D50" i="7" s="1"/>
  <c r="H50" i="7" s="1"/>
  <c r="L132" i="4"/>
  <c r="L135" i="4" s="1"/>
  <c r="L66" i="10"/>
  <c r="L69" i="10" s="1"/>
  <c r="I24" i="10"/>
  <c r="M24" i="10" s="1"/>
  <c r="M54" i="10"/>
  <c r="Q67" i="7"/>
  <c r="Q70" i="7" s="1"/>
  <c r="R68" i="7"/>
  <c r="R69" i="7" s="1"/>
  <c r="W31" i="7"/>
  <c r="L67" i="7"/>
  <c r="L70" i="7" s="1"/>
  <c r="W58" i="7"/>
  <c r="V57" i="7"/>
  <c r="V38" i="7"/>
  <c r="V51" i="7"/>
  <c r="V59" i="7"/>
  <c r="V54" i="7"/>
  <c r="W56" i="7"/>
  <c r="S49" i="7"/>
  <c r="W55" i="7"/>
  <c r="I24" i="6"/>
  <c r="M24" i="6" s="1"/>
  <c r="G76" i="6"/>
  <c r="G79" i="6" s="1"/>
  <c r="V76" i="6"/>
  <c r="V79" i="6" s="1"/>
  <c r="W77" i="6"/>
  <c r="H77" i="6"/>
  <c r="H80" i="6" s="1"/>
  <c r="R77" i="6"/>
  <c r="R78" i="6" s="1"/>
  <c r="Q76" i="6"/>
  <c r="Q79" i="6" s="1"/>
  <c r="W63" i="4"/>
  <c r="V17" i="4"/>
  <c r="W55" i="4"/>
  <c r="V53" i="4"/>
  <c r="W54" i="4"/>
  <c r="V90" i="4"/>
  <c r="S92" i="4"/>
  <c r="W92" i="4" s="1"/>
  <c r="S91" i="4"/>
  <c r="W91" i="4" s="1"/>
  <c r="S93" i="4"/>
  <c r="S85" i="4" s="1"/>
  <c r="L79" i="3"/>
  <c r="L82" i="3" s="1"/>
  <c r="G61" i="3"/>
  <c r="G79" i="3" s="1"/>
  <c r="S63" i="3"/>
  <c r="W63" i="3" s="1"/>
  <c r="W80" i="3" s="1"/>
  <c r="V61" i="3"/>
  <c r="V79" i="3" s="1"/>
  <c r="H48" i="2"/>
  <c r="H49" i="2" s="1"/>
  <c r="H46" i="2"/>
  <c r="H47" i="2"/>
  <c r="Q79" i="3"/>
  <c r="M133" i="4"/>
  <c r="R98" i="4"/>
  <c r="H91" i="5"/>
  <c r="Q132" i="4"/>
  <c r="H89" i="5"/>
  <c r="M39" i="9"/>
  <c r="H32" i="11"/>
  <c r="H34" i="11"/>
  <c r="L41" i="9"/>
  <c r="L73" i="8"/>
  <c r="N30" i="3"/>
  <c r="R30" i="3" s="1"/>
  <c r="R80" i="3" s="1"/>
  <c r="D62" i="3"/>
  <c r="D60" i="4"/>
  <c r="H60" i="4" s="1"/>
  <c r="D61" i="4"/>
  <c r="A30" i="5"/>
  <c r="A44" i="5"/>
  <c r="M68" i="7"/>
  <c r="D52" i="7"/>
  <c r="H52" i="7" s="1"/>
  <c r="D91" i="4"/>
  <c r="H91" i="4" s="1"/>
  <c r="D92" i="4"/>
  <c r="H92" i="4" s="1"/>
  <c r="D93" i="4"/>
  <c r="N99" i="4"/>
  <c r="R99" i="4" s="1"/>
  <c r="G57" i="7"/>
  <c r="D58" i="7"/>
  <c r="H58" i="7" s="1"/>
  <c r="M71" i="8"/>
  <c r="D33" i="8"/>
  <c r="H33" i="8" s="1"/>
  <c r="D34" i="8"/>
  <c r="H34" i="8" s="1"/>
  <c r="G38" i="9"/>
  <c r="M25" i="14"/>
  <c r="M23" i="14"/>
  <c r="M26" i="14" s="1"/>
  <c r="D21" i="15"/>
  <c r="H21" i="15" s="1"/>
  <c r="A19" i="5"/>
  <c r="L61" i="6"/>
  <c r="L76" i="6" s="1"/>
  <c r="I62" i="6"/>
  <c r="M62" i="6" s="1"/>
  <c r="D39" i="7"/>
  <c r="D22" i="8"/>
  <c r="H22" i="8" s="1"/>
  <c r="H27" i="8"/>
  <c r="G15" i="8"/>
  <c r="G70" i="8" s="1"/>
  <c r="G30" i="11"/>
  <c r="H25" i="14"/>
  <c r="H23" i="14"/>
  <c r="G46" i="15"/>
  <c r="D55" i="7"/>
  <c r="H55" i="7" s="1"/>
  <c r="D56" i="7"/>
  <c r="H56" i="7" s="1"/>
  <c r="D60" i="7"/>
  <c r="H60" i="7" s="1"/>
  <c r="D36" i="9"/>
  <c r="H36" i="9" s="1"/>
  <c r="H39" i="9" s="1"/>
  <c r="H47" i="15"/>
  <c r="H58" i="15"/>
  <c r="G21" i="14"/>
  <c r="H24" i="10" l="1"/>
  <c r="H67" i="10" s="1"/>
  <c r="H70" i="10" s="1"/>
  <c r="H62" i="3"/>
  <c r="H63" i="3"/>
  <c r="D54" i="4"/>
  <c r="H54" i="4" s="1"/>
  <c r="H39" i="7"/>
  <c r="H68" i="7" s="1"/>
  <c r="H71" i="7" s="1"/>
  <c r="R133" i="4"/>
  <c r="R134" i="4" s="1"/>
  <c r="M67" i="10"/>
  <c r="M70" i="10" s="1"/>
  <c r="D55" i="4"/>
  <c r="H55" i="4" s="1"/>
  <c r="W57" i="4"/>
  <c r="G49" i="7"/>
  <c r="G67" i="7" s="1"/>
  <c r="G70" i="7" s="1"/>
  <c r="R71" i="7"/>
  <c r="R73" i="7" s="1"/>
  <c r="S50" i="7"/>
  <c r="W50" i="7" s="1"/>
  <c r="W68" i="7" s="1"/>
  <c r="V49" i="7"/>
  <c r="V67" i="7" s="1"/>
  <c r="M77" i="6"/>
  <c r="M80" i="6" s="1"/>
  <c r="W78" i="6"/>
  <c r="W80" i="6"/>
  <c r="R80" i="6"/>
  <c r="R81" i="6" s="1"/>
  <c r="R82" i="6" s="1"/>
  <c r="R83" i="6" s="1"/>
  <c r="H78" i="6"/>
  <c r="H81" i="6" s="1"/>
  <c r="H82" i="6" s="1"/>
  <c r="H83" i="6" s="1"/>
  <c r="V61" i="4"/>
  <c r="W62" i="4"/>
  <c r="S86" i="4"/>
  <c r="W86" i="4" s="1"/>
  <c r="V85" i="4"/>
  <c r="V93" i="4"/>
  <c r="S94" i="4"/>
  <c r="W94" i="4" s="1"/>
  <c r="M83" i="3"/>
  <c r="M84" i="3" s="1"/>
  <c r="M85" i="3" s="1"/>
  <c r="M86" i="3" s="1"/>
  <c r="W81" i="3"/>
  <c r="W83" i="3"/>
  <c r="V82" i="3"/>
  <c r="L79" i="6"/>
  <c r="H40" i="9"/>
  <c r="H42" i="9"/>
  <c r="M27" i="14"/>
  <c r="M28" i="14" s="1"/>
  <c r="G69" i="10"/>
  <c r="M72" i="8"/>
  <c r="M75" i="8" s="1"/>
  <c r="M74" i="8"/>
  <c r="G61" i="4"/>
  <c r="D56" i="4"/>
  <c r="D63" i="4"/>
  <c r="H63" i="4" s="1"/>
  <c r="D62" i="4"/>
  <c r="H62" i="4" s="1"/>
  <c r="H48" i="15"/>
  <c r="H50" i="15"/>
  <c r="G73" i="8"/>
  <c r="G93" i="4"/>
  <c r="D94" i="4"/>
  <c r="H94" i="4" s="1"/>
  <c r="M69" i="7"/>
  <c r="M71" i="7"/>
  <c r="G82" i="3"/>
  <c r="Q82" i="3"/>
  <c r="R81" i="3"/>
  <c r="R83" i="3"/>
  <c r="H26" i="14"/>
  <c r="G24" i="14"/>
  <c r="H59" i="15"/>
  <c r="H60" i="15"/>
  <c r="G49" i="15"/>
  <c r="G33" i="11"/>
  <c r="H35" i="11" s="1"/>
  <c r="M40" i="9"/>
  <c r="M42" i="9"/>
  <c r="M134" i="4"/>
  <c r="M136" i="4"/>
  <c r="H50" i="2"/>
  <c r="H51" i="2" s="1"/>
  <c r="H90" i="5"/>
  <c r="H71" i="8"/>
  <c r="G41" i="9"/>
  <c r="H43" i="9" s="1"/>
  <c r="Q135" i="4"/>
  <c r="D85" i="4"/>
  <c r="H57" i="15" l="1"/>
  <c r="M43" i="9"/>
  <c r="H68" i="10"/>
  <c r="H71" i="10" s="1"/>
  <c r="H72" i="10" s="1"/>
  <c r="H73" i="10" s="1"/>
  <c r="H80" i="3"/>
  <c r="R72" i="7"/>
  <c r="R74" i="7" s="1"/>
  <c r="R136" i="4"/>
  <c r="R137" i="4" s="1"/>
  <c r="M68" i="10"/>
  <c r="M71" i="10" s="1"/>
  <c r="M72" i="10" s="1"/>
  <c r="M73" i="10" s="1"/>
  <c r="V56" i="4"/>
  <c r="V132" i="4" s="1"/>
  <c r="M137" i="4"/>
  <c r="H69" i="7"/>
  <c r="H73" i="7" s="1"/>
  <c r="M73" i="7"/>
  <c r="M72" i="7"/>
  <c r="W69" i="7"/>
  <c r="W71" i="7"/>
  <c r="V70" i="7"/>
  <c r="M78" i="6"/>
  <c r="M81" i="6" s="1"/>
  <c r="M82" i="6" s="1"/>
  <c r="M83" i="6" s="1"/>
  <c r="W81" i="6"/>
  <c r="W133" i="4"/>
  <c r="W84" i="3"/>
  <c r="W85" i="3" s="1"/>
  <c r="W86" i="3" s="1"/>
  <c r="R84" i="3"/>
  <c r="R85" i="3" s="1"/>
  <c r="H93" i="5"/>
  <c r="H94" i="5" s="1"/>
  <c r="M76" i="8"/>
  <c r="M77" i="8" s="1"/>
  <c r="H92" i="5"/>
  <c r="M138" i="4"/>
  <c r="H51" i="15"/>
  <c r="G56" i="4"/>
  <c r="D57" i="4"/>
  <c r="H57" i="4" s="1"/>
  <c r="H44" i="9"/>
  <c r="H45" i="9" s="1"/>
  <c r="H36" i="11"/>
  <c r="H37" i="11" s="1"/>
  <c r="D86" i="4"/>
  <c r="H86" i="4" s="1"/>
  <c r="G85" i="4"/>
  <c r="M44" i="9"/>
  <c r="M45" i="9" s="1"/>
  <c r="H74" i="8"/>
  <c r="H72" i="8"/>
  <c r="H75" i="8" s="1"/>
  <c r="H27" i="14"/>
  <c r="H28" i="14"/>
  <c r="H72" i="7" l="1"/>
  <c r="H74" i="7" s="1"/>
  <c r="H83" i="3"/>
  <c r="H81" i="3"/>
  <c r="G132" i="4"/>
  <c r="G135" i="4" s="1"/>
  <c r="R138" i="4"/>
  <c r="R139" i="4" s="1"/>
  <c r="R86" i="3"/>
  <c r="M139" i="4"/>
  <c r="M74" i="7"/>
  <c r="W72" i="7"/>
  <c r="W73" i="7"/>
  <c r="W82" i="6"/>
  <c r="W83" i="6" s="1"/>
  <c r="W134" i="4"/>
  <c r="W136" i="4"/>
  <c r="V135" i="4"/>
  <c r="H76" i="8"/>
  <c r="H77" i="8" s="1"/>
  <c r="H52" i="15"/>
  <c r="H53" i="15" s="1"/>
  <c r="H61" i="15" s="1"/>
  <c r="H133" i="4"/>
  <c r="H84" i="3" l="1"/>
  <c r="H85" i="3" s="1"/>
  <c r="H86" i="3" s="1"/>
  <c r="W74" i="7"/>
  <c r="W137" i="4"/>
  <c r="W138" i="4"/>
  <c r="H136" i="4"/>
  <c r="H134" i="4"/>
  <c r="H138" i="4" l="1"/>
  <c r="H137" i="4"/>
  <c r="W139" i="4"/>
  <c r="H139" i="4" l="1"/>
</calcChain>
</file>

<file path=xl/sharedStrings.xml><?xml version="1.0" encoding="utf-8"?>
<sst xmlns="http://schemas.openxmlformats.org/spreadsheetml/2006/main" count="1924" uniqueCount="534">
  <si>
    <t>Документ был экспортирован из Numbers. Каждая таблица была конвертирована в рабочий лист Excel. Все другие объекты на листах Numbers были помещены на отдельные рабочие листы. Имейте в виду, что расчеты формул могут отличаться от расчетов в Excel.</t>
  </si>
  <si>
    <t>Название листа Numbers</t>
  </si>
  <si>
    <t>Название таблицы Numbers</t>
  </si>
  <si>
    <t>Название рабочего листа Excel</t>
  </si>
  <si>
    <t>ТДЦ1</t>
  </si>
  <si>
    <t>Tаблица 1</t>
  </si>
  <si>
    <t>Договірна ціна №1</t>
  </si>
  <si>
    <t>ресторан Такахулі+Манго суші</t>
  </si>
  <si>
    <t xml:space="preserve"> м.Києва.</t>
  </si>
  <si>
    <t>№ п/п</t>
  </si>
  <si>
    <t>Найменування робіт</t>
  </si>
  <si>
    <t>Од. вим</t>
  </si>
  <si>
    <t>Кіл-ть</t>
  </si>
  <si>
    <t>Ціна робіт за од., грн.</t>
  </si>
  <si>
    <t>Ціна матеріалів за од., грн.</t>
  </si>
  <si>
    <t>Вартість робіт, грн</t>
  </si>
  <si>
    <t>Вартість матеріалів, грн</t>
  </si>
  <si>
    <t>тимчасове освітлення та силове живлення, враховуючи вузол обліку</t>
  </si>
  <si>
    <t>комплекс робіт</t>
  </si>
  <si>
    <t>на м2</t>
  </si>
  <si>
    <t>Лічильник</t>
  </si>
  <si>
    <t>шт</t>
  </si>
  <si>
    <t>автоматичний вимикач С32 3П</t>
  </si>
  <si>
    <t>автоматичний вимикач С25 1П</t>
  </si>
  <si>
    <t>автоматичний вимикач С16 1П</t>
  </si>
  <si>
    <t>Корпус щитка металевий</t>
  </si>
  <si>
    <t>кабель ввг нг 5*6</t>
  </si>
  <si>
    <t>мп</t>
  </si>
  <si>
    <t>кабель ввг нг 2*1,5</t>
  </si>
  <si>
    <t>кабель ввг нг 3*2,5</t>
  </si>
  <si>
    <t>Патрон Е27</t>
  </si>
  <si>
    <t>розетка каучук тройная</t>
  </si>
  <si>
    <t>стяжки100 шт/уп</t>
  </si>
  <si>
    <t>термоусадка</t>
  </si>
  <si>
    <t>лампа 200 вт Е27</t>
  </si>
  <si>
    <t xml:space="preserve">Стіни </t>
  </si>
  <si>
    <t xml:space="preserve">Розбирання перегородок з гкл (з збереженням гкл), зашитий в один шар з кожного боку, висота 4,5 м.  </t>
  </si>
  <si>
    <t>м2</t>
  </si>
  <si>
    <t>Демонтаж мінвати 100мм з збереженням та пакуванням для повторного використання</t>
  </si>
  <si>
    <t>Розбирання металевого каркасу з труби 100*100*4 з збереженням</t>
  </si>
  <si>
    <t>т</t>
  </si>
  <si>
    <t>Влаштування відсікаючих перегородок з ГКЛВ по метал. Каркасу (зашивання в один шар з одного боку, влаштування дверей), висота 4,2 м</t>
  </si>
  <si>
    <t>розцінка мінус один шар гкл+висотність</t>
  </si>
  <si>
    <t>Лист гіпсокартонний КНАУФ-ГКЛВ, 12,5 мм</t>
  </si>
  <si>
    <t>раніше демонтований</t>
  </si>
  <si>
    <t>профіль UW100 0,55</t>
  </si>
  <si>
    <t>м.п.</t>
  </si>
  <si>
    <t>профіль CW100 0,6</t>
  </si>
  <si>
    <t>частково використано раніше демонтований</t>
  </si>
  <si>
    <t>Дюбель 6/40</t>
  </si>
  <si>
    <t>Саморіз по металу з буром</t>
  </si>
  <si>
    <t>саморіз TN25</t>
  </si>
  <si>
    <t>подовжувач профілей</t>
  </si>
  <si>
    <t>Інші роботи</t>
  </si>
  <si>
    <t>Улаштування та розбирання інвентарих риштувань</t>
  </si>
  <si>
    <t>Перенесення матеріалів на відстань 300 метрів з урахуванням вертикального підйому</t>
  </si>
  <si>
    <t xml:space="preserve">Збирання сміття в мішки </t>
  </si>
  <si>
    <t>м3</t>
  </si>
  <si>
    <t>мішки</t>
  </si>
  <si>
    <t>Перенесення сміття на відстань 300 метрів та завантаження</t>
  </si>
  <si>
    <t>Різноробочі (з 11,09 по 18,09)</t>
  </si>
  <si>
    <t>люд/змін</t>
  </si>
  <si>
    <t>Вивезення буд. Сміття Камаз</t>
  </si>
  <si>
    <t>ходка</t>
  </si>
  <si>
    <t>Разом роботи, грн:</t>
  </si>
  <si>
    <t>Разом матеріали, грн:</t>
  </si>
  <si>
    <t>Транспортні витрати</t>
  </si>
  <si>
    <t>Адміністративні витрати</t>
  </si>
  <si>
    <t>Витратні матеріали</t>
  </si>
  <si>
    <t>Всього без ПДВ:</t>
  </si>
  <si>
    <t>ПДВ на матеріали</t>
  </si>
  <si>
    <t xml:space="preserve">Всього по кошторису, грн </t>
  </si>
  <si>
    <t>ТДЦ2</t>
  </si>
  <si>
    <t>Підприємство, організіція:ТОВ "ОПТІМА СЕРВІСЕС"</t>
  </si>
  <si>
    <t>Ідентифікаційний код підприємства, організації  по ЄДРПОУ: 39218726</t>
  </si>
  <si>
    <t>Замовник: ТОВ "Ресторан ТАК"</t>
  </si>
  <si>
    <t>Підрядник:  ТОВ "ОПТІМА СЕРВІСЕС"</t>
  </si>
  <si>
    <t>Найменування об'єкта та його адреса : ТОВ "Ресторан ТАК"</t>
  </si>
  <si>
    <t>Оздоблювальні роботи ресторан Такахулі</t>
  </si>
  <si>
    <t xml:space="preserve"> за адресою:  м.Києва.</t>
  </si>
  <si>
    <t>виконання за жовтень</t>
  </si>
  <si>
    <t>виконання на 15 листопада</t>
  </si>
  <si>
    <t>МК</t>
  </si>
  <si>
    <t>Виготовлення та монтаж мк (монтаж до висоти 8м)</t>
  </si>
  <si>
    <t>Труба 100*100*3</t>
  </si>
  <si>
    <t>Лист 5 мм</t>
  </si>
  <si>
    <t xml:space="preserve"> анкера</t>
  </si>
  <si>
    <t>електроди</t>
  </si>
  <si>
    <t>кг</t>
  </si>
  <si>
    <t>круг відрізний д230</t>
  </si>
  <si>
    <t>Грунтування мк в два шара</t>
  </si>
  <si>
    <t>фарба грунтуюча</t>
  </si>
  <si>
    <t>л</t>
  </si>
  <si>
    <t>перетворювач іржі</t>
  </si>
  <si>
    <t>Стіни</t>
  </si>
  <si>
    <t>Влаштування перегородок з ГКЛВ в два шари по один. метал. Каркасу</t>
  </si>
  <si>
    <t>профіль UW100 0,6</t>
  </si>
  <si>
    <t>стрічка ущильнююча 90 мм</t>
  </si>
  <si>
    <t>саморіз TN9,5</t>
  </si>
  <si>
    <t>саморіз TN35</t>
  </si>
  <si>
    <t>Влаштування перегородок з ГКЛВ в два шари по один. метал. каркасу (радіусна)</t>
  </si>
  <si>
    <t>Влаштування фальш-стін</t>
  </si>
  <si>
    <t xml:space="preserve">Лист  КНАУФ-ГКЛВ, 12,5 мм </t>
  </si>
  <si>
    <t>профіль UD27</t>
  </si>
  <si>
    <t>профіль CD60</t>
  </si>
  <si>
    <t>стрічка ущильнююча 30 мм</t>
  </si>
  <si>
    <t xml:space="preserve">Влаштування утеплювача </t>
  </si>
  <si>
    <t>утеплювач (мін.вата 100мм)</t>
  </si>
  <si>
    <t>Зашивання фальш-стін додатковим шаром ГКЛВ</t>
  </si>
  <si>
    <t>Зароблення швів</t>
  </si>
  <si>
    <t>стрічка армувальна</t>
  </si>
  <si>
    <t>фугенфюллер</t>
  </si>
  <si>
    <t>Грунтування поверхонь стін</t>
  </si>
  <si>
    <t>грунтовка СТ-17</t>
  </si>
  <si>
    <t>Облицювання стін плиткою 200*300</t>
  </si>
  <si>
    <t>плитка 200*300</t>
  </si>
  <si>
    <t>клей для плитки Церезит СМ-12</t>
  </si>
  <si>
    <t>хрестики</t>
  </si>
  <si>
    <t>Диск для плитки</t>
  </si>
  <si>
    <t>Встановлення фасадних риштувань</t>
  </si>
  <si>
    <t>Демонтаж фасадних риштувань</t>
  </si>
  <si>
    <t>Аренда риштувань</t>
  </si>
  <si>
    <t>діб</t>
  </si>
  <si>
    <t>Доставка та вивезення риштувань</t>
  </si>
  <si>
    <t>посл</t>
  </si>
  <si>
    <t>Розвантажувально-завантажувальні роботи</t>
  </si>
  <si>
    <t>змін</t>
  </si>
  <si>
    <t>Компенсація машин та механізмів ТРЦ</t>
  </si>
  <si>
    <t>ПДВ  20%</t>
  </si>
  <si>
    <t>Підрядник :</t>
  </si>
  <si>
    <t xml:space="preserve">Директор ТОВ "ОПТІМА СЕРВІСЕС"                                               </t>
  </si>
  <si>
    <t>А.В. Козіна</t>
  </si>
  <si>
    <t>_________________________     2021 р.</t>
  </si>
  <si>
    <t>Замовник :</t>
  </si>
  <si>
    <t xml:space="preserve">Директор ТОВ "Ресторан ТАК"                                  </t>
  </si>
  <si>
    <t>ТДЦ3</t>
  </si>
  <si>
    <t xml:space="preserve">Найменування об'єкта та його адреса : </t>
  </si>
  <si>
    <t>Найменування будівництва та його адреса - " районі м. Києва</t>
  </si>
  <si>
    <t>Додаток №1.3</t>
  </si>
  <si>
    <t>виконання на 28 листопада</t>
  </si>
  <si>
    <t>Підлога</t>
  </si>
  <si>
    <t>Знепилення підлоги</t>
  </si>
  <si>
    <t>Грунтування підлоги</t>
  </si>
  <si>
    <t xml:space="preserve">Гідроізоляція </t>
  </si>
  <si>
    <t>CR65</t>
  </si>
  <si>
    <t>меш</t>
  </si>
  <si>
    <t>Гідроізоляція примикань</t>
  </si>
  <si>
    <t>CR66</t>
  </si>
  <si>
    <t>Стрічка на примикання</t>
  </si>
  <si>
    <t>СМ12</t>
  </si>
  <si>
    <t>Круг Дістар для плитки</t>
  </si>
  <si>
    <t>Технологічні отвори в плитці Д40-70</t>
  </si>
  <si>
    <t>Накривання підлоги плівкою</t>
  </si>
  <si>
    <t>плівка п/е</t>
  </si>
  <si>
    <t>скотч</t>
  </si>
  <si>
    <t>Стелі</t>
  </si>
  <si>
    <t>Улаштування несучого каркасу підвісної стелі</t>
  </si>
  <si>
    <t>Конструктив не определен</t>
  </si>
  <si>
    <t xml:space="preserve">Улаштування підвісної стелі із ГКЛ на мет. Каркасі </t>
  </si>
  <si>
    <t>профіль UD</t>
  </si>
  <si>
    <t>профіль CD</t>
  </si>
  <si>
    <t>підвіс прямий</t>
  </si>
  <si>
    <t>з'єднувач краб</t>
  </si>
  <si>
    <t>саморез по металу 45с буром</t>
  </si>
  <si>
    <t>Зароблення стиків в ГКЛ</t>
  </si>
  <si>
    <t xml:space="preserve">Шпаклівка для швів Фугенфюллер </t>
  </si>
  <si>
    <t>стрічка для швів</t>
  </si>
  <si>
    <t>Грунтування стелі</t>
  </si>
  <si>
    <t xml:space="preserve">Шпаклювання стелі </t>
  </si>
  <si>
    <t>Шпаклевка Мультіфініш</t>
  </si>
  <si>
    <t>Папір шліфувальний</t>
  </si>
  <si>
    <t>Пофарбування стель</t>
  </si>
  <si>
    <t xml:space="preserve">фарба водоемульсійна </t>
  </si>
  <si>
    <t>стрічка малярна</t>
  </si>
  <si>
    <t>рул.</t>
  </si>
  <si>
    <t>Влаштування радіусних кутів перегородок з ГКЛВ в два шари по один. метал. Каркасу радіус 300 мм</t>
  </si>
  <si>
    <t xml:space="preserve">профіль UW100, 0,55 </t>
  </si>
  <si>
    <t xml:space="preserve">профіль CW100, 0,55 </t>
  </si>
  <si>
    <t xml:space="preserve">Влаштування радіусних кутів перегородок </t>
  </si>
  <si>
    <t>Ротбанд</t>
  </si>
  <si>
    <t>Перлфикс</t>
  </si>
  <si>
    <t>Грунтування поверхонь</t>
  </si>
  <si>
    <t>Шпаклювання поверхонь радіусне</t>
  </si>
  <si>
    <t>Наклеювання склохолста</t>
  </si>
  <si>
    <t>склохолст</t>
  </si>
  <si>
    <t>клей склохолста</t>
  </si>
  <si>
    <t>Фінішне шпаклювання радіусне</t>
  </si>
  <si>
    <t>шпаклівка Sheetrock</t>
  </si>
  <si>
    <t>Підсилення дверних пройомів для монтажу дверей</t>
  </si>
  <si>
    <t>Брус 100*50</t>
  </si>
  <si>
    <t>Улаштування відкосів стін із ГКЛ (плоскость)</t>
  </si>
  <si>
    <t>Перлфікс</t>
  </si>
  <si>
    <t>Дюбель 6/80</t>
  </si>
  <si>
    <t xml:space="preserve">Шпаклювання </t>
  </si>
  <si>
    <t>Улаштування деформаційних швів</t>
  </si>
  <si>
    <t>комплектматериалов, вкл профиль деф швов</t>
  </si>
  <si>
    <t>на 1 мп</t>
  </si>
  <si>
    <t>Улаштування тіньового шву з алюмінієвого кутника</t>
  </si>
  <si>
    <t>Алюмінієвий кутник</t>
  </si>
  <si>
    <t>Рідкі цвяхи</t>
  </si>
  <si>
    <t>Стіни з цегли</t>
  </si>
  <si>
    <t>Влаштування фальшстін з аквапанелі по  метал. Каркасу</t>
  </si>
  <si>
    <t>Аквапанель indoor</t>
  </si>
  <si>
    <t>лист</t>
  </si>
  <si>
    <t>профіль CW100 0,55</t>
  </si>
  <si>
    <t>Влаштування цегли під розшивку (ребром на штирі)</t>
  </si>
  <si>
    <t>цегла (поставка замовника)</t>
  </si>
  <si>
    <t>В-25</t>
  </si>
  <si>
    <t xml:space="preserve">Влаштування лицьової цегли під розшивку </t>
  </si>
  <si>
    <t>Заповнення швів та перетирання цегли</t>
  </si>
  <si>
    <t>Демонтаж евакуаційних фонарів</t>
  </si>
  <si>
    <t>Розвантажувально-завантажувальні роботи (в тч перенесення цегли)</t>
  </si>
  <si>
    <t>рах</t>
  </si>
  <si>
    <t>ПДВ на матеріали 20%</t>
  </si>
  <si>
    <t>ДЦ4ВК</t>
  </si>
  <si>
    <t>КОМЕРЦІЙНА ПРОПОЗИЦІЯ</t>
  </si>
  <si>
    <t>на виконання ремонтно-будівельних робіт за адресою:</t>
  </si>
  <si>
    <t>м. Київ, ТРЦ Республіка, ресторан "Такахулі"</t>
  </si>
  <si>
    <t>ВОДОПОСТАЧАННЯ І КАНАЛІЗАЦІЯ</t>
  </si>
  <si>
    <t>ВОДОПОСТАЧАННЯ</t>
  </si>
  <si>
    <t>Монтаж вузла обліку</t>
  </si>
  <si>
    <t>Вроботи по монтажу вузла ввода входить встановлення лычильника , двох кульових кранів , зворотнього клапану та фільтра грубої очистки. Так як у нас два ввода В1 та Т3 вузлів обліку повинно бути  чотири штуки.</t>
  </si>
  <si>
    <t xml:space="preserve">Лічильник води Е-Т 1,6У" </t>
  </si>
  <si>
    <t>Кран повнопрохідний 1 1/4</t>
  </si>
  <si>
    <t>Перенести в розділ каналізація вказати виробника</t>
  </si>
  <si>
    <t>Фільтр грубої очистки G1/2</t>
  </si>
  <si>
    <t xml:space="preserve">Зворотній клапан, латунний шток 1 1/4" </t>
  </si>
  <si>
    <t>Монтаж кранів шарових, до 25 мм</t>
  </si>
  <si>
    <t xml:space="preserve">Кран сантехничний хромований  1/2" </t>
  </si>
  <si>
    <t>Кран 3/4</t>
  </si>
  <si>
    <t>Прокладка водопровідних труб діаметром до 25 мм</t>
  </si>
  <si>
    <t>м</t>
  </si>
  <si>
    <t>По проекту 160м</t>
  </si>
  <si>
    <t xml:space="preserve">Труба Uponor Ø25х3,5 </t>
  </si>
  <si>
    <t>По проекту 110м</t>
  </si>
  <si>
    <t xml:space="preserve">Труба Uponor Ø20х2,8 PN16 </t>
  </si>
  <si>
    <t>По проекту 50м</t>
  </si>
  <si>
    <t>К-флекс синя, черв Д22</t>
  </si>
  <si>
    <t>К-флекс синя, черв Д28</t>
  </si>
  <si>
    <t>Клей К-флекс</t>
  </si>
  <si>
    <t>Указати  об'єм  шт</t>
  </si>
  <si>
    <t>Стрічка ПВС К-флекс</t>
  </si>
  <si>
    <t>Гак монтажний подвійний</t>
  </si>
  <si>
    <t xml:space="preserve">WLC Хомут оцинк. з гумов. ізоляц. M8 1 1/4/40-45" </t>
  </si>
  <si>
    <t>Дюбель пластиковий 10х60</t>
  </si>
  <si>
    <t>Обгрунтувати необхідність застосування</t>
  </si>
  <si>
    <t>Шуруп з подвійною різьбою, M8х120 мм</t>
  </si>
  <si>
    <t>Монтаж фітингів</t>
  </si>
  <si>
    <t>Обвід Ø25  Uponor</t>
  </si>
  <si>
    <t>Обвід Ø20  Uponor</t>
  </si>
  <si>
    <t>Коліно установ. 20х1/2" Uponor</t>
  </si>
  <si>
    <t>Муфта  з зовн різьбою Ø20/1/2 Uponor</t>
  </si>
  <si>
    <t>Муфта  з зовн різьбою Ø25 -3/4Uponor</t>
  </si>
  <si>
    <t>Муфта  Ø25  Uponor</t>
  </si>
  <si>
    <t>Муфта  Ø20  Uponor</t>
  </si>
  <si>
    <t>Трійник  Ø20 Uponor</t>
  </si>
  <si>
    <t>Редукція Ø25-20 Uponor</t>
  </si>
  <si>
    <t>Трійник  Ø25х25х25  Uponor</t>
  </si>
  <si>
    <t>Трійник  Ø25х20х25  Uponor</t>
  </si>
  <si>
    <t>Кільце  Ø25  Uponor</t>
  </si>
  <si>
    <t>Кільце  Ø20  Uponor</t>
  </si>
  <si>
    <t>Випробовування трубопроводів водопостачання</t>
  </si>
  <si>
    <t>За проектом 160м</t>
  </si>
  <si>
    <t>КАНАЛІЗАЦІЯ</t>
  </si>
  <si>
    <t>Врізання в діючу систему каналізації</t>
  </si>
  <si>
    <t>Комплект для врізки</t>
  </si>
  <si>
    <t>Вказати  назву фітінга</t>
  </si>
  <si>
    <t>Прокладання труб каналізації Ø 40-50мм</t>
  </si>
  <si>
    <t>Згідно проекту 95м</t>
  </si>
  <si>
    <t>Труба каналізаційна 50, довжина 2000мм</t>
  </si>
  <si>
    <t>Згідно проекту 70м</t>
  </si>
  <si>
    <t>Труба каналізаційна 50, довжина 1000мм</t>
  </si>
  <si>
    <t>Труба каналізаційна 50, довжина 500мм</t>
  </si>
  <si>
    <t>Труба каналізаційна 50, довжина 250мм</t>
  </si>
  <si>
    <t>Труба каналізаційна 40, довжина 2000мм</t>
  </si>
  <si>
    <t>Згідно проекту труба 40мм напірна  полімерна</t>
  </si>
  <si>
    <t>Труба каналізаційна 40, довжина 1000мм</t>
  </si>
  <si>
    <t>Труба каналізаційна 40, довжина 500мм</t>
  </si>
  <si>
    <t>Труба каналізаційна 40, довжина 250мм</t>
  </si>
  <si>
    <t>WLC Хомут оцинк. з гумов. ізоляц. M8 6/4</t>
  </si>
  <si>
    <t xml:space="preserve">WLC Хомут оцинк. з гумов. ізоляц. M8 4" </t>
  </si>
  <si>
    <t>Шпилька метрична М8х2000мм</t>
  </si>
  <si>
    <t>Анкер латуний М8 28,0мм BIS</t>
  </si>
  <si>
    <t>Прокладання труб каналізації Ø 110мм</t>
  </si>
  <si>
    <t>Труба каналізаційна 110, довжина 2000мм</t>
  </si>
  <si>
    <t>Вказати  виробника, по проекту загальна довжина 20м,</t>
  </si>
  <si>
    <t>Труба каналізаційна 110, довжина 1000мм</t>
  </si>
  <si>
    <t>Труба каналізаційна 110, довжина 500мм</t>
  </si>
  <si>
    <t>Труба каналізаційна 110, довжина 250мм</t>
  </si>
  <si>
    <t>Коліно 110 87°</t>
  </si>
  <si>
    <t>Вказати  виробника</t>
  </si>
  <si>
    <t>Коліно 110 45°</t>
  </si>
  <si>
    <t>Коліно 50 87°</t>
  </si>
  <si>
    <t>Коліно 50 45°</t>
  </si>
  <si>
    <t>Коліно 40 87°</t>
  </si>
  <si>
    <t>Коліно 40 45°</t>
  </si>
  <si>
    <t>Трійник 110/110 87°</t>
  </si>
  <si>
    <t>Трійник 110/110 45°</t>
  </si>
  <si>
    <t>Трійник 110/50 45°</t>
  </si>
  <si>
    <t>Трійник 50/50 87°</t>
  </si>
  <si>
    <t>Трійник 50/50 45°</t>
  </si>
  <si>
    <t>Редукція НТР 110/50</t>
  </si>
  <si>
    <t>Редукція НТР 50/40</t>
  </si>
  <si>
    <t>Вазелін технічний 250г</t>
  </si>
  <si>
    <t>Монтаж сололіфт</t>
  </si>
  <si>
    <t>Сололіфт (поставка замовника)</t>
  </si>
  <si>
    <t>Всього по кошторису, грн з ПДВ:</t>
  </si>
  <si>
    <t>В тому числі ПДВ 20% грн:</t>
  </si>
  <si>
    <t xml:space="preserve"> </t>
  </si>
  <si>
    <t>Примітка:</t>
  </si>
  <si>
    <t>1  Відсутні роботи по встановленню та підключенню вмивальників ,унітазів , сололіфта та змішувачів.</t>
  </si>
  <si>
    <t>Обсяги робіт і матеріалів - проектні. Корегування буде виконане по факту.Встановлення сантехнічних приладів та необхідні для цього комплектуючі буде надано окремо. Протипожежні муфти за окремим погодженням.</t>
  </si>
  <si>
    <t>2. Встановлення поротипожежних муфт.</t>
  </si>
  <si>
    <t>мелкие мк ТДЦ4</t>
  </si>
  <si>
    <t>Додаток №1</t>
  </si>
  <si>
    <t>Виконання на 28.11.21</t>
  </si>
  <si>
    <t>Виготовлення та монтаж мк подкаркас потолка кухни</t>
  </si>
  <si>
    <t>Труба 100*100*4</t>
  </si>
  <si>
    <t>Труба 80*80*5</t>
  </si>
  <si>
    <t>Швелер 8</t>
  </si>
  <si>
    <t>Уголок 75*75*6</t>
  </si>
  <si>
    <t>Лист 8 мм</t>
  </si>
  <si>
    <t xml:space="preserve">Грунтування мк </t>
  </si>
  <si>
    <t>МК су, подкаркас потолка, консолі умивальников</t>
  </si>
  <si>
    <t>Виготовлення та монтаж мк подкаркас потолка су та консолів</t>
  </si>
  <si>
    <t>Труба 40*40*4</t>
  </si>
  <si>
    <t>Труба 40*20*3</t>
  </si>
  <si>
    <t>компл</t>
  </si>
  <si>
    <t xml:space="preserve">МК бару відкритої кухні </t>
  </si>
  <si>
    <t>Виготовлення та монтаж мк бару відкритої кухни</t>
  </si>
  <si>
    <t>МК тумба умивальника</t>
  </si>
  <si>
    <t>Виготовлення та монтаж мк тумби умивальника</t>
  </si>
  <si>
    <t>ТДЦ5</t>
  </si>
  <si>
    <t xml:space="preserve">Демонтаж </t>
  </si>
  <si>
    <t>Демонтаж перегородок з гкл в два шари (висота демонтажу від 3,5 до 4,5)</t>
  </si>
  <si>
    <t>Зрізання піноблоку на висоті 4,5 м</t>
  </si>
  <si>
    <t>Зрізання і демонтаж перегородок з гклв на висоті 3,75 м</t>
  </si>
  <si>
    <t>Збирання сміття в мішки</t>
  </si>
  <si>
    <t>Влаштування фальш-стін на висоті від 4,4 до 8,3 м</t>
  </si>
  <si>
    <t xml:space="preserve">Влаштування перегородок з зашиванням аквапанелью по один. метал. Каркасу </t>
  </si>
  <si>
    <t>аквапанель індур</t>
  </si>
  <si>
    <t xml:space="preserve">профіль UW100, 0,6 </t>
  </si>
  <si>
    <t xml:space="preserve">профіль CW100, 0,6 </t>
  </si>
  <si>
    <t>Зашивання фальш-стін додатковим шаром аквапанель</t>
  </si>
  <si>
    <t>Зашивання фальш-стін додатковим шаром ГКЛВ 6 мм</t>
  </si>
  <si>
    <t>Влаштування радіусних кутів перегородок р50</t>
  </si>
  <si>
    <t>Шпаклювання поверхонь стартове</t>
  </si>
  <si>
    <t xml:space="preserve">Фінішне шпаклювання </t>
  </si>
  <si>
    <t>Пофарбування стін</t>
  </si>
  <si>
    <t>ТДЦ6</t>
  </si>
  <si>
    <t>Акт виконаних робіт (Договірна ціна №6) (на погодження)</t>
  </si>
  <si>
    <t>Виконання на 15.11.21</t>
  </si>
  <si>
    <t>Виготовлення та монтаж закладних деталей під монтаж умивальників</t>
  </si>
  <si>
    <t>Виготовлення та монтаж мк</t>
  </si>
  <si>
    <t>Зміна проектного рішення: розшивання перегородки до висоти 4,5 м - 38 мп; дошивання перегородки до висоти 5,7 м</t>
  </si>
  <si>
    <t xml:space="preserve">Розшивання перегородки </t>
  </si>
  <si>
    <t>Розбирання і Зрізання перегородки з зашивкою в два шари з кожного боку на висоті більше 3,5 м. Зміна проектного рішення.</t>
  </si>
  <si>
    <t xml:space="preserve">Розбирання і зрізання перегородки </t>
  </si>
  <si>
    <t>Демонтаж-монтаж перегородок з гклв під влаштування проходки каналізації</t>
  </si>
  <si>
    <t>Розбирання перегородки</t>
  </si>
  <si>
    <t>Відновлення перегородки після прокладання каналізації</t>
  </si>
  <si>
    <t>Лист гіпсокартонний КНАУФ-ГКЛВ, 12,5 мм (бу)</t>
  </si>
  <si>
    <t>Демонтаж-монтаж перегородок з гклв для перероблення стояка каналізації</t>
  </si>
  <si>
    <t>Демонтаж-монтаж перегородок з гклв для переміщення матеріалів між лотами під час заливання стяжок</t>
  </si>
  <si>
    <t>Демонтаж перегородок з гклв тимчасового фасаду</t>
  </si>
  <si>
    <t>1</t>
  </si>
  <si>
    <t>Прибирання (2 рази) та знепилення лотів перед влаштуванням стяжок</t>
  </si>
  <si>
    <t>2</t>
  </si>
  <si>
    <t>3</t>
  </si>
  <si>
    <t>Перенесення та навантаження сміття</t>
  </si>
  <si>
    <t>Різнорабочи (під пункти 1, 2, 3)</t>
  </si>
  <si>
    <t>л/змін</t>
  </si>
  <si>
    <t>Вивезення сміття (зил-130)</t>
  </si>
  <si>
    <t>ТДЦ7</t>
  </si>
  <si>
    <t>Додаток №1.7</t>
  </si>
  <si>
    <t>Акт виконаних робіт(Договірна ціна №7)</t>
  </si>
  <si>
    <t>Виготовлення лекало з фанери (р300, р 50)</t>
  </si>
  <si>
    <t>Фанера вологостійка 10 мм, 1525*1525</t>
  </si>
  <si>
    <t>Демонтаж кутів під влаштування радіусів (зміна проектного рішення)</t>
  </si>
  <si>
    <t>Штукатурення радіусних кутів перегородок з ГКЛВ радіус 300 мм, 50 мм</t>
  </si>
  <si>
    <t>расход по факту выполнения</t>
  </si>
  <si>
    <t>сам был озадачен</t>
  </si>
  <si>
    <t>Розвантажувально-завантажувальні роботи (по факту, згідно журналів)</t>
  </si>
  <si>
    <t>ТДЦ8</t>
  </si>
  <si>
    <t>Виготовлення та монтаж мк пїд вазоні та бокалотримачі</t>
  </si>
  <si>
    <t>Компл</t>
  </si>
  <si>
    <t>Мп</t>
  </si>
  <si>
    <t>Демонтаж перероблення та монтаж мк пїд умівальнік</t>
  </si>
  <si>
    <t>Армування стін сіткою</t>
  </si>
  <si>
    <t>Сітка фасадна</t>
  </si>
  <si>
    <t>Вирівнювання стін</t>
  </si>
  <si>
    <t>Влаштування стяжки з приготуванням розчину вручну</t>
  </si>
  <si>
    <t>СЦ-5 (СТ-1)</t>
  </si>
  <si>
    <t>Влаштування самовирівнюючої стяжки</t>
  </si>
  <si>
    <t>СН-69</t>
  </si>
  <si>
    <t>Обшивання бара ламінованою фанерою</t>
  </si>
  <si>
    <t>Фанера ламінована 1190*2500*9,5</t>
  </si>
  <si>
    <t>Лист</t>
  </si>
  <si>
    <t>Саморіз з буром та пресшайбою</t>
  </si>
  <si>
    <t>Обшивання бара ЕППС на клей-піну та саморізи</t>
  </si>
  <si>
    <t>ЕППС40мм</t>
  </si>
  <si>
    <t>Монтаж дверей</t>
  </si>
  <si>
    <t>Двері+коробка+ліштва+замок+петлі+ручки</t>
  </si>
  <si>
    <t>Монтаж люков пріхованого монтажу 600*1200</t>
  </si>
  <si>
    <t>Люк пріхованого монтажу 600*1200</t>
  </si>
  <si>
    <t>Порізка цегли для влаштування примикань пид кутом 45*</t>
  </si>
  <si>
    <t>Диск Дістар 250 мм</t>
  </si>
  <si>
    <t>Монтаж перфорованого кутика</t>
  </si>
  <si>
    <t>Кутик перфорован</t>
  </si>
  <si>
    <t>Фюгенфюлер</t>
  </si>
  <si>
    <t>Демонтаж пожежного захисту</t>
  </si>
  <si>
    <t>Фанера ламінована 1200*2500*9,5</t>
  </si>
  <si>
    <t>покр Т</t>
  </si>
  <si>
    <t>Пофарбування профлиста стелі та комунікацій (ресторан Такахулі, площа підлоги 264 м2)</t>
  </si>
  <si>
    <t>Пофарбування стель за два рази, висота 8,5 м, коеф по площі профлиста 1,4</t>
  </si>
  <si>
    <t xml:space="preserve">фарба капарол амфиболин  </t>
  </si>
  <si>
    <t>Пофарбування комунікацій стель за два рази, висота 4-8 м, площа орієнтовна</t>
  </si>
  <si>
    <t xml:space="preserve">фарба  </t>
  </si>
  <si>
    <t>Пофарбування стін, висота 4-6 м</t>
  </si>
  <si>
    <t xml:space="preserve">фарба грунтуюча </t>
  </si>
  <si>
    <t>Встановлення  риштувань</t>
  </si>
  <si>
    <t>Демонтаж  риштувань</t>
  </si>
  <si>
    <t>Т-Сводная</t>
  </si>
  <si>
    <t>Манго ДЦ1</t>
  </si>
  <si>
    <t>Оздоблювальні роботи ресторан Манго</t>
  </si>
  <si>
    <t>Манго ДЦ2</t>
  </si>
  <si>
    <t>Акт виконаних робіт (Договірна ціна №2) (на погодження)</t>
  </si>
  <si>
    <t>Виконання на 15 листопада</t>
  </si>
  <si>
    <t>Прибирання та знепилення підлоги (підготовка під стяжки манго суші)</t>
  </si>
  <si>
    <t>4</t>
  </si>
  <si>
    <t>5</t>
  </si>
  <si>
    <t>Вивезення сміття (зил-131)</t>
  </si>
  <si>
    <t>Лампочки</t>
  </si>
  <si>
    <t>МДЦ1 финанс</t>
  </si>
  <si>
    <t>Найменування об'єкта та його адреса : Манго суши, ТРЦ Республика</t>
  </si>
  <si>
    <t>План робіт та фінансування на 21 календарний день (перелік робіт в таблиці нижче)</t>
  </si>
  <si>
    <t>МК (проект 27.10.21)</t>
  </si>
  <si>
    <t>Термін фінансування</t>
  </si>
  <si>
    <t>За 2 дні до початку робіт (матеріали)</t>
  </si>
  <si>
    <t>За 2 дні до початку робіт (роботи та аренда)</t>
  </si>
  <si>
    <t>На 7-й день робіт (роботи)</t>
  </si>
  <si>
    <t>На 14-й день робіт (роботи)</t>
  </si>
  <si>
    <t>На 22-й день робіт (роботи). Підтвердження обсягів робіт.</t>
  </si>
  <si>
    <t>МДЦ3</t>
  </si>
  <si>
    <t>Акт виконаних робіт №3 (Договірна ціна №2)</t>
  </si>
  <si>
    <t>Акт виконаних робіт№3 (Договірна ціна №3)</t>
  </si>
  <si>
    <t>Акт виконаних робіт №3 (Договірна ціна №4)</t>
  </si>
  <si>
    <t>Акт виконаних робіт №3(Договірна ціна №5)</t>
  </si>
  <si>
    <t>Обшивання стелі кухні ламінованою фанерою</t>
  </si>
  <si>
    <t xml:space="preserve">Вивезення сміття </t>
  </si>
  <si>
    <t>Акт виконаних робіт №1 (Договірна ціна№9)</t>
  </si>
  <si>
    <t>Прибирання лота 2р*250м2, навантаження сміття 18м3 в мішки, перенесення сміття 18м3, навантаження сміття 18 м3</t>
  </si>
  <si>
    <t>Затирка цементна СЕ40</t>
  </si>
  <si>
    <t>затирка швів цементна СЕ40</t>
  </si>
  <si>
    <t xml:space="preserve">Укладання плитки 300*300 </t>
  </si>
  <si>
    <t>Труба 80-80-5</t>
  </si>
  <si>
    <t>піна монтажна</t>
  </si>
  <si>
    <t>бал</t>
  </si>
  <si>
    <t xml:space="preserve">Диск відрізний </t>
  </si>
  <si>
    <t>електроди моноліт д3</t>
  </si>
  <si>
    <t>МК задня стійка пічки</t>
  </si>
  <si>
    <t>Виготовлення та монтаж мк задньої стійки пічки</t>
  </si>
  <si>
    <t>сц-5</t>
  </si>
  <si>
    <t>сух суміші на цем основі</t>
  </si>
  <si>
    <t>Нарощування відкосів</t>
  </si>
  <si>
    <t>14</t>
  </si>
  <si>
    <t>140</t>
  </si>
  <si>
    <t>Виготовлення лекало з фанери ( р 50)</t>
  </si>
  <si>
    <t>СУ стіни</t>
  </si>
  <si>
    <t>СУ стеля</t>
  </si>
  <si>
    <t xml:space="preserve">Шпаклювання поверхонь </t>
  </si>
  <si>
    <t>Фінішне шпаклювання</t>
  </si>
  <si>
    <t>Пофарбування тіньового шва</t>
  </si>
  <si>
    <t xml:space="preserve">Виправлення примикань після невдалого монтажу дверей </t>
  </si>
  <si>
    <t>Зрізання декоративної штукатурки навколо дверей прихованого монтажу</t>
  </si>
  <si>
    <t>9,6</t>
  </si>
  <si>
    <t>60</t>
  </si>
  <si>
    <t>Армування примикань навколо дверей прихованого монтажу</t>
  </si>
  <si>
    <t>90</t>
  </si>
  <si>
    <t>80</t>
  </si>
  <si>
    <t>Відкоси технологія</t>
  </si>
  <si>
    <t>Пофарбування відкосів</t>
  </si>
  <si>
    <t>Монтаж люків прихованого монтажу</t>
  </si>
  <si>
    <t>люк прихованого монтажу 300*300</t>
  </si>
  <si>
    <t>Шпатлювання люків прихованого монтажу та зароблення монтажних зазорів (люк 300*300)</t>
  </si>
  <si>
    <t>Зашивання короба над вхідною групою</t>
  </si>
  <si>
    <t>Шпаклювання короба над вхідною групою</t>
  </si>
  <si>
    <t>Покриття цегли гідрофобізуючим розчином</t>
  </si>
  <si>
    <t>Гідрофоб</t>
  </si>
  <si>
    <t>Виготовлення зразків обробки цегли</t>
  </si>
  <si>
    <t>матеріали на зразки по чеках</t>
  </si>
  <si>
    <t>110</t>
  </si>
  <si>
    <t>Виготовлення бетонних кришок для умивальників 350*720</t>
  </si>
  <si>
    <t>Монтаж полок в кухні</t>
  </si>
  <si>
    <t>Повторний монтаж дверей</t>
  </si>
  <si>
    <t>Демонтаж-монтаж плитки (9шт) вентиляційники різали метал</t>
  </si>
  <si>
    <t>Зміна проектного рішення - обрамлення колон цеглою</t>
  </si>
  <si>
    <t>Шліфування цегли</t>
  </si>
  <si>
    <t>Вкладання цегли в клумби</t>
  </si>
  <si>
    <t>Підсобні робітники (перенесення обладнання, прибирання, пакування сміття, переміщення матеріалів і інше)</t>
  </si>
  <si>
    <t>Найменування будівництва та його адреса - ТРЦ Республіка, ресторан ТАКАХУЛІ, в Голосіївському районі м. Києва</t>
  </si>
  <si>
    <t>Акт виконаних робіт</t>
  </si>
  <si>
    <t>21,12,21</t>
  </si>
  <si>
    <t>Акт виконаних робіт №2 (Договірна ціна №8)</t>
  </si>
  <si>
    <t>плитка керамічна</t>
  </si>
  <si>
    <t xml:space="preserve"> за адресою:  м.Київ.</t>
  </si>
  <si>
    <t xml:space="preserve"> за адресою:  м.Київ</t>
  </si>
  <si>
    <t xml:space="preserve">                                 </t>
  </si>
  <si>
    <t>м.п</t>
  </si>
  <si>
    <t xml:space="preserve">деталей </t>
  </si>
  <si>
    <t>Влаштування мін. вати на стелю 100мм.</t>
  </si>
  <si>
    <t>Монтаж тіньового профілю</t>
  </si>
  <si>
    <t xml:space="preserve">Монтаж решітки дифузора </t>
  </si>
  <si>
    <t>Монтаж люків в стелю</t>
  </si>
  <si>
    <t xml:space="preserve">Монтаж стелі гкл </t>
  </si>
  <si>
    <t xml:space="preserve">Монтаж опусків стелі </t>
  </si>
  <si>
    <t>Влаштування коробу стельового</t>
  </si>
  <si>
    <t>Виготовлення отворів в стелі під ревізійні люки</t>
  </si>
  <si>
    <t>Монтаж закладних над баром</t>
  </si>
  <si>
    <t xml:space="preserve">Монтаж закладних під акустичні колонки </t>
  </si>
  <si>
    <t>Виготовлення капітелів</t>
  </si>
  <si>
    <t>Монтаж капітелів</t>
  </si>
  <si>
    <t xml:space="preserve">Монтаж антивідраційних кріплень в перекриття </t>
  </si>
  <si>
    <t>Вирізання отворів в стелі  під освітлення, сплінкера</t>
  </si>
  <si>
    <t xml:space="preserve">Виготовлення отворів під дифузора </t>
  </si>
  <si>
    <t>Виготовлення радіусних кутів на стелі та відкосах</t>
  </si>
  <si>
    <t>Виготовлення радіусу в внутрішньому куті стелі штукатуркою</t>
  </si>
  <si>
    <t xml:space="preserve"> Ціна: Гіпсокартонні роботи</t>
  </si>
  <si>
    <t>Монтаж контуру капітелів</t>
  </si>
  <si>
    <t>Оздоблювальні роботи СТЕЛЯ</t>
  </si>
  <si>
    <t>Фрезирування гкл для встановлення  лінійних дифузорів прихованого монтажу</t>
  </si>
  <si>
    <t>Монтаж додаткового третього рівня стелі</t>
  </si>
  <si>
    <t xml:space="preserve">Виготовлення радіусних сигментів 3-го рівня </t>
  </si>
  <si>
    <t>Набирання сміття в мішки та прибирання робочого місця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</si>
</sst>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 &quot;* #,##0.00&quot;      &quot;;&quot;-&quot;* #,##0.00&quot;      &quot;;&quot; &quot;* &quot;-&quot;??&quot;      &quot;"/>
    <numFmt numFmtId="165" formatCode="0.0%"/>
    <numFmt numFmtId="166" formatCode="&quot; &quot;* #,##0.00&quot;   &quot;;&quot;-&quot;* #,##0.00&quot;   &quot;;&quot; &quot;* &quot;-&quot;??&quot;   &quot;"/>
    <numFmt numFmtId="167" formatCode="&quot; &quot;* #,##0.0000&quot;   &quot;;&quot;-&quot;* #,##0.0000&quot;   &quot;;&quot; &quot;* &quot;-&quot;??&quot;   &quot;"/>
  </numFmts>
  <fonts count="52">
    <font>
      <sz val="11"/>
      <color indexed="8"/>
      <name val="Calibri"/>
    </font>
    <font>
      <sz val="12"/>
      <color indexed="8"/>
      <name val="Calibri"/>
      <family val="2"/>
      <charset val="204"/>
    </font>
    <font>
      <sz val="14"/>
      <color indexed="8"/>
      <name val="Calibri"/>
      <family val="2"/>
      <charset val="204"/>
    </font>
    <font>
      <u/>
      <sz val="12"/>
      <color indexed="11"/>
      <name val="Calibri"/>
      <family val="2"/>
      <charset val="204"/>
    </font>
    <font>
      <sz val="14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i/>
      <sz val="10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18"/>
      <name val="Calibri"/>
      <family val="2"/>
      <charset val="204"/>
    </font>
    <font>
      <b/>
      <sz val="9"/>
      <color indexed="8"/>
      <name val="Calibri"/>
      <family val="2"/>
      <charset val="204"/>
    </font>
    <font>
      <i/>
      <sz val="9"/>
      <color indexed="8"/>
      <name val="Calibri"/>
      <family val="2"/>
      <charset val="204"/>
    </font>
    <font>
      <b/>
      <i/>
      <sz val="9"/>
      <color indexed="8"/>
      <name val="Calibri"/>
      <family val="2"/>
      <charset val="204"/>
    </font>
    <font>
      <i/>
      <sz val="9"/>
      <color indexed="1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sz val="10"/>
      <color indexed="11"/>
      <name val="Calibri"/>
      <family val="2"/>
      <charset val="204"/>
    </font>
    <font>
      <b/>
      <sz val="10"/>
      <color indexed="18"/>
      <name val="Arial"/>
      <family val="2"/>
      <charset val="204"/>
    </font>
    <font>
      <b/>
      <sz val="12"/>
      <color indexed="18"/>
      <name val="Calibri"/>
      <family val="2"/>
      <charset val="204"/>
    </font>
    <font>
      <sz val="12"/>
      <color indexed="18"/>
      <name val="Calibri"/>
      <family val="2"/>
      <charset val="204"/>
    </font>
    <font>
      <b/>
      <sz val="11"/>
      <color indexed="18"/>
      <name val="Calibri"/>
      <family val="2"/>
      <charset val="204"/>
    </font>
    <font>
      <sz val="10"/>
      <color indexed="8"/>
      <name val="Calibri"/>
      <family val="2"/>
      <charset val="204"/>
    </font>
    <font>
      <b/>
      <u/>
      <sz val="10"/>
      <color indexed="8"/>
      <name val="Calibri"/>
      <family val="2"/>
      <charset val="204"/>
    </font>
    <font>
      <sz val="10"/>
      <color indexed="18"/>
      <name val="Arial"/>
      <family val="2"/>
      <charset val="204"/>
    </font>
    <font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i/>
      <sz val="9"/>
      <color indexed="8"/>
      <name val="Arial"/>
      <family val="2"/>
      <charset val="204"/>
    </font>
    <font>
      <sz val="9"/>
      <color indexed="8"/>
      <name val="Tahoma"/>
      <family val="2"/>
      <charset val="204"/>
    </font>
    <font>
      <b/>
      <i/>
      <sz val="9"/>
      <color indexed="8"/>
      <name val="Arial"/>
      <family val="2"/>
      <charset val="204"/>
    </font>
    <font>
      <b/>
      <i/>
      <sz val="12"/>
      <color indexed="8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sz val="9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Arial"/>
      <family val="2"/>
      <charset val="204"/>
    </font>
    <font>
      <b/>
      <u/>
      <sz val="10"/>
      <color indexed="8"/>
      <name val="Arial"/>
      <family val="2"/>
      <charset val="204"/>
    </font>
    <font>
      <b/>
      <u/>
      <sz val="9"/>
      <color indexed="8"/>
      <name val="Arial"/>
      <family val="2"/>
      <charset val="204"/>
    </font>
    <font>
      <sz val="9"/>
      <color indexed="8"/>
      <name val="Tahoma Bold"/>
    </font>
    <font>
      <b/>
      <sz val="12"/>
      <color indexed="8"/>
      <name val="Arial"/>
      <family val="2"/>
      <charset val="204"/>
    </font>
    <font>
      <i/>
      <sz val="10"/>
      <color indexed="18"/>
      <name val="Calibri"/>
      <family val="2"/>
      <charset val="204"/>
    </font>
    <font>
      <i/>
      <sz val="11"/>
      <color indexed="18"/>
      <name val="Calibri"/>
      <family val="2"/>
      <charset val="204"/>
    </font>
    <font>
      <b/>
      <i/>
      <sz val="10"/>
      <color indexed="18"/>
      <name val="Arial"/>
      <family val="2"/>
      <charset val="204"/>
    </font>
    <font>
      <b/>
      <i/>
      <u/>
      <sz val="10"/>
      <color indexed="8"/>
      <name val="Arial"/>
      <family val="2"/>
      <charset val="204"/>
    </font>
    <font>
      <i/>
      <sz val="10"/>
      <color indexed="18"/>
      <name val="Arial"/>
      <family val="2"/>
      <charset val="204"/>
    </font>
    <font>
      <sz val="10"/>
      <color indexed="23"/>
      <name val="Arial"/>
      <family val="2"/>
      <charset val="204"/>
    </font>
    <font>
      <b/>
      <i/>
      <sz val="11"/>
      <color indexed="8"/>
      <name val="Calibri"/>
      <family val="2"/>
      <charset val="204"/>
    </font>
    <font>
      <b/>
      <i/>
      <sz val="10"/>
      <color indexed="8"/>
      <name val="Calibri"/>
      <family val="2"/>
      <charset val="204"/>
    </font>
    <font>
      <b/>
      <i/>
      <sz val="10"/>
      <color rgb="FF000000"/>
      <name val="Calibri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9"/>
        <bgColor auto="1"/>
      </patternFill>
    </fill>
    <fill>
      <patternFill patternType="solid">
        <fgColor indexed="20"/>
        <bgColor auto="1"/>
      </patternFill>
    </fill>
    <fill>
      <patternFill patternType="solid">
        <fgColor indexed="21"/>
        <bgColor auto="1"/>
      </patternFill>
    </fill>
    <fill>
      <patternFill patternType="solid">
        <fgColor indexed="27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97">
    <border>
      <left/>
      <right/>
      <top/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8"/>
      </left>
      <right style="thin">
        <color indexed="13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8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13"/>
      </bottom>
      <diagonal/>
    </border>
    <border>
      <left style="medium">
        <color indexed="8"/>
      </left>
      <right style="thin">
        <color indexed="8"/>
      </right>
      <top style="thin">
        <color indexed="13"/>
      </top>
      <bottom style="thin">
        <color indexed="13"/>
      </bottom>
      <diagonal/>
    </border>
    <border>
      <left style="medium">
        <color indexed="8"/>
      </left>
      <right style="thin">
        <color indexed="13"/>
      </right>
      <top style="thin">
        <color indexed="13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3"/>
      </right>
      <top style="thin">
        <color indexed="8"/>
      </top>
      <bottom style="thin">
        <color indexed="13"/>
      </bottom>
      <diagonal/>
    </border>
    <border>
      <left style="thin">
        <color indexed="13"/>
      </left>
      <right style="thin">
        <color indexed="8"/>
      </right>
      <top style="thin">
        <color indexed="8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medium">
        <color indexed="8"/>
      </top>
      <bottom style="thin">
        <color indexed="13"/>
      </bottom>
      <diagonal/>
    </border>
    <border>
      <left style="thin">
        <color indexed="13"/>
      </left>
      <right style="medium">
        <color indexed="8"/>
      </right>
      <top style="thin">
        <color indexed="13"/>
      </top>
      <bottom style="thin">
        <color indexed="8"/>
      </bottom>
      <diagonal/>
    </border>
    <border>
      <left style="medium">
        <color indexed="8"/>
      </left>
      <right style="thin">
        <color indexed="13"/>
      </right>
      <top style="medium">
        <color indexed="8"/>
      </top>
      <bottom style="medium">
        <color indexed="8"/>
      </bottom>
      <diagonal/>
    </border>
    <border>
      <left style="thin">
        <color indexed="13"/>
      </left>
      <right style="thin">
        <color indexed="13"/>
      </right>
      <top style="medium">
        <color indexed="8"/>
      </top>
      <bottom style="medium">
        <color indexed="8"/>
      </bottom>
      <diagonal/>
    </border>
    <border>
      <left style="thin">
        <color indexed="13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8"/>
      </left>
      <right style="thin">
        <color indexed="13"/>
      </right>
      <top style="thin">
        <color indexed="13"/>
      </top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13"/>
      </right>
      <top/>
      <bottom/>
      <diagonal/>
    </border>
    <border>
      <left style="thin">
        <color indexed="8"/>
      </left>
      <right style="thin">
        <color indexed="13"/>
      </right>
      <top/>
      <bottom style="thin">
        <color indexed="13"/>
      </bottom>
      <diagonal/>
    </border>
    <border>
      <left style="thin">
        <color indexed="13"/>
      </left>
      <right style="thin">
        <color indexed="13"/>
      </right>
      <top/>
      <bottom style="thin">
        <color indexed="13"/>
      </bottom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3"/>
      </bottom>
      <diagonal/>
    </border>
    <border>
      <left style="thin">
        <color indexed="8"/>
      </left>
      <right style="thin">
        <color indexed="8"/>
      </right>
      <top style="thin">
        <color indexed="13"/>
      </top>
      <bottom style="thin">
        <color indexed="13"/>
      </bottom>
      <diagonal/>
    </border>
    <border>
      <left style="thin">
        <color indexed="8"/>
      </left>
      <right style="thin">
        <color indexed="13"/>
      </right>
      <top style="thin">
        <color indexed="13"/>
      </top>
      <bottom style="thin">
        <color indexed="8"/>
      </bottom>
      <diagonal/>
    </border>
    <border>
      <left style="thin">
        <color indexed="8"/>
      </left>
      <right style="thin">
        <color indexed="13"/>
      </right>
      <top style="thin">
        <color indexed="8"/>
      </top>
      <bottom style="thin">
        <color indexed="13"/>
      </bottom>
      <diagonal/>
    </border>
    <border>
      <left style="thin">
        <color indexed="13"/>
      </left>
      <right/>
      <top style="thin">
        <color indexed="13"/>
      </top>
      <bottom/>
      <diagonal/>
    </border>
    <border>
      <left/>
      <right/>
      <top style="thin">
        <color indexed="13"/>
      </top>
      <bottom/>
      <diagonal/>
    </border>
    <border>
      <left/>
      <right style="thin">
        <color indexed="13"/>
      </right>
      <top style="thin">
        <color indexed="13"/>
      </top>
      <bottom/>
      <diagonal/>
    </border>
    <border>
      <left style="thin">
        <color indexed="13"/>
      </left>
      <right/>
      <top/>
      <bottom/>
      <diagonal/>
    </border>
    <border>
      <left style="thin">
        <color indexed="13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22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22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8"/>
      </right>
      <top style="thin">
        <color indexed="22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13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13"/>
      </left>
      <right/>
      <top/>
      <bottom style="thin">
        <color indexed="13"/>
      </bottom>
      <diagonal/>
    </border>
    <border>
      <left/>
      <right/>
      <top/>
      <bottom style="thin">
        <color indexed="13"/>
      </bottom>
      <diagonal/>
    </border>
    <border>
      <left/>
      <right style="thin">
        <color indexed="13"/>
      </right>
      <top/>
      <bottom style="thin">
        <color indexed="13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13"/>
      </right>
      <top/>
      <bottom style="thin">
        <color indexed="13"/>
      </bottom>
      <diagonal/>
    </border>
    <border>
      <left style="thin">
        <color indexed="13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3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5"/>
      </left>
      <right style="thin">
        <color indexed="26"/>
      </right>
      <top style="thin">
        <color indexed="25"/>
      </top>
      <bottom style="thin">
        <color indexed="25"/>
      </bottom>
      <diagonal/>
    </border>
    <border>
      <left style="thin">
        <color indexed="26"/>
      </left>
      <right style="thin">
        <color indexed="25"/>
      </right>
      <top style="thin">
        <color indexed="25"/>
      </top>
      <bottom style="thin">
        <color indexed="25"/>
      </bottom>
      <diagonal/>
    </border>
    <border>
      <left style="thin">
        <color indexed="25"/>
      </left>
      <right style="thin">
        <color indexed="25"/>
      </right>
      <top style="thin">
        <color indexed="25"/>
      </top>
      <bottom style="thin">
        <color indexed="25"/>
      </bottom>
      <diagonal/>
    </border>
    <border>
      <left style="thin">
        <color indexed="13"/>
      </left>
      <right/>
      <top style="thin">
        <color indexed="13"/>
      </top>
      <bottom style="thin">
        <color indexed="13"/>
      </bottom>
      <diagonal/>
    </border>
    <border>
      <left/>
      <right/>
      <top style="thin">
        <color indexed="13"/>
      </top>
      <bottom style="thin">
        <color indexed="13"/>
      </bottom>
      <diagonal/>
    </border>
    <border>
      <left/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757">
    <xf numFmtId="0" fontId="0" fillId="0" borderId="0" xfId="0"/>
    <xf numFmtId="0" fontId="2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0" fillId="0" borderId="0" xfId="0" applyNumberFormat="1"/>
    <xf numFmtId="0" fontId="0" fillId="4" borderId="1" xfId="0" applyFill="1" applyBorder="1" applyAlignment="1">
      <alignment vertical="top" wrapText="1"/>
    </xf>
    <xf numFmtId="49" fontId="6" fillId="5" borderId="3" xfId="0" applyNumberFormat="1" applyFont="1" applyFill="1" applyBorder="1" applyAlignment="1">
      <alignment horizontal="center" vertical="top" wrapText="1"/>
    </xf>
    <xf numFmtId="0" fontId="0" fillId="4" borderId="4" xfId="0" applyFill="1" applyBorder="1" applyAlignment="1">
      <alignment vertical="top" wrapText="1"/>
    </xf>
    <xf numFmtId="2" fontId="5" fillId="6" borderId="3" xfId="0" applyNumberFormat="1" applyFont="1" applyFill="1" applyBorder="1" applyAlignment="1">
      <alignment horizontal="center" vertical="top" wrapText="1"/>
    </xf>
    <xf numFmtId="49" fontId="5" fillId="6" borderId="3" xfId="0" applyNumberFormat="1" applyFont="1" applyFill="1" applyBorder="1" applyAlignment="1">
      <alignment horizontal="left" vertical="top" wrapText="1"/>
    </xf>
    <xf numFmtId="1" fontId="5" fillId="6" borderId="3" xfId="0" applyNumberFormat="1" applyFont="1" applyFill="1" applyBorder="1" applyAlignment="1">
      <alignment horizontal="center" vertical="top" wrapText="1"/>
    </xf>
    <xf numFmtId="4" fontId="5" fillId="6" borderId="3" xfId="0" applyNumberFormat="1" applyFont="1" applyFill="1" applyBorder="1" applyAlignment="1">
      <alignment horizontal="center" vertical="top" wrapText="1"/>
    </xf>
    <xf numFmtId="49" fontId="6" fillId="4" borderId="3" xfId="0" applyNumberFormat="1" applyFont="1" applyFill="1" applyBorder="1" applyAlignment="1">
      <alignment horizontal="center" vertical="top" wrapText="1"/>
    </xf>
    <xf numFmtId="49" fontId="6" fillId="4" borderId="3" xfId="0" applyNumberFormat="1" applyFont="1" applyFill="1" applyBorder="1" applyAlignment="1">
      <alignment horizontal="left" vertical="top" wrapText="1"/>
    </xf>
    <xf numFmtId="2" fontId="6" fillId="7" borderId="3" xfId="0" applyNumberFormat="1" applyFont="1" applyFill="1" applyBorder="1" applyAlignment="1">
      <alignment horizontal="center" vertical="top" wrapText="1"/>
    </xf>
    <xf numFmtId="4" fontId="6" fillId="4" borderId="3" xfId="0" applyNumberFormat="1" applyFont="1" applyFill="1" applyBorder="1" applyAlignment="1">
      <alignment horizontal="center" vertical="top" wrapText="1"/>
    </xf>
    <xf numFmtId="4" fontId="6" fillId="4" borderId="3" xfId="0" applyNumberFormat="1" applyFont="1" applyFill="1" applyBorder="1" applyAlignment="1">
      <alignment vertical="top" wrapText="1"/>
    </xf>
    <xf numFmtId="49" fontId="7" fillId="4" borderId="3" xfId="0" applyNumberFormat="1" applyFont="1" applyFill="1" applyBorder="1" applyAlignment="1">
      <alignment horizontal="right" vertical="top" wrapText="1"/>
    </xf>
    <xf numFmtId="4" fontId="7" fillId="4" borderId="3" xfId="0" applyNumberFormat="1" applyFont="1" applyFill="1" applyBorder="1" applyAlignment="1">
      <alignment horizontal="center" vertical="top" wrapText="1"/>
    </xf>
    <xf numFmtId="4" fontId="8" fillId="4" borderId="3" xfId="0" applyNumberFormat="1" applyFont="1" applyFill="1" applyBorder="1" applyAlignment="1">
      <alignment horizontal="right" vertical="top" wrapText="1"/>
    </xf>
    <xf numFmtId="4" fontId="7" fillId="4" borderId="3" xfId="0" applyNumberFormat="1" applyFont="1" applyFill="1" applyBorder="1" applyAlignment="1">
      <alignment horizontal="right" vertical="top" wrapText="1"/>
    </xf>
    <xf numFmtId="2" fontId="6" fillId="4" borderId="3" xfId="0" applyNumberFormat="1" applyFont="1" applyFill="1" applyBorder="1" applyAlignment="1">
      <alignment horizontal="center" vertical="top" wrapText="1"/>
    </xf>
    <xf numFmtId="2" fontId="6" fillId="8" borderId="3" xfId="0" applyNumberFormat="1" applyFont="1" applyFill="1" applyBorder="1" applyAlignment="1">
      <alignment horizontal="center" vertical="top" wrapText="1"/>
    </xf>
    <xf numFmtId="4" fontId="9" fillId="4" borderId="3" xfId="0" applyNumberFormat="1" applyFont="1" applyFill="1" applyBorder="1" applyAlignment="1">
      <alignment horizontal="center" vertical="top" wrapText="1"/>
    </xf>
    <xf numFmtId="0" fontId="0" fillId="4" borderId="4" xfId="0" applyNumberFormat="1" applyFill="1" applyBorder="1" applyAlignment="1">
      <alignment vertical="top" wrapText="1"/>
    </xf>
    <xf numFmtId="0" fontId="0" fillId="4" borderId="1" xfId="0" applyNumberFormat="1" applyFill="1" applyBorder="1" applyAlignment="1">
      <alignment vertical="top" wrapText="1"/>
    </xf>
    <xf numFmtId="49" fontId="10" fillId="4" borderId="3" xfId="0" applyNumberFormat="1" applyFont="1" applyFill="1" applyBorder="1" applyAlignment="1">
      <alignment horizontal="center" vertical="top" wrapText="1"/>
    </xf>
    <xf numFmtId="49" fontId="10" fillId="4" borderId="3" xfId="0" applyNumberFormat="1" applyFont="1" applyFill="1" applyBorder="1" applyAlignment="1">
      <alignment horizontal="left" vertical="top" wrapText="1"/>
    </xf>
    <xf numFmtId="2" fontId="10" fillId="4" borderId="3" xfId="0" applyNumberFormat="1" applyFont="1" applyFill="1" applyBorder="1" applyAlignment="1">
      <alignment horizontal="center" vertical="top" wrapText="1"/>
    </xf>
    <xf numFmtId="4" fontId="10" fillId="4" borderId="3" xfId="0" applyNumberFormat="1" applyFont="1" applyFill="1" applyBorder="1" applyAlignment="1">
      <alignment horizontal="center" vertical="top" wrapText="1"/>
    </xf>
    <xf numFmtId="4" fontId="11" fillId="4" borderId="3" xfId="0" applyNumberFormat="1" applyFont="1" applyFill="1" applyBorder="1" applyAlignment="1">
      <alignment horizontal="right" vertical="top" wrapText="1"/>
    </xf>
    <xf numFmtId="49" fontId="0" fillId="4" borderId="4" xfId="0" applyNumberFormat="1" applyFill="1" applyBorder="1" applyAlignment="1">
      <alignment vertical="top" wrapText="1"/>
    </xf>
    <xf numFmtId="49" fontId="11" fillId="4" borderId="3" xfId="0" applyNumberFormat="1" applyFont="1" applyFill="1" applyBorder="1" applyAlignment="1">
      <alignment horizontal="right" vertical="top" wrapText="1"/>
    </xf>
    <xf numFmtId="4" fontId="12" fillId="4" borderId="3" xfId="0" applyNumberFormat="1" applyFont="1" applyFill="1" applyBorder="1" applyAlignment="1">
      <alignment horizontal="center" vertical="top" wrapText="1"/>
    </xf>
    <xf numFmtId="4" fontId="11" fillId="4" borderId="3" xfId="0" applyNumberFormat="1" applyFont="1" applyFill="1" applyBorder="1" applyAlignment="1">
      <alignment horizontal="center" vertical="top" wrapText="1"/>
    </xf>
    <xf numFmtId="4" fontId="13" fillId="4" borderId="3" xfId="0" applyNumberFormat="1" applyFont="1" applyFill="1" applyBorder="1" applyAlignment="1">
      <alignment horizontal="center" vertical="top" wrapText="1"/>
    </xf>
    <xf numFmtId="49" fontId="5" fillId="6" borderId="3" xfId="0" applyNumberFormat="1" applyFont="1" applyFill="1" applyBorder="1" applyAlignment="1">
      <alignment horizontal="center" vertical="top" wrapText="1"/>
    </xf>
    <xf numFmtId="1" fontId="5" fillId="6" borderId="3" xfId="0" applyNumberFormat="1" applyFont="1" applyFill="1" applyBorder="1" applyAlignment="1">
      <alignment horizontal="left" vertical="top" wrapText="1"/>
    </xf>
    <xf numFmtId="0" fontId="6" fillId="4" borderId="3" xfId="0" applyFont="1" applyFill="1" applyBorder="1" applyAlignment="1">
      <alignment horizontal="center" vertical="top" wrapText="1"/>
    </xf>
    <xf numFmtId="49" fontId="14" fillId="4" borderId="3" xfId="0" applyNumberFormat="1" applyFont="1" applyFill="1" applyBorder="1" applyAlignment="1">
      <alignment horizontal="left" wrapText="1"/>
    </xf>
    <xf numFmtId="4" fontId="6" fillId="4" borderId="3" xfId="0" applyNumberFormat="1" applyFont="1" applyFill="1" applyBorder="1" applyAlignment="1">
      <alignment horizontal="right" vertical="top" wrapText="1"/>
    </xf>
    <xf numFmtId="164" fontId="15" fillId="4" borderId="3" xfId="0" applyNumberFormat="1" applyFont="1" applyFill="1" applyBorder="1" applyAlignment="1">
      <alignment horizontal="center" vertical="top" wrapText="1"/>
    </xf>
    <xf numFmtId="49" fontId="16" fillId="4" borderId="3" xfId="0" applyNumberFormat="1" applyFont="1" applyFill="1" applyBorder="1" applyAlignment="1">
      <alignment horizontal="center" vertical="top" wrapText="1"/>
    </xf>
    <xf numFmtId="49" fontId="16" fillId="4" borderId="3" xfId="0" applyNumberFormat="1" applyFont="1" applyFill="1" applyBorder="1" applyAlignment="1">
      <alignment horizontal="left" vertical="top" wrapText="1"/>
    </xf>
    <xf numFmtId="2" fontId="16" fillId="4" borderId="3" xfId="0" applyNumberFormat="1" applyFont="1" applyFill="1" applyBorder="1" applyAlignment="1">
      <alignment horizontal="center" vertical="top" wrapText="1"/>
    </xf>
    <xf numFmtId="4" fontId="16" fillId="4" borderId="3" xfId="0" applyNumberFormat="1" applyFont="1" applyFill="1" applyBorder="1" applyAlignment="1">
      <alignment horizontal="center" vertical="top" wrapText="1"/>
    </xf>
    <xf numFmtId="0" fontId="16" fillId="4" borderId="3" xfId="0" applyFont="1" applyFill="1" applyBorder="1" applyAlignment="1">
      <alignment horizontal="center" vertical="top" wrapText="1"/>
    </xf>
    <xf numFmtId="49" fontId="17" fillId="4" borderId="3" xfId="0" applyNumberFormat="1" applyFont="1" applyFill="1" applyBorder="1" applyAlignment="1">
      <alignment horizontal="right" vertical="top" wrapText="1"/>
    </xf>
    <xf numFmtId="0" fontId="17" fillId="4" borderId="3" xfId="0" applyNumberFormat="1" applyFont="1" applyFill="1" applyBorder="1" applyAlignment="1">
      <alignment horizontal="center" vertical="top" wrapText="1"/>
    </xf>
    <xf numFmtId="4" fontId="17" fillId="4" borderId="3" xfId="0" applyNumberFormat="1" applyFont="1" applyFill="1" applyBorder="1" applyAlignment="1">
      <alignment horizontal="center" vertical="top" wrapText="1"/>
    </xf>
    <xf numFmtId="4" fontId="17" fillId="4" borderId="3" xfId="0" applyNumberFormat="1" applyFont="1" applyFill="1" applyBorder="1" applyAlignment="1">
      <alignment horizontal="right" vertical="top" wrapText="1"/>
    </xf>
    <xf numFmtId="0" fontId="18" fillId="4" borderId="8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right" vertical="top" wrapText="1"/>
    </xf>
    <xf numFmtId="0" fontId="15" fillId="4" borderId="9" xfId="0" applyFont="1" applyFill="1" applyBorder="1" applyAlignment="1">
      <alignment horizontal="center" vertical="top" wrapText="1"/>
    </xf>
    <xf numFmtId="164" fontId="15" fillId="4" borderId="9" xfId="0" applyNumberFormat="1" applyFont="1" applyFill="1" applyBorder="1" applyAlignment="1">
      <alignment horizontal="center" vertical="top" wrapText="1"/>
    </xf>
    <xf numFmtId="164" fontId="15" fillId="4" borderId="10" xfId="0" applyNumberFormat="1" applyFont="1" applyFill="1" applyBorder="1" applyAlignment="1">
      <alignment horizontal="center" vertical="top" wrapText="1"/>
    </xf>
    <xf numFmtId="0" fontId="19" fillId="4" borderId="3" xfId="0" applyFont="1" applyFill="1" applyBorder="1" applyAlignment="1">
      <alignment horizontal="center" vertical="top" wrapText="1"/>
    </xf>
    <xf numFmtId="4" fontId="21" fillId="9" borderId="3" xfId="0" applyNumberFormat="1" applyFont="1" applyFill="1" applyBorder="1" applyAlignment="1">
      <alignment horizontal="center" vertical="top" wrapText="1"/>
    </xf>
    <xf numFmtId="4" fontId="21" fillId="9" borderId="3" xfId="0" applyNumberFormat="1" applyFont="1" applyFill="1" applyBorder="1" applyAlignment="1">
      <alignment vertical="top" wrapText="1"/>
    </xf>
    <xf numFmtId="4" fontId="22" fillId="9" borderId="3" xfId="0" applyNumberFormat="1" applyFont="1" applyFill="1" applyBorder="1" applyAlignment="1">
      <alignment vertical="top" wrapText="1"/>
    </xf>
    <xf numFmtId="4" fontId="20" fillId="9" borderId="3" xfId="0" applyNumberFormat="1" applyFont="1" applyFill="1" applyBorder="1" applyAlignment="1">
      <alignment horizontal="center" vertical="top" wrapText="1"/>
    </xf>
    <xf numFmtId="4" fontId="23" fillId="9" borderId="3" xfId="0" applyNumberFormat="1" applyFont="1" applyFill="1" applyBorder="1" applyAlignment="1">
      <alignment horizontal="center" vertical="top" wrapText="1"/>
    </xf>
    <xf numFmtId="4" fontId="23" fillId="9" borderId="3" xfId="0" applyNumberFormat="1" applyFont="1" applyFill="1" applyBorder="1" applyAlignment="1">
      <alignment vertical="top" wrapText="1"/>
    </xf>
    <xf numFmtId="4" fontId="6" fillId="9" borderId="3" xfId="0" applyNumberFormat="1" applyFont="1" applyFill="1" applyBorder="1" applyAlignment="1">
      <alignment vertical="top" wrapText="1"/>
    </xf>
    <xf numFmtId="4" fontId="6" fillId="9" borderId="3" xfId="0" applyNumberFormat="1" applyFont="1" applyFill="1" applyBorder="1" applyAlignment="1">
      <alignment horizontal="center" vertical="top" wrapText="1"/>
    </xf>
    <xf numFmtId="9" fontId="6" fillId="9" borderId="3" xfId="0" applyNumberFormat="1" applyFont="1" applyFill="1" applyBorder="1" applyAlignment="1">
      <alignment horizontal="center" vertical="top" wrapText="1"/>
    </xf>
    <xf numFmtId="165" fontId="6" fillId="9" borderId="3" xfId="0" applyNumberFormat="1" applyFont="1" applyFill="1" applyBorder="1" applyAlignment="1">
      <alignment horizontal="center" vertical="top" wrapText="1"/>
    </xf>
    <xf numFmtId="4" fontId="6" fillId="5" borderId="3" xfId="0" applyNumberFormat="1" applyFont="1" applyFill="1" applyBorder="1" applyAlignment="1">
      <alignment vertical="top" wrapText="1"/>
    </xf>
    <xf numFmtId="49" fontId="6" fillId="4" borderId="3" xfId="0" applyNumberFormat="1" applyFont="1" applyFill="1" applyBorder="1" applyAlignment="1">
      <alignment vertical="top" wrapText="1"/>
    </xf>
    <xf numFmtId="9" fontId="6" fillId="4" borderId="3" xfId="0" applyNumberFormat="1" applyFont="1" applyFill="1" applyBorder="1" applyAlignment="1">
      <alignment vertical="top" wrapText="1"/>
    </xf>
    <xf numFmtId="4" fontId="24" fillId="10" borderId="3" xfId="0" applyNumberFormat="1" applyFont="1" applyFill="1" applyBorder="1" applyAlignment="1">
      <alignment vertical="top" wrapText="1"/>
    </xf>
    <xf numFmtId="0" fontId="19" fillId="4" borderId="14" xfId="0" applyFont="1" applyFill="1" applyBorder="1" applyAlignment="1">
      <alignment horizontal="center" vertical="top" wrapText="1"/>
    </xf>
    <xf numFmtId="0" fontId="25" fillId="4" borderId="14" xfId="0" applyFont="1" applyFill="1" applyBorder="1" applyAlignment="1">
      <alignment vertical="top" wrapText="1"/>
    </xf>
    <xf numFmtId="2" fontId="25" fillId="4" borderId="14" xfId="0" applyNumberFormat="1" applyFont="1" applyFill="1" applyBorder="1" applyAlignment="1">
      <alignment horizontal="center" vertical="top" wrapText="1"/>
    </xf>
    <xf numFmtId="0" fontId="25" fillId="4" borderId="14" xfId="0" applyFont="1" applyFill="1" applyBorder="1" applyAlignment="1">
      <alignment horizontal="center" vertical="top" wrapText="1"/>
    </xf>
    <xf numFmtId="0" fontId="19" fillId="4" borderId="1" xfId="0" applyFont="1" applyFill="1" applyBorder="1" applyAlignment="1">
      <alignment horizontal="center" vertical="top" wrapText="1"/>
    </xf>
    <xf numFmtId="0" fontId="25" fillId="4" borderId="1" xfId="0" applyFont="1" applyFill="1" applyBorder="1" applyAlignment="1">
      <alignment vertical="top" wrapText="1"/>
    </xf>
    <xf numFmtId="2" fontId="25" fillId="4" borderId="1" xfId="0" applyNumberFormat="1" applyFont="1" applyFill="1" applyBorder="1" applyAlignment="1">
      <alignment horizontal="center" vertical="top" wrapText="1"/>
    </xf>
    <xf numFmtId="0" fontId="25" fillId="4" borderId="1" xfId="0" applyFont="1" applyFill="1" applyBorder="1" applyAlignment="1">
      <alignment horizontal="center" vertical="top" wrapText="1"/>
    </xf>
    <xf numFmtId="49" fontId="26" fillId="4" borderId="1" xfId="0" applyNumberFormat="1" applyFont="1" applyFill="1" applyBorder="1" applyAlignment="1">
      <alignment vertical="top" wrapText="1"/>
    </xf>
    <xf numFmtId="1" fontId="26" fillId="4" borderId="1" xfId="0" applyNumberFormat="1" applyFont="1" applyFill="1" applyBorder="1" applyAlignment="1">
      <alignment vertical="top" wrapText="1"/>
    </xf>
    <xf numFmtId="1" fontId="27" fillId="4" borderId="1" xfId="0" applyNumberFormat="1" applyFont="1" applyFill="1" applyBorder="1" applyAlignment="1">
      <alignment vertical="top" wrapText="1"/>
    </xf>
    <xf numFmtId="1" fontId="28" fillId="4" borderId="1" xfId="0" applyNumberFormat="1" applyFont="1" applyFill="1" applyBorder="1" applyAlignment="1">
      <alignment vertical="top" wrapText="1"/>
    </xf>
    <xf numFmtId="1" fontId="29" fillId="4" borderId="1" xfId="0" applyNumberFormat="1" applyFont="1" applyFill="1" applyBorder="1" applyAlignment="1">
      <alignment vertical="top" wrapText="1"/>
    </xf>
    <xf numFmtId="1" fontId="30" fillId="4" borderId="1" xfId="0" applyNumberFormat="1" applyFont="1" applyFill="1" applyBorder="1" applyAlignment="1">
      <alignment vertical="top" wrapText="1"/>
    </xf>
    <xf numFmtId="1" fontId="31" fillId="4" borderId="1" xfId="0" applyNumberFormat="1" applyFont="1" applyFill="1" applyBorder="1" applyAlignment="1">
      <alignment vertical="top" wrapText="1"/>
    </xf>
    <xf numFmtId="1" fontId="32" fillId="4" borderId="1" xfId="0" applyNumberFormat="1" applyFont="1" applyFill="1" applyBorder="1" applyAlignment="1">
      <alignment vertical="top" wrapText="1"/>
    </xf>
    <xf numFmtId="1" fontId="33" fillId="4" borderId="1" xfId="0" applyNumberFormat="1" applyFont="1" applyFill="1" applyBorder="1" applyAlignment="1">
      <alignment vertical="top" wrapText="1"/>
    </xf>
    <xf numFmtId="0" fontId="16" fillId="4" borderId="1" xfId="0" applyFont="1" applyFill="1" applyBorder="1" applyAlignment="1">
      <alignment horizontal="center" vertical="center"/>
    </xf>
    <xf numFmtId="2" fontId="28" fillId="4" borderId="1" xfId="0" applyNumberFormat="1" applyFont="1" applyFill="1" applyBorder="1" applyAlignment="1">
      <alignment horizontal="center" vertical="top" wrapText="1"/>
    </xf>
    <xf numFmtId="0" fontId="28" fillId="4" borderId="1" xfId="0" applyFont="1" applyFill="1" applyBorder="1" applyAlignment="1">
      <alignment horizontal="center" vertical="top" wrapText="1"/>
    </xf>
    <xf numFmtId="0" fontId="0" fillId="4" borderId="1" xfId="0" applyFill="1" applyBorder="1"/>
    <xf numFmtId="0" fontId="34" fillId="4" borderId="1" xfId="0" applyFont="1" applyFill="1" applyBorder="1"/>
    <xf numFmtId="0" fontId="16" fillId="4" borderId="15" xfId="0" applyFont="1" applyFill="1" applyBorder="1" applyAlignment="1">
      <alignment horizontal="center" vertical="top" wrapText="1"/>
    </xf>
    <xf numFmtId="0" fontId="27" fillId="4" borderId="15" xfId="0" applyFont="1" applyFill="1" applyBorder="1" applyAlignment="1">
      <alignment vertical="top" wrapText="1"/>
    </xf>
    <xf numFmtId="2" fontId="28" fillId="4" borderId="15" xfId="0" applyNumberFormat="1" applyFont="1" applyFill="1" applyBorder="1" applyAlignment="1">
      <alignment horizontal="center" vertical="top" wrapText="1"/>
    </xf>
    <xf numFmtId="0" fontId="28" fillId="4" borderId="15" xfId="0" applyFont="1" applyFill="1" applyBorder="1" applyAlignment="1">
      <alignment horizontal="center" vertical="top" wrapText="1"/>
    </xf>
    <xf numFmtId="0" fontId="28" fillId="4" borderId="15" xfId="0" applyFont="1" applyFill="1" applyBorder="1" applyAlignment="1">
      <alignment vertical="top" wrapText="1"/>
    </xf>
    <xf numFmtId="49" fontId="6" fillId="5" borderId="16" xfId="0" applyNumberFormat="1" applyFont="1" applyFill="1" applyBorder="1" applyAlignment="1">
      <alignment horizontal="center" vertical="top" wrapText="1"/>
    </xf>
    <xf numFmtId="49" fontId="6" fillId="5" borderId="17" xfId="0" applyNumberFormat="1" applyFont="1" applyFill="1" applyBorder="1" applyAlignment="1">
      <alignment horizontal="center" vertical="top" wrapText="1"/>
    </xf>
    <xf numFmtId="49" fontId="10" fillId="5" borderId="17" xfId="0" applyNumberFormat="1" applyFont="1" applyFill="1" applyBorder="1" applyAlignment="1">
      <alignment horizontal="center" vertical="top" wrapText="1"/>
    </xf>
    <xf numFmtId="49" fontId="10" fillId="5" borderId="18" xfId="0" applyNumberFormat="1" applyFont="1" applyFill="1" applyBorder="1" applyAlignment="1">
      <alignment horizontal="center" vertical="top" wrapText="1"/>
    </xf>
    <xf numFmtId="49" fontId="6" fillId="4" borderId="9" xfId="0" applyNumberFormat="1" applyFont="1" applyFill="1" applyBorder="1" applyAlignment="1">
      <alignment horizontal="center" vertical="top" wrapText="1"/>
    </xf>
    <xf numFmtId="49" fontId="35" fillId="11" borderId="9" xfId="0" applyNumberFormat="1" applyFont="1" applyFill="1" applyBorder="1" applyAlignment="1">
      <alignment horizontal="left" vertical="center"/>
    </xf>
    <xf numFmtId="0" fontId="36" fillId="4" borderId="9" xfId="0" applyFont="1" applyFill="1" applyBorder="1" applyAlignment="1">
      <alignment horizontal="center" vertical="center"/>
    </xf>
    <xf numFmtId="166" fontId="37" fillId="4" borderId="9" xfId="0" applyNumberFormat="1" applyFont="1" applyFill="1" applyBorder="1" applyAlignment="1">
      <alignment horizontal="center" vertical="center"/>
    </xf>
    <xf numFmtId="166" fontId="37" fillId="4" borderId="10" xfId="0" applyNumberFormat="1" applyFont="1" applyFill="1" applyBorder="1" applyAlignment="1">
      <alignment horizontal="center" vertical="center"/>
    </xf>
    <xf numFmtId="166" fontId="37" fillId="4" borderId="3" xfId="0" applyNumberFormat="1" applyFont="1" applyFill="1" applyBorder="1" applyAlignment="1">
      <alignment horizontal="center" vertical="center"/>
    </xf>
    <xf numFmtId="166" fontId="37" fillId="4" borderId="8" xfId="0" applyNumberFormat="1" applyFont="1" applyFill="1" applyBorder="1" applyAlignment="1">
      <alignment horizontal="center" vertical="center"/>
    </xf>
    <xf numFmtId="49" fontId="35" fillId="4" borderId="9" xfId="0" applyNumberFormat="1" applyFont="1" applyFill="1" applyBorder="1" applyAlignment="1">
      <alignment horizontal="left" vertical="center" wrapText="1"/>
    </xf>
    <xf numFmtId="49" fontId="36" fillId="4" borderId="9" xfId="0" applyNumberFormat="1" applyFont="1" applyFill="1" applyBorder="1" applyAlignment="1">
      <alignment horizontal="center" vertical="center"/>
    </xf>
    <xf numFmtId="166" fontId="37" fillId="8" borderId="9" xfId="0" applyNumberFormat="1" applyFont="1" applyFill="1" applyBorder="1" applyAlignment="1">
      <alignment horizontal="center" vertical="center"/>
    </xf>
    <xf numFmtId="49" fontId="36" fillId="4" borderId="9" xfId="0" applyNumberFormat="1" applyFont="1" applyFill="1" applyBorder="1" applyAlignment="1">
      <alignment horizontal="right" vertical="center"/>
    </xf>
    <xf numFmtId="49" fontId="35" fillId="4" borderId="9" xfId="0" applyNumberFormat="1" applyFont="1" applyFill="1" applyBorder="1" applyAlignment="1">
      <alignment horizontal="left" vertical="center"/>
    </xf>
    <xf numFmtId="49" fontId="6" fillId="4" borderId="10" xfId="0" applyNumberFormat="1" applyFont="1" applyFill="1" applyBorder="1" applyAlignment="1">
      <alignment horizontal="center" vertical="top" wrapText="1"/>
    </xf>
    <xf numFmtId="1" fontId="6" fillId="4" borderId="19" xfId="0" applyNumberFormat="1" applyFont="1" applyFill="1" applyBorder="1" applyAlignment="1">
      <alignment horizontal="center" vertical="top" wrapText="1"/>
    </xf>
    <xf numFmtId="1" fontId="6" fillId="4" borderId="20" xfId="0" applyNumberFormat="1" applyFont="1" applyFill="1" applyBorder="1" applyAlignment="1">
      <alignment horizontal="center" vertical="top" wrapText="1"/>
    </xf>
    <xf numFmtId="2" fontId="10" fillId="4" borderId="20" xfId="0" applyNumberFormat="1" applyFont="1" applyFill="1" applyBorder="1" applyAlignment="1">
      <alignment horizontal="center" vertical="top" wrapText="1"/>
    </xf>
    <xf numFmtId="4" fontId="10" fillId="4" borderId="20" xfId="0" applyNumberFormat="1" applyFont="1" applyFill="1" applyBorder="1" applyAlignment="1">
      <alignment horizontal="center" vertical="top" wrapText="1"/>
    </xf>
    <xf numFmtId="4" fontId="10" fillId="4" borderId="21" xfId="0" applyNumberFormat="1" applyFont="1" applyFill="1" applyBorder="1" applyAlignment="1">
      <alignment horizontal="center" vertical="top" wrapText="1"/>
    </xf>
    <xf numFmtId="2" fontId="10" fillId="4" borderId="22" xfId="0" applyNumberFormat="1" applyFont="1" applyFill="1" applyBorder="1" applyAlignment="1">
      <alignment horizontal="center" vertical="top" wrapText="1"/>
    </xf>
    <xf numFmtId="1" fontId="6" fillId="4" borderId="23" xfId="0" applyNumberFormat="1" applyFont="1" applyFill="1" applyBorder="1" applyAlignment="1">
      <alignment horizontal="center" vertical="top" wrapText="1"/>
    </xf>
    <xf numFmtId="1" fontId="6" fillId="4" borderId="24" xfId="0" applyNumberFormat="1" applyFont="1" applyFill="1" applyBorder="1" applyAlignment="1">
      <alignment horizontal="center" vertical="top" wrapText="1"/>
    </xf>
    <xf numFmtId="2" fontId="10" fillId="4" borderId="24" xfId="0" applyNumberFormat="1" applyFont="1" applyFill="1" applyBorder="1" applyAlignment="1">
      <alignment horizontal="center" vertical="top" wrapText="1"/>
    </xf>
    <xf numFmtId="4" fontId="10" fillId="4" borderId="24" xfId="0" applyNumberFormat="1" applyFont="1" applyFill="1" applyBorder="1" applyAlignment="1">
      <alignment horizontal="center" vertical="top" wrapText="1"/>
    </xf>
    <xf numFmtId="4" fontId="10" fillId="4" borderId="25" xfId="0" applyNumberFormat="1" applyFont="1" applyFill="1" applyBorder="1" applyAlignment="1">
      <alignment horizontal="center" vertical="top" wrapText="1"/>
    </xf>
    <xf numFmtId="2" fontId="10" fillId="4" borderId="26" xfId="0" applyNumberFormat="1" applyFont="1" applyFill="1" applyBorder="1" applyAlignment="1">
      <alignment horizontal="center" vertical="top" wrapText="1"/>
    </xf>
    <xf numFmtId="0" fontId="38" fillId="4" borderId="3" xfId="0" applyNumberFormat="1" applyFont="1" applyFill="1" applyBorder="1" applyAlignment="1">
      <alignment horizontal="center" vertical="top" wrapText="1"/>
    </xf>
    <xf numFmtId="4" fontId="38" fillId="4" borderId="3" xfId="0" applyNumberFormat="1" applyFont="1" applyFill="1" applyBorder="1" applyAlignment="1">
      <alignment horizontal="center" vertical="top" wrapText="1"/>
    </xf>
    <xf numFmtId="4" fontId="29" fillId="4" borderId="3" xfId="0" applyNumberFormat="1" applyFont="1" applyFill="1" applyBorder="1" applyAlignment="1">
      <alignment horizontal="right" vertical="top" wrapText="1"/>
    </xf>
    <xf numFmtId="0" fontId="38" fillId="8" borderId="3" xfId="0" applyNumberFormat="1" applyFont="1" applyFill="1" applyBorder="1" applyAlignment="1">
      <alignment horizontal="center" vertical="top" wrapText="1"/>
    </xf>
    <xf numFmtId="4" fontId="29" fillId="4" borderId="8" xfId="0" applyNumberFormat="1" applyFont="1" applyFill="1" applyBorder="1" applyAlignment="1">
      <alignment horizontal="right" vertical="top" wrapText="1"/>
    </xf>
    <xf numFmtId="0" fontId="29" fillId="4" borderId="3" xfId="0" applyNumberFormat="1" applyFont="1" applyFill="1" applyBorder="1" applyAlignment="1">
      <alignment horizontal="center" vertical="top" wrapText="1"/>
    </xf>
    <xf numFmtId="4" fontId="29" fillId="4" borderId="3" xfId="0" applyNumberFormat="1" applyFont="1" applyFill="1" applyBorder="1" applyAlignment="1">
      <alignment horizontal="center" vertical="top" wrapText="1"/>
    </xf>
    <xf numFmtId="4" fontId="31" fillId="4" borderId="3" xfId="0" applyNumberFormat="1" applyFont="1" applyFill="1" applyBorder="1" applyAlignment="1">
      <alignment horizontal="center" vertical="top" wrapText="1"/>
    </xf>
    <xf numFmtId="0" fontId="29" fillId="4" borderId="3" xfId="0" applyFont="1" applyFill="1" applyBorder="1" applyAlignment="1">
      <alignment horizontal="center" vertical="top" wrapText="1"/>
    </xf>
    <xf numFmtId="0" fontId="38" fillId="4" borderId="3" xfId="0" applyFont="1" applyFill="1" applyBorder="1" applyAlignment="1">
      <alignment horizontal="center" vertical="top" wrapText="1"/>
    </xf>
    <xf numFmtId="2" fontId="38" fillId="4" borderId="3" xfId="0" applyNumberFormat="1" applyFont="1" applyFill="1" applyBorder="1" applyAlignment="1">
      <alignment horizontal="center" vertical="top" wrapText="1"/>
    </xf>
    <xf numFmtId="49" fontId="16" fillId="4" borderId="3" xfId="0" applyNumberFormat="1" applyFont="1" applyFill="1" applyBorder="1" applyAlignment="1">
      <alignment horizontal="left" vertical="center" wrapText="1"/>
    </xf>
    <xf numFmtId="49" fontId="16" fillId="4" borderId="3" xfId="0" applyNumberFormat="1" applyFont="1" applyFill="1" applyBorder="1" applyAlignment="1">
      <alignment horizontal="center" vertical="center" wrapText="1"/>
    </xf>
    <xf numFmtId="2" fontId="38" fillId="4" borderId="3" xfId="0" applyNumberFormat="1" applyFont="1" applyFill="1" applyBorder="1" applyAlignment="1">
      <alignment horizontal="center" vertical="center" wrapText="1"/>
    </xf>
    <xf numFmtId="4" fontId="38" fillId="4" borderId="3" xfId="0" applyNumberFormat="1" applyFont="1" applyFill="1" applyBorder="1" applyAlignment="1">
      <alignment horizontal="center" vertical="center" wrapText="1"/>
    </xf>
    <xf numFmtId="2" fontId="38" fillId="8" borderId="3" xfId="0" applyNumberFormat="1" applyFont="1" applyFill="1" applyBorder="1" applyAlignment="1">
      <alignment horizontal="center" vertical="center" wrapText="1"/>
    </xf>
    <xf numFmtId="49" fontId="17" fillId="4" borderId="3" xfId="0" applyNumberFormat="1" applyFont="1" applyFill="1" applyBorder="1" applyAlignment="1">
      <alignment horizontal="right" vertical="center" wrapText="1"/>
    </xf>
    <xf numFmtId="4" fontId="29" fillId="4" borderId="3" xfId="0" applyNumberFormat="1" applyFont="1" applyFill="1" applyBorder="1" applyAlignment="1">
      <alignment horizontal="center" vertical="center" wrapText="1"/>
    </xf>
    <xf numFmtId="4" fontId="31" fillId="4" borderId="3" xfId="0" applyNumberFormat="1" applyFont="1" applyFill="1" applyBorder="1" applyAlignment="1">
      <alignment horizontal="center" vertical="center" wrapText="1"/>
    </xf>
    <xf numFmtId="2" fontId="38" fillId="8" borderId="3" xfId="0" applyNumberFormat="1" applyFont="1" applyFill="1" applyBorder="1" applyAlignment="1">
      <alignment horizontal="center" vertical="top" wrapText="1"/>
    </xf>
    <xf numFmtId="2" fontId="29" fillId="4" borderId="3" xfId="0" applyNumberFormat="1" applyFont="1" applyFill="1" applyBorder="1" applyAlignment="1">
      <alignment horizontal="center" vertical="top" wrapText="1"/>
    </xf>
    <xf numFmtId="3" fontId="29" fillId="4" borderId="3" xfId="0" applyNumberFormat="1" applyFont="1" applyFill="1" applyBorder="1" applyAlignment="1">
      <alignment horizontal="center" vertical="top" wrapText="1"/>
    </xf>
    <xf numFmtId="49" fontId="6" fillId="4" borderId="3" xfId="0" applyNumberFormat="1" applyFont="1" applyFill="1" applyBorder="1" applyAlignment="1">
      <alignment horizontal="left" vertical="center" wrapText="1"/>
    </xf>
    <xf numFmtId="2" fontId="10" fillId="4" borderId="3" xfId="0" applyNumberFormat="1" applyFont="1" applyFill="1" applyBorder="1" applyAlignment="1">
      <alignment horizontal="center" vertical="center" wrapText="1"/>
    </xf>
    <xf numFmtId="4" fontId="10" fillId="4" borderId="3" xfId="0" applyNumberFormat="1" applyFont="1" applyFill="1" applyBorder="1" applyAlignment="1">
      <alignment horizontal="center" vertical="center" wrapText="1"/>
    </xf>
    <xf numFmtId="4" fontId="10" fillId="4" borderId="3" xfId="0" applyNumberFormat="1" applyFont="1" applyFill="1" applyBorder="1" applyAlignment="1">
      <alignment horizontal="right" vertical="center" wrapText="1"/>
    </xf>
    <xf numFmtId="4" fontId="10" fillId="4" borderId="3" xfId="0" applyNumberFormat="1" applyFont="1" applyFill="1" applyBorder="1" applyAlignment="1">
      <alignment vertical="center" wrapText="1"/>
    </xf>
    <xf numFmtId="4" fontId="11" fillId="4" borderId="3" xfId="0" applyNumberFormat="1" applyFont="1" applyFill="1" applyBorder="1" applyAlignment="1">
      <alignment horizontal="right" vertical="center" wrapText="1"/>
    </xf>
    <xf numFmtId="4" fontId="11" fillId="4" borderId="8" xfId="0" applyNumberFormat="1" applyFont="1" applyFill="1" applyBorder="1" applyAlignment="1">
      <alignment horizontal="right" vertical="center" wrapText="1"/>
    </xf>
    <xf numFmtId="49" fontId="7" fillId="4" borderId="3" xfId="0" applyNumberFormat="1" applyFont="1" applyFill="1" applyBorder="1" applyAlignment="1">
      <alignment horizontal="right" vertical="center" wrapText="1"/>
    </xf>
    <xf numFmtId="0" fontId="11" fillId="4" borderId="3" xfId="0" applyNumberFormat="1" applyFont="1" applyFill="1" applyBorder="1" applyAlignment="1">
      <alignment horizontal="center" vertical="center" wrapText="1"/>
    </xf>
    <xf numFmtId="4" fontId="11" fillId="4" borderId="3" xfId="0" applyNumberFormat="1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49" fontId="6" fillId="4" borderId="3" xfId="0" applyNumberFormat="1" applyFont="1" applyFill="1" applyBorder="1" applyAlignment="1">
      <alignment horizontal="center" vertical="center" wrapText="1"/>
    </xf>
    <xf numFmtId="4" fontId="10" fillId="4" borderId="8" xfId="0" applyNumberFormat="1" applyFont="1" applyFill="1" applyBorder="1" applyAlignment="1">
      <alignment horizontal="center" vertical="center" wrapText="1"/>
    </xf>
    <xf numFmtId="1" fontId="6" fillId="4" borderId="3" xfId="0" applyNumberFormat="1" applyFont="1" applyFill="1" applyBorder="1" applyAlignment="1">
      <alignment horizontal="center" vertical="top" wrapText="1"/>
    </xf>
    <xf numFmtId="4" fontId="10" fillId="4" borderId="8" xfId="0" applyNumberFormat="1" applyFont="1" applyFill="1" applyBorder="1" applyAlignment="1">
      <alignment horizontal="center" vertical="top" wrapText="1"/>
    </xf>
    <xf numFmtId="49" fontId="38" fillId="4" borderId="3" xfId="0" applyNumberFormat="1" applyFont="1" applyFill="1" applyBorder="1" applyAlignment="1">
      <alignment horizontal="left" vertical="center"/>
    </xf>
    <xf numFmtId="49" fontId="28" fillId="4" borderId="3" xfId="0" applyNumberFormat="1" applyFont="1" applyFill="1" applyBorder="1" applyAlignment="1">
      <alignment horizontal="center" vertical="center"/>
    </xf>
    <xf numFmtId="166" fontId="28" fillId="4" borderId="3" xfId="0" applyNumberFormat="1" applyFont="1" applyFill="1" applyBorder="1" applyAlignment="1">
      <alignment horizontal="center" vertical="center"/>
    </xf>
    <xf numFmtId="166" fontId="38" fillId="4" borderId="3" xfId="0" applyNumberFormat="1" applyFont="1" applyFill="1" applyBorder="1" applyAlignment="1">
      <alignment horizontal="center" vertical="center"/>
    </xf>
    <xf numFmtId="49" fontId="16" fillId="4" borderId="10" xfId="0" applyNumberFormat="1" applyFont="1" applyFill="1" applyBorder="1" applyAlignment="1">
      <alignment horizontal="center" vertical="top" wrapText="1"/>
    </xf>
    <xf numFmtId="1" fontId="16" fillId="11" borderId="3" xfId="0" applyNumberFormat="1" applyFont="1" applyFill="1" applyBorder="1" applyAlignment="1">
      <alignment horizontal="center" vertical="top" wrapText="1"/>
    </xf>
    <xf numFmtId="2" fontId="38" fillId="11" borderId="3" xfId="0" applyNumberFormat="1" applyFont="1" applyFill="1" applyBorder="1" applyAlignment="1">
      <alignment horizontal="center" vertical="top" wrapText="1"/>
    </xf>
    <xf numFmtId="4" fontId="38" fillId="11" borderId="3" xfId="0" applyNumberFormat="1" applyFont="1" applyFill="1" applyBorder="1" applyAlignment="1">
      <alignment horizontal="center" vertical="top" wrapText="1"/>
    </xf>
    <xf numFmtId="4" fontId="38" fillId="11" borderId="8" xfId="0" applyNumberFormat="1" applyFont="1" applyFill="1" applyBorder="1" applyAlignment="1">
      <alignment horizontal="center" vertical="top" wrapText="1"/>
    </xf>
    <xf numFmtId="0" fontId="16" fillId="4" borderId="10" xfId="0" applyFont="1" applyFill="1" applyBorder="1" applyAlignment="1">
      <alignment horizontal="center" vertical="top" wrapText="1"/>
    </xf>
    <xf numFmtId="4" fontId="28" fillId="9" borderId="3" xfId="0" applyNumberFormat="1" applyFont="1" applyFill="1" applyBorder="1" applyAlignment="1">
      <alignment horizontal="center" vertical="top" wrapText="1"/>
    </xf>
    <xf numFmtId="4" fontId="28" fillId="9" borderId="3" xfId="0" applyNumberFormat="1" applyFont="1" applyFill="1" applyBorder="1" applyAlignment="1">
      <alignment vertical="top" wrapText="1"/>
    </xf>
    <xf numFmtId="4" fontId="38" fillId="9" borderId="3" xfId="0" applyNumberFormat="1" applyFont="1" applyFill="1" applyBorder="1" applyAlignment="1">
      <alignment vertical="top" wrapText="1"/>
    </xf>
    <xf numFmtId="4" fontId="38" fillId="9" borderId="8" xfId="0" applyNumberFormat="1" applyFont="1" applyFill="1" applyBorder="1" applyAlignment="1">
      <alignment horizontal="center" vertical="top" wrapText="1"/>
    </xf>
    <xf numFmtId="0" fontId="0" fillId="4" borderId="27" xfId="0" applyFill="1" applyBorder="1"/>
    <xf numFmtId="0" fontId="0" fillId="4" borderId="28" xfId="0" applyFill="1" applyBorder="1"/>
    <xf numFmtId="9" fontId="38" fillId="9" borderId="3" xfId="0" applyNumberFormat="1" applyFont="1" applyFill="1" applyBorder="1" applyAlignment="1">
      <alignment horizontal="center" vertical="top" wrapText="1"/>
    </xf>
    <xf numFmtId="4" fontId="28" fillId="9" borderId="8" xfId="0" applyNumberFormat="1" applyFont="1" applyFill="1" applyBorder="1" applyAlignment="1">
      <alignment horizontal="center" vertical="top" wrapText="1"/>
    </xf>
    <xf numFmtId="165" fontId="38" fillId="9" borderId="3" xfId="0" applyNumberFormat="1" applyFont="1" applyFill="1" applyBorder="1" applyAlignment="1">
      <alignment horizontal="center" vertical="top" wrapText="1"/>
    </xf>
    <xf numFmtId="4" fontId="28" fillId="5" borderId="8" xfId="0" applyNumberFormat="1" applyFont="1" applyFill="1" applyBorder="1" applyAlignment="1">
      <alignment horizontal="center" vertical="top" wrapText="1"/>
    </xf>
    <xf numFmtId="0" fontId="0" fillId="4" borderId="29" xfId="0" applyFill="1" applyBorder="1"/>
    <xf numFmtId="0" fontId="0" fillId="4" borderId="6" xfId="0" applyFill="1" applyBorder="1"/>
    <xf numFmtId="0" fontId="0" fillId="4" borderId="7" xfId="0" applyFill="1" applyBorder="1"/>
    <xf numFmtId="49" fontId="16" fillId="4" borderId="3" xfId="0" applyNumberFormat="1" applyFont="1" applyFill="1" applyBorder="1" applyAlignment="1">
      <alignment vertical="top" wrapText="1"/>
    </xf>
    <xf numFmtId="4" fontId="16" fillId="4" borderId="3" xfId="0" applyNumberFormat="1" applyFont="1" applyFill="1" applyBorder="1" applyAlignment="1">
      <alignment vertical="top" wrapText="1"/>
    </xf>
    <xf numFmtId="4" fontId="38" fillId="4" borderId="3" xfId="0" applyNumberFormat="1" applyFont="1" applyFill="1" applyBorder="1" applyAlignment="1">
      <alignment vertical="top" wrapText="1"/>
    </xf>
    <xf numFmtId="1" fontId="38" fillId="4" borderId="3" xfId="0" applyNumberFormat="1" applyFont="1" applyFill="1" applyBorder="1" applyAlignment="1">
      <alignment vertical="top" wrapText="1"/>
    </xf>
    <xf numFmtId="4" fontId="28" fillId="4" borderId="3" xfId="0" applyNumberFormat="1" applyFont="1" applyFill="1" applyBorder="1" applyAlignment="1">
      <alignment horizontal="center" vertical="top" wrapText="1"/>
    </xf>
    <xf numFmtId="4" fontId="28" fillId="4" borderId="8" xfId="0" applyNumberFormat="1" applyFont="1" applyFill="1" applyBorder="1" applyAlignment="1">
      <alignment horizontal="center" vertical="top" wrapText="1"/>
    </xf>
    <xf numFmtId="0" fontId="16" fillId="4" borderId="30" xfId="0" applyFont="1" applyFill="1" applyBorder="1" applyAlignment="1">
      <alignment horizontal="center" vertical="top" wrapText="1"/>
    </xf>
    <xf numFmtId="4" fontId="40" fillId="10" borderId="32" xfId="0" applyNumberFormat="1" applyFont="1" applyFill="1" applyBorder="1" applyAlignment="1">
      <alignment horizontal="center" vertical="top" wrapText="1"/>
    </xf>
    <xf numFmtId="0" fontId="0" fillId="4" borderId="33" xfId="0" applyFill="1" applyBorder="1"/>
    <xf numFmtId="0" fontId="0" fillId="4" borderId="14" xfId="0" applyFill="1" applyBorder="1"/>
    <xf numFmtId="0" fontId="0" fillId="4" borderId="34" xfId="0" applyFill="1" applyBorder="1"/>
    <xf numFmtId="0" fontId="0" fillId="4" borderId="35" xfId="0" applyFill="1" applyBorder="1" applyAlignment="1">
      <alignment vertical="top" wrapText="1"/>
    </xf>
    <xf numFmtId="1" fontId="15" fillId="4" borderId="1" xfId="0" applyNumberFormat="1" applyFont="1" applyFill="1" applyBorder="1" applyAlignment="1">
      <alignment horizontal="left" vertical="top" wrapText="1"/>
    </xf>
    <xf numFmtId="49" fontId="16" fillId="4" borderId="1" xfId="0" applyNumberFormat="1" applyFont="1" applyFill="1" applyBorder="1" applyAlignment="1">
      <alignment horizontal="left" vertical="top" wrapText="1"/>
    </xf>
    <xf numFmtId="1" fontId="27" fillId="4" borderId="1" xfId="0" applyNumberFormat="1" applyFont="1" applyFill="1" applyBorder="1" applyAlignment="1">
      <alignment horizontal="left" vertical="top" wrapText="1"/>
    </xf>
    <xf numFmtId="1" fontId="41" fillId="4" borderId="1" xfId="0" applyNumberFormat="1" applyFont="1" applyFill="1" applyBorder="1" applyAlignment="1">
      <alignment vertical="top" wrapText="1"/>
    </xf>
    <xf numFmtId="49" fontId="27" fillId="4" borderId="1" xfId="0" applyNumberFormat="1" applyFont="1" applyFill="1" applyBorder="1" applyAlignment="1">
      <alignment horizontal="left" vertical="top" wrapText="1"/>
    </xf>
    <xf numFmtId="0" fontId="34" fillId="4" borderId="1" xfId="0" applyFont="1" applyFill="1" applyBorder="1" applyAlignment="1">
      <alignment vertical="top" wrapText="1"/>
    </xf>
    <xf numFmtId="1" fontId="28" fillId="4" borderId="1" xfId="0" applyNumberFormat="1" applyFont="1" applyFill="1" applyBorder="1" applyAlignment="1">
      <alignment horizontal="left" vertical="top" wrapText="1"/>
    </xf>
    <xf numFmtId="1" fontId="27" fillId="4" borderId="1" xfId="0" applyNumberFormat="1" applyFont="1" applyFill="1" applyBorder="1" applyAlignment="1">
      <alignment horizontal="right" vertical="top" wrapText="1"/>
    </xf>
    <xf numFmtId="1" fontId="15" fillId="4" borderId="1" xfId="0" applyNumberFormat="1" applyFont="1" applyFill="1" applyBorder="1" applyAlignment="1">
      <alignment vertical="top" wrapText="1"/>
    </xf>
    <xf numFmtId="49" fontId="27" fillId="4" borderId="1" xfId="0" applyNumberFormat="1" applyFont="1" applyFill="1" applyBorder="1" applyAlignment="1">
      <alignment vertical="top" wrapText="1"/>
    </xf>
    <xf numFmtId="1" fontId="17" fillId="4" borderId="1" xfId="0" applyNumberFormat="1" applyFont="1" applyFill="1" applyBorder="1" applyAlignment="1">
      <alignment vertical="top" wrapText="1"/>
    </xf>
    <xf numFmtId="0" fontId="0" fillId="0" borderId="1" xfId="0" applyBorder="1"/>
    <xf numFmtId="2" fontId="27" fillId="4" borderId="1" xfId="0" applyNumberFormat="1" applyFont="1" applyFill="1" applyBorder="1" applyAlignment="1">
      <alignment horizontal="center" vertical="top" wrapText="1"/>
    </xf>
    <xf numFmtId="0" fontId="27" fillId="4" borderId="1" xfId="0" applyFont="1" applyFill="1" applyBorder="1" applyAlignment="1">
      <alignment horizontal="center" vertical="top" wrapText="1"/>
    </xf>
    <xf numFmtId="0" fontId="0" fillId="4" borderId="15" xfId="0" applyFill="1" applyBorder="1"/>
    <xf numFmtId="0" fontId="16" fillId="4" borderId="2" xfId="0" applyFont="1" applyFill="1" applyBorder="1" applyAlignment="1">
      <alignment horizontal="center" vertical="top" wrapText="1"/>
    </xf>
    <xf numFmtId="0" fontId="27" fillId="4" borderId="2" xfId="0" applyFont="1" applyFill="1" applyBorder="1" applyAlignment="1">
      <alignment vertical="top" wrapText="1"/>
    </xf>
    <xf numFmtId="2" fontId="27" fillId="4" borderId="2" xfId="0" applyNumberFormat="1" applyFont="1" applyFill="1" applyBorder="1" applyAlignment="1">
      <alignment horizontal="center" vertical="top" wrapText="1"/>
    </xf>
    <xf numFmtId="0" fontId="27" fillId="4" borderId="2" xfId="0" applyFont="1" applyFill="1" applyBorder="1" applyAlignment="1">
      <alignment horizontal="center" vertical="top" wrapText="1"/>
    </xf>
    <xf numFmtId="0" fontId="27" fillId="4" borderId="36" xfId="0" applyFont="1" applyFill="1" applyBorder="1" applyAlignment="1">
      <alignment horizontal="center" vertical="top" wrapText="1"/>
    </xf>
    <xf numFmtId="0" fontId="0" fillId="0" borderId="40" xfId="0" applyBorder="1"/>
    <xf numFmtId="0" fontId="0" fillId="0" borderId="41" xfId="0" applyBorder="1"/>
    <xf numFmtId="0" fontId="0" fillId="0" borderId="42" xfId="0" applyBorder="1"/>
    <xf numFmtId="49" fontId="35" fillId="11" borderId="3" xfId="0" applyNumberFormat="1" applyFont="1" applyFill="1" applyBorder="1" applyAlignment="1">
      <alignment horizontal="left" vertical="center"/>
    </xf>
    <xf numFmtId="0" fontId="36" fillId="4" borderId="3" xfId="0" applyFont="1" applyFill="1" applyBorder="1" applyAlignment="1">
      <alignment horizontal="center" vertical="center"/>
    </xf>
    <xf numFmtId="166" fontId="36" fillId="4" borderId="3" xfId="0" applyNumberFormat="1" applyFont="1" applyFill="1" applyBorder="1" applyAlignment="1">
      <alignment horizontal="center" vertical="center"/>
    </xf>
    <xf numFmtId="0" fontId="0" fillId="0" borderId="43" xfId="0" applyBorder="1"/>
    <xf numFmtId="0" fontId="0" fillId="0" borderId="44" xfId="0" applyBorder="1"/>
    <xf numFmtId="2" fontId="6" fillId="4" borderId="3" xfId="0" applyNumberFormat="1" applyFont="1" applyFill="1" applyBorder="1" applyAlignment="1">
      <alignment horizontal="center" vertical="center" wrapText="1"/>
    </xf>
    <xf numFmtId="4" fontId="6" fillId="4" borderId="3" xfId="0" applyNumberFormat="1" applyFont="1" applyFill="1" applyBorder="1" applyAlignment="1">
      <alignment horizontal="center" vertical="center" wrapText="1"/>
    </xf>
    <xf numFmtId="4" fontId="6" fillId="4" borderId="3" xfId="0" applyNumberFormat="1" applyFont="1" applyFill="1" applyBorder="1" applyAlignment="1">
      <alignment vertical="center" wrapText="1"/>
    </xf>
    <xf numFmtId="4" fontId="7" fillId="4" borderId="3" xfId="0" applyNumberFormat="1" applyFont="1" applyFill="1" applyBorder="1" applyAlignment="1">
      <alignment horizontal="center" vertical="center" wrapText="1"/>
    </xf>
    <xf numFmtId="4" fontId="7" fillId="4" borderId="3" xfId="0" applyNumberFormat="1" applyFont="1" applyFill="1" applyBorder="1" applyAlignment="1">
      <alignment horizontal="right" vertical="center" wrapText="1"/>
    </xf>
    <xf numFmtId="0" fontId="0" fillId="0" borderId="45" xfId="0" applyBorder="1"/>
    <xf numFmtId="0" fontId="0" fillId="0" borderId="46" xfId="0" applyBorder="1"/>
    <xf numFmtId="0" fontId="0" fillId="0" borderId="4" xfId="0" applyBorder="1"/>
    <xf numFmtId="0" fontId="0" fillId="4" borderId="20" xfId="0" applyFill="1" applyBorder="1" applyAlignment="1">
      <alignment vertical="top" wrapText="1"/>
    </xf>
    <xf numFmtId="0" fontId="0" fillId="4" borderId="43" xfId="0" applyFill="1" applyBorder="1" applyAlignment="1">
      <alignment vertical="top" wrapText="1"/>
    </xf>
    <xf numFmtId="0" fontId="0" fillId="4" borderId="47" xfId="0" applyFill="1" applyBorder="1" applyAlignment="1">
      <alignment vertical="top" wrapText="1"/>
    </xf>
    <xf numFmtId="0" fontId="0" fillId="4" borderId="24" xfId="0" applyFill="1" applyBorder="1" applyAlignment="1">
      <alignment vertical="top" wrapText="1"/>
    </xf>
    <xf numFmtId="49" fontId="14" fillId="4" borderId="3" xfId="0" applyNumberFormat="1" applyFont="1" applyFill="1" applyBorder="1" applyAlignment="1">
      <alignment horizontal="left" vertical="center" wrapText="1"/>
    </xf>
    <xf numFmtId="49" fontId="14" fillId="4" borderId="3" xfId="0" applyNumberFormat="1" applyFont="1" applyFill="1" applyBorder="1" applyAlignment="1">
      <alignment horizontal="center" vertical="center" wrapText="1"/>
    </xf>
    <xf numFmtId="2" fontId="14" fillId="4" borderId="3" xfId="0" applyNumberFormat="1" applyFont="1" applyFill="1" applyBorder="1" applyAlignment="1">
      <alignment vertical="center" wrapText="1"/>
    </xf>
    <xf numFmtId="4" fontId="14" fillId="4" borderId="3" xfId="0" applyNumberFormat="1" applyFont="1" applyFill="1" applyBorder="1" applyAlignment="1">
      <alignment vertical="center" wrapText="1"/>
    </xf>
    <xf numFmtId="4" fontId="8" fillId="4" borderId="3" xfId="0" applyNumberFormat="1" applyFont="1" applyFill="1" applyBorder="1" applyAlignment="1">
      <alignment horizontal="right" vertical="center" wrapText="1"/>
    </xf>
    <xf numFmtId="49" fontId="8" fillId="4" borderId="3" xfId="0" applyNumberFormat="1" applyFont="1" applyFill="1" applyBorder="1" applyAlignment="1">
      <alignment horizontal="right" vertical="center" wrapText="1"/>
    </xf>
    <xf numFmtId="2" fontId="8" fillId="4" borderId="3" xfId="0" applyNumberFormat="1" applyFont="1" applyFill="1" applyBorder="1" applyAlignment="1">
      <alignment vertical="center" wrapText="1"/>
    </xf>
    <xf numFmtId="4" fontId="8" fillId="4" borderId="3" xfId="0" applyNumberFormat="1" applyFont="1" applyFill="1" applyBorder="1" applyAlignment="1">
      <alignment vertical="center" wrapText="1"/>
    </xf>
    <xf numFmtId="49" fontId="6" fillId="4" borderId="3" xfId="0" applyNumberFormat="1" applyFont="1" applyFill="1" applyBorder="1" applyAlignment="1">
      <alignment horizontal="left" wrapText="1"/>
    </xf>
    <xf numFmtId="4" fontId="6" fillId="4" borderId="3" xfId="0" applyNumberFormat="1" applyFont="1" applyFill="1" applyBorder="1" applyAlignment="1">
      <alignment horizontal="center" wrapText="1"/>
    </xf>
    <xf numFmtId="4" fontId="6" fillId="4" borderId="3" xfId="0" applyNumberFormat="1" applyFont="1" applyFill="1" applyBorder="1" applyAlignment="1">
      <alignment horizontal="right" vertical="center" wrapText="1"/>
    </xf>
    <xf numFmtId="0" fontId="16" fillId="4" borderId="3" xfId="0" applyNumberFormat="1" applyFont="1" applyFill="1" applyBorder="1" applyAlignment="1">
      <alignment horizontal="center" vertical="top" wrapText="1"/>
    </xf>
    <xf numFmtId="4" fontId="33" fillId="4" borderId="3" xfId="0" applyNumberFormat="1" applyFont="1" applyFill="1" applyBorder="1" applyAlignment="1">
      <alignment horizontal="center" vertical="top" wrapText="1"/>
    </xf>
    <xf numFmtId="2" fontId="8" fillId="4" borderId="3" xfId="0" applyNumberFormat="1" applyFont="1" applyFill="1" applyBorder="1" applyAlignment="1">
      <alignment horizontal="right" vertical="center" wrapText="1"/>
    </xf>
    <xf numFmtId="0" fontId="8" fillId="4" borderId="3" xfId="0" applyFont="1" applyFill="1" applyBorder="1" applyAlignment="1">
      <alignment horizontal="right" vertical="center" wrapText="1"/>
    </xf>
    <xf numFmtId="49" fontId="0" fillId="11" borderId="44" xfId="0" applyNumberFormat="1" applyFill="1" applyBorder="1"/>
    <xf numFmtId="2" fontId="44" fillId="4" borderId="3" xfId="0" applyNumberFormat="1" applyFont="1" applyFill="1" applyBorder="1" applyAlignment="1">
      <alignment vertical="center" wrapText="1"/>
    </xf>
    <xf numFmtId="0" fontId="0" fillId="0" borderId="43" xfId="0" applyNumberFormat="1" applyBorder="1"/>
    <xf numFmtId="49" fontId="38" fillId="4" borderId="3" xfId="0" applyNumberFormat="1" applyFont="1" applyFill="1" applyBorder="1" applyAlignment="1">
      <alignment horizontal="left" vertical="center" wrapText="1"/>
    </xf>
    <xf numFmtId="4" fontId="27" fillId="9" borderId="3" xfId="0" applyNumberFormat="1" applyFont="1" applyFill="1" applyBorder="1" applyAlignment="1">
      <alignment horizontal="center" vertical="top" wrapText="1"/>
    </xf>
    <xf numFmtId="4" fontId="27" fillId="9" borderId="3" xfId="0" applyNumberFormat="1" applyFont="1" applyFill="1" applyBorder="1" applyAlignment="1">
      <alignment vertical="top" wrapText="1"/>
    </xf>
    <xf numFmtId="4" fontId="16" fillId="9" borderId="3" xfId="0" applyNumberFormat="1" applyFont="1" applyFill="1" applyBorder="1" applyAlignment="1">
      <alignment vertical="top" wrapText="1"/>
    </xf>
    <xf numFmtId="4" fontId="16" fillId="9" borderId="3" xfId="0" applyNumberFormat="1" applyFont="1" applyFill="1" applyBorder="1" applyAlignment="1">
      <alignment horizontal="center" vertical="top" wrapText="1"/>
    </xf>
    <xf numFmtId="0" fontId="0" fillId="4" borderId="48" xfId="0" applyFill="1" applyBorder="1"/>
    <xf numFmtId="0" fontId="0" fillId="4" borderId="49" xfId="0" applyFill="1" applyBorder="1"/>
    <xf numFmtId="9" fontId="16" fillId="9" borderId="3" xfId="0" applyNumberFormat="1" applyFont="1" applyFill="1" applyBorder="1" applyAlignment="1">
      <alignment horizontal="center" vertical="top" wrapText="1"/>
    </xf>
    <xf numFmtId="165" fontId="16" fillId="9" borderId="3" xfId="0" applyNumberFormat="1" applyFont="1" applyFill="1" applyBorder="1" applyAlignment="1">
      <alignment horizontal="center" vertical="top" wrapText="1"/>
    </xf>
    <xf numFmtId="4" fontId="27" fillId="5" borderId="3" xfId="0" applyNumberFormat="1" applyFont="1" applyFill="1" applyBorder="1" applyAlignment="1">
      <alignment horizontal="center" vertical="top" wrapText="1"/>
    </xf>
    <xf numFmtId="0" fontId="0" fillId="4" borderId="50" xfId="0" applyFill="1" applyBorder="1"/>
    <xf numFmtId="9" fontId="16" fillId="4" borderId="3" xfId="0" applyNumberFormat="1" applyFont="1" applyFill="1" applyBorder="1" applyAlignment="1">
      <alignment vertical="top" wrapText="1"/>
    </xf>
    <xf numFmtId="4" fontId="27" fillId="4" borderId="3" xfId="0" applyNumberFormat="1" applyFont="1" applyFill="1" applyBorder="1" applyAlignment="1">
      <alignment horizontal="center" vertical="top" wrapText="1"/>
    </xf>
    <xf numFmtId="4" fontId="39" fillId="10" borderId="3" xfId="0" applyNumberFormat="1" applyFont="1" applyFill="1" applyBorder="1" applyAlignment="1">
      <alignment horizontal="center" vertical="top" wrapText="1"/>
    </xf>
    <xf numFmtId="0" fontId="0" fillId="4" borderId="51" xfId="0" applyFill="1" applyBorder="1"/>
    <xf numFmtId="0" fontId="0" fillId="4" borderId="14" xfId="0" applyFill="1" applyBorder="1" applyAlignment="1">
      <alignment vertical="top" wrapText="1"/>
    </xf>
    <xf numFmtId="1" fontId="0" fillId="4" borderId="1" xfId="0" applyNumberFormat="1" applyFill="1" applyBorder="1" applyAlignment="1">
      <alignment vertical="top" wrapText="1"/>
    </xf>
    <xf numFmtId="0" fontId="0" fillId="4" borderId="52" xfId="0" applyFill="1" applyBorder="1" applyAlignment="1">
      <alignment vertical="top" wrapText="1"/>
    </xf>
    <xf numFmtId="0" fontId="0" fillId="4" borderId="53" xfId="0" applyFill="1" applyBorder="1" applyAlignment="1">
      <alignment vertical="top" wrapText="1"/>
    </xf>
    <xf numFmtId="0" fontId="0" fillId="4" borderId="54" xfId="0" applyFill="1" applyBorder="1" applyAlignment="1">
      <alignment vertical="top" wrapText="1"/>
    </xf>
    <xf numFmtId="0" fontId="0" fillId="4" borderId="44" xfId="0" applyFill="1" applyBorder="1" applyAlignment="1">
      <alignment vertical="top" wrapText="1"/>
    </xf>
    <xf numFmtId="0" fontId="0" fillId="4" borderId="56" xfId="0" applyFill="1" applyBorder="1" applyAlignment="1">
      <alignment vertical="top" wrapText="1"/>
    </xf>
    <xf numFmtId="0" fontId="0" fillId="4" borderId="57" xfId="0" applyFill="1" applyBorder="1" applyAlignment="1">
      <alignment vertical="top" wrapText="1"/>
    </xf>
    <xf numFmtId="49" fontId="0" fillId="4" borderId="16" xfId="0" applyNumberFormat="1" applyFill="1" applyBorder="1" applyAlignment="1">
      <alignment vertical="top" wrapText="1"/>
    </xf>
    <xf numFmtId="49" fontId="16" fillId="4" borderId="58" xfId="0" applyNumberFormat="1" applyFont="1" applyFill="1" applyBorder="1" applyAlignment="1">
      <alignment horizontal="center" vertical="top" wrapText="1"/>
    </xf>
    <xf numFmtId="49" fontId="0" fillId="4" borderId="10" xfId="0" applyNumberFormat="1" applyFill="1" applyBorder="1" applyAlignment="1">
      <alignment vertical="top" wrapText="1"/>
    </xf>
    <xf numFmtId="0" fontId="16" fillId="4" borderId="60" xfId="0" applyFont="1" applyFill="1" applyBorder="1" applyAlignment="1">
      <alignment horizontal="left" vertical="top" wrapText="1"/>
    </xf>
    <xf numFmtId="4" fontId="27" fillId="4" borderId="60" xfId="0" applyNumberFormat="1" applyFont="1" applyFill="1" applyBorder="1" applyAlignment="1">
      <alignment vertical="top" wrapText="1"/>
    </xf>
    <xf numFmtId="4" fontId="16" fillId="4" borderId="60" xfId="0" applyNumberFormat="1" applyFont="1" applyFill="1" applyBorder="1" applyAlignment="1">
      <alignment vertical="top" wrapText="1"/>
    </xf>
    <xf numFmtId="4" fontId="0" fillId="4" borderId="47" xfId="0" applyNumberFormat="1" applyFill="1" applyBorder="1" applyAlignment="1">
      <alignment vertical="top" wrapText="1"/>
    </xf>
    <xf numFmtId="49" fontId="16" fillId="4" borderId="9" xfId="0" applyNumberFormat="1" applyFont="1" applyFill="1" applyBorder="1" applyAlignment="1">
      <alignment horizontal="center" vertical="top" wrapText="1"/>
    </xf>
    <xf numFmtId="49" fontId="16" fillId="4" borderId="62" xfId="0" applyNumberFormat="1" applyFont="1" applyFill="1" applyBorder="1" applyAlignment="1">
      <alignment horizontal="left" vertical="top" wrapText="1"/>
    </xf>
    <xf numFmtId="0" fontId="27" fillId="4" borderId="63" xfId="0" applyFont="1" applyFill="1" applyBorder="1" applyAlignment="1">
      <alignment horizontal="right" vertical="top" wrapText="1"/>
    </xf>
    <xf numFmtId="2" fontId="27" fillId="4" borderId="63" xfId="0" applyNumberFormat="1" applyFont="1" applyFill="1" applyBorder="1" applyAlignment="1">
      <alignment vertical="top" wrapText="1"/>
    </xf>
    <xf numFmtId="0" fontId="27" fillId="4" borderId="63" xfId="0" applyFont="1" applyFill="1" applyBorder="1" applyAlignment="1">
      <alignment vertical="top" wrapText="1"/>
    </xf>
    <xf numFmtId="4" fontId="27" fillId="4" borderId="64" xfId="0" applyNumberFormat="1" applyFont="1" applyFill="1" applyBorder="1" applyAlignment="1">
      <alignment vertical="top" wrapText="1"/>
    </xf>
    <xf numFmtId="4" fontId="33" fillId="4" borderId="63" xfId="0" applyNumberFormat="1" applyFont="1" applyFill="1" applyBorder="1" applyAlignment="1">
      <alignment vertical="top" wrapText="1"/>
    </xf>
    <xf numFmtId="4" fontId="45" fillId="4" borderId="65" xfId="0" applyNumberFormat="1" applyFont="1" applyFill="1" applyBorder="1" applyAlignment="1">
      <alignment vertical="top" wrapText="1"/>
    </xf>
    <xf numFmtId="0" fontId="27" fillId="4" borderId="3" xfId="0" applyFont="1" applyFill="1" applyBorder="1" applyAlignment="1">
      <alignment vertical="top" wrapText="1"/>
    </xf>
    <xf numFmtId="0" fontId="0" fillId="4" borderId="3" xfId="0" applyFill="1" applyBorder="1" applyAlignment="1">
      <alignment vertical="top" wrapText="1"/>
    </xf>
    <xf numFmtId="4" fontId="27" fillId="4" borderId="3" xfId="0" applyNumberFormat="1" applyFont="1" applyFill="1" applyBorder="1" applyAlignment="1">
      <alignment vertical="top" wrapText="1"/>
    </xf>
    <xf numFmtId="4" fontId="27" fillId="4" borderId="66" xfId="0" applyNumberFormat="1" applyFont="1" applyFill="1" applyBorder="1" applyAlignment="1">
      <alignment vertical="top" wrapText="1"/>
    </xf>
    <xf numFmtId="4" fontId="27" fillId="4" borderId="67" xfId="0" applyNumberFormat="1" applyFont="1" applyFill="1" applyBorder="1" applyAlignment="1">
      <alignment horizontal="right" vertical="top" wrapText="1"/>
    </xf>
    <xf numFmtId="4" fontId="17" fillId="4" borderId="3" xfId="0" applyNumberFormat="1" applyFont="1" applyFill="1" applyBorder="1" applyAlignment="1">
      <alignment vertical="top" wrapText="1"/>
    </xf>
    <xf numFmtId="49" fontId="46" fillId="4" borderId="3" xfId="0" applyNumberFormat="1" applyFont="1" applyFill="1" applyBorder="1" applyAlignment="1">
      <alignment horizontal="left" vertical="top" wrapText="1"/>
    </xf>
    <xf numFmtId="4" fontId="0" fillId="4" borderId="3" xfId="0" applyNumberFormat="1" applyFill="1" applyBorder="1" applyAlignment="1">
      <alignment vertical="top" wrapText="1"/>
    </xf>
    <xf numFmtId="0" fontId="16" fillId="4" borderId="10" xfId="0" applyNumberFormat="1" applyFont="1" applyFill="1" applyBorder="1" applyAlignment="1">
      <alignment horizontal="center" vertical="top" wrapText="1"/>
    </xf>
    <xf numFmtId="4" fontId="33" fillId="4" borderId="3" xfId="0" applyNumberFormat="1" applyFont="1" applyFill="1" applyBorder="1" applyAlignment="1">
      <alignment vertical="top" wrapText="1"/>
    </xf>
    <xf numFmtId="4" fontId="33" fillId="4" borderId="3" xfId="0" applyNumberFormat="1" applyFont="1" applyFill="1" applyBorder="1" applyAlignment="1">
      <alignment horizontal="right" vertical="top" wrapText="1"/>
    </xf>
    <xf numFmtId="49" fontId="0" fillId="4" borderId="3" xfId="0" applyNumberFormat="1" applyFill="1" applyBorder="1" applyAlignment="1">
      <alignment vertical="top" wrapText="1"/>
    </xf>
    <xf numFmtId="4" fontId="0" fillId="4" borderId="11" xfId="0" applyNumberFormat="1" applyFill="1" applyBorder="1" applyAlignment="1">
      <alignment vertical="top" wrapText="1"/>
    </xf>
    <xf numFmtId="0" fontId="0" fillId="4" borderId="13" xfId="0" applyFill="1" applyBorder="1" applyAlignment="1">
      <alignment vertical="top" wrapText="1"/>
    </xf>
    <xf numFmtId="4" fontId="19" fillId="4" borderId="3" xfId="0" applyNumberFormat="1" applyFont="1" applyFill="1" applyBorder="1" applyAlignment="1">
      <alignment vertical="top" wrapText="1"/>
    </xf>
    <xf numFmtId="4" fontId="25" fillId="4" borderId="3" xfId="0" applyNumberFormat="1" applyFont="1" applyFill="1" applyBorder="1" applyAlignment="1">
      <alignment vertical="top" wrapText="1"/>
    </xf>
    <xf numFmtId="49" fontId="47" fillId="4" borderId="3" xfId="0" applyNumberFormat="1" applyFont="1" applyFill="1" applyBorder="1" applyAlignment="1">
      <alignment horizontal="right" vertical="top" wrapText="1"/>
    </xf>
    <xf numFmtId="0" fontId="17" fillId="4" borderId="3" xfId="0" applyFont="1" applyFill="1" applyBorder="1" applyAlignment="1">
      <alignment vertical="top" wrapText="1"/>
    </xf>
    <xf numFmtId="0" fontId="16" fillId="4" borderId="3" xfId="0" applyFont="1" applyFill="1" applyBorder="1" applyAlignment="1">
      <alignment vertical="top" wrapText="1"/>
    </xf>
    <xf numFmtId="4" fontId="47" fillId="4" borderId="3" xfId="0" applyNumberFormat="1" applyFont="1" applyFill="1" applyBorder="1" applyAlignment="1">
      <alignment vertical="top" wrapText="1"/>
    </xf>
    <xf numFmtId="0" fontId="0" fillId="4" borderId="43" xfId="0" applyNumberFormat="1" applyFill="1" applyBorder="1" applyAlignment="1">
      <alignment vertical="top" wrapText="1"/>
    </xf>
    <xf numFmtId="4" fontId="47" fillId="4" borderId="3" xfId="0" applyNumberFormat="1" applyFont="1" applyFill="1" applyBorder="1" applyAlignment="1">
      <alignment horizontal="right" vertical="top" wrapText="1"/>
    </xf>
    <xf numFmtId="0" fontId="0" fillId="4" borderId="3" xfId="0" applyNumberFormat="1" applyFill="1" applyBorder="1" applyAlignment="1">
      <alignment vertical="top" wrapText="1"/>
    </xf>
    <xf numFmtId="2" fontId="17" fillId="4" borderId="3" xfId="0" applyNumberFormat="1" applyFont="1" applyFill="1" applyBorder="1" applyAlignment="1">
      <alignment horizontal="right" vertical="top" wrapText="1"/>
    </xf>
    <xf numFmtId="0" fontId="17" fillId="4" borderId="43" xfId="0" applyFont="1" applyFill="1" applyBorder="1" applyAlignment="1">
      <alignment horizontal="right" vertical="top" wrapText="1"/>
    </xf>
    <xf numFmtId="4" fontId="16" fillId="4" borderId="3" xfId="0" applyNumberFormat="1" applyFont="1" applyFill="1" applyBorder="1" applyAlignment="1">
      <alignment horizontal="right" vertical="top" wrapText="1"/>
    </xf>
    <xf numFmtId="0" fontId="17" fillId="4" borderId="3" xfId="0" applyFont="1" applyFill="1" applyBorder="1" applyAlignment="1">
      <alignment horizontal="right" vertical="top" wrapText="1"/>
    </xf>
    <xf numFmtId="0" fontId="0" fillId="4" borderId="10" xfId="0" applyFill="1" applyBorder="1" applyAlignment="1">
      <alignment vertical="top" wrapText="1"/>
    </xf>
    <xf numFmtId="2" fontId="0" fillId="4" borderId="3" xfId="0" applyNumberFormat="1" applyFill="1" applyBorder="1" applyAlignment="1">
      <alignment vertical="top" wrapText="1"/>
    </xf>
    <xf numFmtId="165" fontId="16" fillId="4" borderId="3" xfId="0" applyNumberFormat="1" applyFont="1" applyFill="1" applyBorder="1" applyAlignment="1">
      <alignment vertical="top" wrapText="1"/>
    </xf>
    <xf numFmtId="4" fontId="16" fillId="4" borderId="31" xfId="0" applyNumberFormat="1" applyFont="1" applyFill="1" applyBorder="1" applyAlignment="1">
      <alignment vertical="top" wrapText="1"/>
    </xf>
    <xf numFmtId="4" fontId="39" fillId="4" borderId="69" xfId="0" applyNumberFormat="1" applyFont="1" applyFill="1" applyBorder="1" applyAlignment="1">
      <alignment vertical="top" wrapText="1"/>
    </xf>
    <xf numFmtId="0" fontId="0" fillId="4" borderId="30" xfId="0" applyFill="1" applyBorder="1" applyAlignment="1">
      <alignment vertical="top" wrapText="1"/>
    </xf>
    <xf numFmtId="0" fontId="0" fillId="4" borderId="70" xfId="0" applyFill="1" applyBorder="1" applyAlignment="1">
      <alignment vertical="top" wrapText="1"/>
    </xf>
    <xf numFmtId="49" fontId="0" fillId="4" borderId="71" xfId="0" applyNumberFormat="1" applyFill="1" applyBorder="1" applyAlignment="1">
      <alignment vertical="top" wrapText="1"/>
    </xf>
    <xf numFmtId="0" fontId="0" fillId="4" borderId="71" xfId="0" applyFill="1" applyBorder="1" applyAlignment="1">
      <alignment vertical="top" wrapText="1"/>
    </xf>
    <xf numFmtId="0" fontId="0" fillId="4" borderId="55" xfId="0" applyFill="1" applyBorder="1" applyAlignment="1">
      <alignment vertical="top" wrapText="1"/>
    </xf>
    <xf numFmtId="49" fontId="25" fillId="4" borderId="47" xfId="0" applyNumberFormat="1" applyFont="1" applyFill="1" applyBorder="1" applyAlignment="1">
      <alignment vertical="top" wrapText="1"/>
    </xf>
    <xf numFmtId="2" fontId="0" fillId="4" borderId="47" xfId="0" applyNumberFormat="1" applyFill="1" applyBorder="1" applyAlignment="1">
      <alignment vertical="top" wrapText="1"/>
    </xf>
    <xf numFmtId="0" fontId="25" fillId="4" borderId="47" xfId="0" applyFont="1" applyFill="1" applyBorder="1" applyAlignment="1">
      <alignment vertical="top" wrapText="1"/>
    </xf>
    <xf numFmtId="0" fontId="0" fillId="4" borderId="72" xfId="0" applyFill="1" applyBorder="1" applyAlignment="1">
      <alignment vertical="top" wrapText="1"/>
    </xf>
    <xf numFmtId="0" fontId="0" fillId="4" borderId="73" xfId="0" applyFill="1" applyBorder="1" applyAlignment="1">
      <alignment vertical="top" wrapText="1"/>
    </xf>
    <xf numFmtId="2" fontId="0" fillId="4" borderId="73" xfId="0" applyNumberFormat="1" applyFill="1" applyBorder="1" applyAlignment="1">
      <alignment vertical="top" wrapText="1"/>
    </xf>
    <xf numFmtId="0" fontId="0" fillId="4" borderId="74" xfId="0" applyFill="1" applyBorder="1" applyAlignment="1">
      <alignment vertical="top" wrapText="1"/>
    </xf>
    <xf numFmtId="49" fontId="6" fillId="5" borderId="58" xfId="0" applyNumberFormat="1" applyFont="1" applyFill="1" applyBorder="1" applyAlignment="1">
      <alignment horizontal="center" vertical="top" wrapText="1"/>
    </xf>
    <xf numFmtId="49" fontId="10" fillId="5" borderId="58" xfId="0" applyNumberFormat="1" applyFont="1" applyFill="1" applyBorder="1" applyAlignment="1">
      <alignment horizontal="center" vertical="top" wrapText="1"/>
    </xf>
    <xf numFmtId="49" fontId="10" fillId="5" borderId="75" xfId="0" applyNumberFormat="1" applyFont="1" applyFill="1" applyBorder="1" applyAlignment="1">
      <alignment horizontal="center" vertical="top" wrapText="1"/>
    </xf>
    <xf numFmtId="167" fontId="37" fillId="4" borderId="9" xfId="0" applyNumberFormat="1" applyFont="1" applyFill="1" applyBorder="1" applyAlignment="1">
      <alignment horizontal="center" vertical="center"/>
    </xf>
    <xf numFmtId="49" fontId="35" fillId="11" borderId="9" xfId="0" applyNumberFormat="1" applyFont="1" applyFill="1" applyBorder="1" applyAlignment="1">
      <alignment horizontal="left" vertical="center" wrapText="1"/>
    </xf>
    <xf numFmtId="49" fontId="6" fillId="11" borderId="9" xfId="0" applyNumberFormat="1" applyFont="1" applyFill="1" applyBorder="1" applyAlignment="1">
      <alignment horizontal="center" vertical="top" wrapText="1"/>
    </xf>
    <xf numFmtId="0" fontId="0" fillId="0" borderId="76" xfId="0" applyBorder="1"/>
    <xf numFmtId="166" fontId="29" fillId="4" borderId="3" xfId="0" applyNumberFormat="1" applyFont="1" applyFill="1" applyBorder="1" applyAlignment="1">
      <alignment horizontal="center" vertical="top" wrapText="1"/>
    </xf>
    <xf numFmtId="49" fontId="23" fillId="4" borderId="3" xfId="0" applyNumberFormat="1" applyFont="1" applyFill="1" applyBorder="1" applyAlignment="1">
      <alignment horizontal="right" vertical="center" wrapText="1"/>
    </xf>
    <xf numFmtId="49" fontId="23" fillId="4" borderId="3" xfId="0" applyNumberFormat="1" applyFont="1" applyFill="1" applyBorder="1" applyAlignment="1">
      <alignment horizontal="center" vertical="center" wrapText="1"/>
    </xf>
    <xf numFmtId="2" fontId="34" fillId="4" borderId="3" xfId="0" applyNumberFormat="1" applyFont="1" applyFill="1" applyBorder="1" applyAlignment="1">
      <alignment horizontal="center" vertical="center" wrapText="1"/>
    </xf>
    <xf numFmtId="4" fontId="34" fillId="4" borderId="3" xfId="0" applyNumberFormat="1" applyFont="1" applyFill="1" applyBorder="1" applyAlignment="1">
      <alignment horizontal="center" vertical="center" wrapText="1"/>
    </xf>
    <xf numFmtId="4" fontId="34" fillId="4" borderId="3" xfId="0" applyNumberFormat="1" applyFont="1" applyFill="1" applyBorder="1" applyAlignment="1">
      <alignment vertical="center" wrapText="1"/>
    </xf>
    <xf numFmtId="4" fontId="34" fillId="4" borderId="3" xfId="0" applyNumberFormat="1" applyFont="1" applyFill="1" applyBorder="1" applyAlignment="1">
      <alignment horizontal="center" vertical="top" wrapText="1"/>
    </xf>
    <xf numFmtId="4" fontId="34" fillId="4" borderId="8" xfId="0" applyNumberFormat="1" applyFont="1" applyFill="1" applyBorder="1" applyAlignment="1">
      <alignment horizontal="center" vertical="top" wrapText="1"/>
    </xf>
    <xf numFmtId="1" fontId="6" fillId="4" borderId="5" xfId="0" applyNumberFormat="1" applyFont="1" applyFill="1" applyBorder="1" applyAlignment="1">
      <alignment horizontal="left" vertical="center" wrapText="1"/>
    </xf>
    <xf numFmtId="1" fontId="6" fillId="4" borderId="6" xfId="0" applyNumberFormat="1" applyFont="1" applyFill="1" applyBorder="1" applyAlignment="1">
      <alignment horizontal="center" vertical="center" wrapText="1"/>
    </xf>
    <xf numFmtId="2" fontId="10" fillId="4" borderId="6" xfId="0" applyNumberFormat="1" applyFont="1" applyFill="1" applyBorder="1" applyAlignment="1">
      <alignment horizontal="center" vertical="center" wrapText="1"/>
    </xf>
    <xf numFmtId="4" fontId="10" fillId="4" borderId="6" xfId="0" applyNumberFormat="1" applyFont="1" applyFill="1" applyBorder="1" applyAlignment="1">
      <alignment horizontal="center" vertical="center" wrapText="1"/>
    </xf>
    <xf numFmtId="4" fontId="10" fillId="4" borderId="77" xfId="0" applyNumberFormat="1" applyFont="1" applyFill="1" applyBorder="1" applyAlignment="1">
      <alignment vertical="center" wrapText="1"/>
    </xf>
    <xf numFmtId="4" fontId="10" fillId="4" borderId="78" xfId="0" applyNumberFormat="1" applyFont="1" applyFill="1" applyBorder="1" applyAlignment="1">
      <alignment horizontal="center" vertical="top" wrapText="1"/>
    </xf>
    <xf numFmtId="2" fontId="10" fillId="4" borderId="79" xfId="0" applyNumberFormat="1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right" vertical="top" wrapText="1"/>
    </xf>
    <xf numFmtId="4" fontId="29" fillId="4" borderId="6" xfId="0" applyNumberFormat="1" applyFont="1" applyFill="1" applyBorder="1" applyAlignment="1">
      <alignment horizontal="center" vertical="top" wrapText="1"/>
    </xf>
    <xf numFmtId="4" fontId="31" fillId="4" borderId="6" xfId="0" applyNumberFormat="1" applyFont="1" applyFill="1" applyBorder="1" applyAlignment="1">
      <alignment horizontal="center" vertical="top" wrapText="1"/>
    </xf>
    <xf numFmtId="4" fontId="29" fillId="4" borderId="80" xfId="0" applyNumberFormat="1" applyFont="1" applyFill="1" applyBorder="1" applyAlignment="1">
      <alignment horizontal="right" vertical="top" wrapText="1"/>
    </xf>
    <xf numFmtId="4" fontId="29" fillId="4" borderId="33" xfId="0" applyNumberFormat="1" applyFont="1" applyFill="1" applyBorder="1" applyAlignment="1">
      <alignment horizontal="center" vertical="top" wrapText="1"/>
    </xf>
    <xf numFmtId="49" fontId="0" fillId="0" borderId="44" xfId="0" applyNumberFormat="1" applyBorder="1"/>
    <xf numFmtId="1" fontId="6" fillId="4" borderId="11" xfId="0" applyNumberFormat="1" applyFont="1" applyFill="1" applyBorder="1" applyAlignment="1">
      <alignment horizontal="center" vertical="top" wrapText="1"/>
    </xf>
    <xf numFmtId="1" fontId="6" fillId="4" borderId="12" xfId="0" applyNumberFormat="1" applyFont="1" applyFill="1" applyBorder="1" applyAlignment="1">
      <alignment horizontal="center" vertical="top" wrapText="1"/>
    </xf>
    <xf numFmtId="2" fontId="10" fillId="4" borderId="12" xfId="0" applyNumberFormat="1" applyFont="1" applyFill="1" applyBorder="1" applyAlignment="1">
      <alignment horizontal="center" vertical="top" wrapText="1"/>
    </xf>
    <xf numFmtId="4" fontId="10" fillId="4" borderId="12" xfId="0" applyNumberFormat="1" applyFont="1" applyFill="1" applyBorder="1" applyAlignment="1">
      <alignment horizontal="center" vertical="top" wrapText="1"/>
    </xf>
    <xf numFmtId="4" fontId="11" fillId="0" borderId="3" xfId="0" applyNumberFormat="1" applyFont="1" applyBorder="1" applyAlignment="1">
      <alignment horizontal="right"/>
    </xf>
    <xf numFmtId="49" fontId="16" fillId="12" borderId="10" xfId="0" applyNumberFormat="1" applyFont="1" applyFill="1" applyBorder="1" applyAlignment="1">
      <alignment horizontal="center"/>
    </xf>
    <xf numFmtId="49" fontId="16" fillId="0" borderId="3" xfId="0" applyNumberFormat="1" applyFont="1" applyBorder="1" applyAlignment="1">
      <alignment horizontal="left" wrapText="1"/>
    </xf>
    <xf numFmtId="0" fontId="16" fillId="12" borderId="3" xfId="0" applyFont="1" applyFill="1" applyBorder="1" applyAlignment="1">
      <alignment horizontal="center"/>
    </xf>
    <xf numFmtId="49" fontId="17" fillId="0" borderId="3" xfId="0" applyNumberFormat="1" applyFont="1" applyBorder="1" applyAlignment="1">
      <alignment horizontal="right"/>
    </xf>
    <xf numFmtId="0" fontId="17" fillId="0" borderId="3" xfId="0" applyNumberFormat="1" applyFont="1" applyBorder="1" applyAlignment="1">
      <alignment horizontal="center"/>
    </xf>
    <xf numFmtId="4" fontId="17" fillId="0" borderId="3" xfId="0" applyNumberFormat="1" applyFont="1" applyBorder="1" applyAlignment="1">
      <alignment horizontal="center"/>
    </xf>
    <xf numFmtId="4" fontId="6" fillId="0" borderId="3" xfId="0" applyNumberFormat="1" applyFont="1" applyBorder="1"/>
    <xf numFmtId="4" fontId="17" fillId="0" borderId="3" xfId="0" applyNumberFormat="1" applyFont="1" applyBorder="1" applyAlignment="1">
      <alignment horizontal="right"/>
    </xf>
    <xf numFmtId="0" fontId="16" fillId="12" borderId="10" xfId="0" applyFont="1" applyFill="1" applyBorder="1" applyAlignment="1">
      <alignment horizontal="center"/>
    </xf>
    <xf numFmtId="49" fontId="16" fillId="0" borderId="3" xfId="0" applyNumberFormat="1" applyFont="1" applyBorder="1"/>
    <xf numFmtId="4" fontId="16" fillId="0" borderId="3" xfId="0" applyNumberFormat="1" applyFont="1" applyBorder="1"/>
    <xf numFmtId="4" fontId="38" fillId="0" borderId="3" xfId="0" applyNumberFormat="1" applyFont="1" applyBorder="1" applyAlignment="1">
      <alignment horizontal="center"/>
    </xf>
    <xf numFmtId="4" fontId="38" fillId="0" borderId="3" xfId="0" applyNumberFormat="1" applyFont="1" applyBorder="1"/>
    <xf numFmtId="1" fontId="38" fillId="0" borderId="3" xfId="0" applyNumberFormat="1" applyFont="1" applyBorder="1"/>
    <xf numFmtId="4" fontId="28" fillId="0" borderId="8" xfId="0" applyNumberFormat="1" applyFont="1" applyBorder="1" applyAlignment="1">
      <alignment horizontal="center"/>
    </xf>
    <xf numFmtId="49" fontId="49" fillId="4" borderId="5" xfId="0" applyNumberFormat="1" applyFont="1" applyFill="1" applyBorder="1" applyAlignment="1">
      <alignment horizontal="left" vertical="center" wrapText="1"/>
    </xf>
    <xf numFmtId="4" fontId="10" fillId="4" borderId="7" xfId="0" applyNumberFormat="1" applyFont="1" applyFill="1" applyBorder="1" applyAlignment="1">
      <alignment vertical="center" wrapText="1"/>
    </xf>
    <xf numFmtId="0" fontId="7" fillId="4" borderId="5" xfId="0" applyFont="1" applyFill="1" applyBorder="1" applyAlignment="1">
      <alignment horizontal="right" vertical="center" wrapText="1"/>
    </xf>
    <xf numFmtId="0" fontId="7" fillId="4" borderId="6" xfId="0" applyFont="1" applyFill="1" applyBorder="1" applyAlignment="1">
      <alignment horizontal="right" vertical="center" wrapText="1"/>
    </xf>
    <xf numFmtId="4" fontId="7" fillId="4" borderId="6" xfId="0" applyNumberFormat="1" applyFont="1" applyFill="1" applyBorder="1" applyAlignment="1">
      <alignment horizontal="center" vertical="center" wrapText="1"/>
    </xf>
    <xf numFmtId="4" fontId="7" fillId="4" borderId="77" xfId="0" applyNumberFormat="1" applyFont="1" applyFill="1" applyBorder="1" applyAlignment="1">
      <alignment horizontal="right" vertical="center" wrapText="1"/>
    </xf>
    <xf numFmtId="4" fontId="6" fillId="4" borderId="13" xfId="0" applyNumberFormat="1" applyFont="1" applyFill="1" applyBorder="1" applyAlignment="1">
      <alignment vertical="center" wrapText="1"/>
    </xf>
    <xf numFmtId="49" fontId="23" fillId="4" borderId="10" xfId="0" applyNumberFormat="1" applyFont="1" applyFill="1" applyBorder="1" applyAlignment="1">
      <alignment horizontal="center" vertical="top" wrapText="1"/>
    </xf>
    <xf numFmtId="49" fontId="28" fillId="4" borderId="3" xfId="0" applyNumberFormat="1" applyFont="1" applyFill="1" applyBorder="1" applyAlignment="1">
      <alignment horizontal="right" vertical="center"/>
    </xf>
    <xf numFmtId="0" fontId="0" fillId="4" borderId="2" xfId="0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49" fontId="5" fillId="4" borderId="3" xfId="0" applyNumberFormat="1" applyFont="1" applyFill="1" applyBorder="1" applyAlignment="1">
      <alignment vertical="top" wrapText="1"/>
    </xf>
    <xf numFmtId="0" fontId="5" fillId="4" borderId="3" xfId="0" applyFont="1" applyFill="1" applyBorder="1" applyAlignment="1">
      <alignment horizontal="center" vertical="top" wrapText="1"/>
    </xf>
    <xf numFmtId="4" fontId="5" fillId="4" borderId="3" xfId="0" applyNumberFormat="1" applyFont="1" applyFill="1" applyBorder="1" applyAlignment="1">
      <alignment horizontal="center" vertical="top" wrapText="1"/>
    </xf>
    <xf numFmtId="0" fontId="5" fillId="4" borderId="3" xfId="0" applyNumberFormat="1" applyFont="1" applyFill="1" applyBorder="1" applyAlignment="1">
      <alignment horizontal="center" vertical="top" wrapText="1"/>
    </xf>
    <xf numFmtId="14" fontId="28" fillId="4" borderId="15" xfId="0" applyNumberFormat="1" applyFont="1" applyFill="1" applyBorder="1" applyAlignment="1">
      <alignment horizontal="center" vertical="top" wrapText="1"/>
    </xf>
    <xf numFmtId="0" fontId="16" fillId="4" borderId="47" xfId="0" applyFont="1" applyFill="1" applyBorder="1" applyAlignment="1">
      <alignment horizontal="center" vertical="top" wrapText="1"/>
    </xf>
    <xf numFmtId="0" fontId="0" fillId="13" borderId="0" xfId="0" applyNumberFormat="1" applyFill="1"/>
    <xf numFmtId="166" fontId="0" fillId="0" borderId="0" xfId="0" applyNumberFormat="1"/>
    <xf numFmtId="2" fontId="0" fillId="0" borderId="0" xfId="0" applyNumberFormat="1"/>
    <xf numFmtId="4" fontId="40" fillId="10" borderId="90" xfId="0" applyNumberFormat="1" applyFont="1" applyFill="1" applyBorder="1" applyAlignment="1">
      <alignment horizontal="center" vertical="top" wrapText="1"/>
    </xf>
    <xf numFmtId="0" fontId="0" fillId="0" borderId="47" xfId="0" applyNumberFormat="1" applyBorder="1"/>
    <xf numFmtId="0" fontId="0" fillId="4" borderId="46" xfId="0" applyFill="1" applyBorder="1" applyAlignment="1">
      <alignment vertical="top" wrapText="1"/>
    </xf>
    <xf numFmtId="1" fontId="15" fillId="4" borderId="47" xfId="0" applyNumberFormat="1" applyFont="1" applyFill="1" applyBorder="1" applyAlignment="1">
      <alignment horizontal="left" vertical="top" wrapText="1"/>
    </xf>
    <xf numFmtId="49" fontId="16" fillId="4" borderId="47" xfId="0" applyNumberFormat="1" applyFont="1" applyFill="1" applyBorder="1" applyAlignment="1">
      <alignment horizontal="left" vertical="top" wrapText="1"/>
    </xf>
    <xf numFmtId="1" fontId="27" fillId="4" borderId="47" xfId="0" applyNumberFormat="1" applyFont="1" applyFill="1" applyBorder="1" applyAlignment="1">
      <alignment horizontal="left" vertical="top" wrapText="1"/>
    </xf>
    <xf numFmtId="1" fontId="28" fillId="4" borderId="47" xfId="0" applyNumberFormat="1" applyFont="1" applyFill="1" applyBorder="1" applyAlignment="1">
      <alignment vertical="top" wrapText="1"/>
    </xf>
    <xf numFmtId="1" fontId="41" fillId="4" borderId="47" xfId="0" applyNumberFormat="1" applyFont="1" applyFill="1" applyBorder="1" applyAlignment="1">
      <alignment vertical="top" wrapText="1"/>
    </xf>
    <xf numFmtId="49" fontId="27" fillId="4" borderId="47" xfId="0" applyNumberFormat="1" applyFont="1" applyFill="1" applyBorder="1" applyAlignment="1">
      <alignment horizontal="left" vertical="top" wrapText="1"/>
    </xf>
    <xf numFmtId="0" fontId="34" fillId="4" borderId="47" xfId="0" applyFont="1" applyFill="1" applyBorder="1" applyAlignment="1">
      <alignment vertical="top" wrapText="1"/>
    </xf>
    <xf numFmtId="1" fontId="28" fillId="4" borderId="47" xfId="0" applyNumberFormat="1" applyFont="1" applyFill="1" applyBorder="1" applyAlignment="1">
      <alignment horizontal="left" vertical="top" wrapText="1"/>
    </xf>
    <xf numFmtId="1" fontId="27" fillId="4" borderId="47" xfId="0" applyNumberFormat="1" applyFont="1" applyFill="1" applyBorder="1" applyAlignment="1">
      <alignment horizontal="right" vertical="top" wrapText="1"/>
    </xf>
    <xf numFmtId="1" fontId="30" fillId="4" borderId="47" xfId="0" applyNumberFormat="1" applyFont="1" applyFill="1" applyBorder="1" applyAlignment="1">
      <alignment vertical="top" wrapText="1"/>
    </xf>
    <xf numFmtId="1" fontId="15" fillId="4" borderId="47" xfId="0" applyNumberFormat="1" applyFont="1" applyFill="1" applyBorder="1" applyAlignment="1">
      <alignment vertical="top" wrapText="1"/>
    </xf>
    <xf numFmtId="1" fontId="27" fillId="4" borderId="47" xfId="0" applyNumberFormat="1" applyFont="1" applyFill="1" applyBorder="1" applyAlignment="1">
      <alignment vertical="top" wrapText="1"/>
    </xf>
    <xf numFmtId="49" fontId="27" fillId="4" borderId="47" xfId="0" applyNumberFormat="1" applyFont="1" applyFill="1" applyBorder="1" applyAlignment="1">
      <alignment vertical="top" wrapText="1"/>
    </xf>
    <xf numFmtId="0" fontId="0" fillId="4" borderId="47" xfId="0" applyFill="1" applyBorder="1"/>
    <xf numFmtId="0" fontId="34" fillId="4" borderId="47" xfId="0" applyFont="1" applyFill="1" applyBorder="1"/>
    <xf numFmtId="49" fontId="6" fillId="5" borderId="88" xfId="0" applyNumberFormat="1" applyFont="1" applyFill="1" applyBorder="1" applyAlignment="1">
      <alignment horizontal="center" vertical="top" wrapText="1"/>
    </xf>
    <xf numFmtId="49" fontId="6" fillId="5" borderId="61" xfId="0" applyNumberFormat="1" applyFont="1" applyFill="1" applyBorder="1" applyAlignment="1">
      <alignment horizontal="center" vertical="top" wrapText="1"/>
    </xf>
    <xf numFmtId="49" fontId="10" fillId="5" borderId="61" xfId="0" applyNumberFormat="1" applyFont="1" applyFill="1" applyBorder="1" applyAlignment="1">
      <alignment horizontal="center" vertical="top" wrapText="1"/>
    </xf>
    <xf numFmtId="49" fontId="10" fillId="5" borderId="91" xfId="0" applyNumberFormat="1" applyFont="1" applyFill="1" applyBorder="1" applyAlignment="1">
      <alignment horizontal="center" vertical="top" wrapText="1"/>
    </xf>
    <xf numFmtId="1" fontId="17" fillId="4" borderId="47" xfId="0" applyNumberFormat="1" applyFont="1" applyFill="1" applyBorder="1" applyAlignment="1">
      <alignment vertical="top" wrapText="1"/>
    </xf>
    <xf numFmtId="1" fontId="26" fillId="4" borderId="47" xfId="0" applyNumberFormat="1" applyFont="1" applyFill="1" applyBorder="1" applyAlignment="1">
      <alignment vertical="top" wrapText="1"/>
    </xf>
    <xf numFmtId="1" fontId="33" fillId="4" borderId="47" xfId="0" applyNumberFormat="1" applyFont="1" applyFill="1" applyBorder="1" applyAlignment="1">
      <alignment vertical="top" wrapText="1"/>
    </xf>
    <xf numFmtId="0" fontId="0" fillId="0" borderId="47" xfId="0" applyBorder="1"/>
    <xf numFmtId="1" fontId="32" fillId="4" borderId="47" xfId="0" applyNumberFormat="1" applyFont="1" applyFill="1" applyBorder="1" applyAlignment="1">
      <alignment vertical="top" wrapText="1"/>
    </xf>
    <xf numFmtId="49" fontId="26" fillId="12" borderId="47" xfId="0" applyNumberFormat="1" applyFont="1" applyFill="1" applyBorder="1" applyAlignment="1">
      <alignment horizontal="left"/>
    </xf>
    <xf numFmtId="1" fontId="26" fillId="0" borderId="47" xfId="0" applyNumberFormat="1" applyFont="1" applyBorder="1" applyAlignment="1">
      <alignment horizontal="left"/>
    </xf>
    <xf numFmtId="1" fontId="28" fillId="0" borderId="47" xfId="0" applyNumberFormat="1" applyFont="1" applyBorder="1"/>
    <xf numFmtId="1" fontId="30" fillId="0" borderId="47" xfId="0" applyNumberFormat="1" applyFont="1" applyBorder="1"/>
    <xf numFmtId="0" fontId="16" fillId="4" borderId="47" xfId="0" applyFont="1" applyFill="1" applyBorder="1" applyAlignment="1">
      <alignment horizontal="center" vertical="center"/>
    </xf>
    <xf numFmtId="2" fontId="28" fillId="4" borderId="47" xfId="0" applyNumberFormat="1" applyFont="1" applyFill="1" applyBorder="1" applyAlignment="1">
      <alignment horizontal="center" vertical="top" wrapText="1"/>
    </xf>
    <xf numFmtId="0" fontId="28" fillId="4" borderId="47" xfId="0" applyFont="1" applyFill="1" applyBorder="1" applyAlignment="1">
      <alignment horizontal="center" vertical="top" wrapText="1"/>
    </xf>
    <xf numFmtId="0" fontId="27" fillId="4" borderId="47" xfId="0" applyFont="1" applyFill="1" applyBorder="1" applyAlignment="1">
      <alignment vertical="top" wrapText="1"/>
    </xf>
    <xf numFmtId="0" fontId="28" fillId="4" borderId="47" xfId="0" applyFont="1" applyFill="1" applyBorder="1" applyAlignment="1">
      <alignment vertical="top" wrapText="1"/>
    </xf>
    <xf numFmtId="14" fontId="28" fillId="4" borderId="47" xfId="0" applyNumberFormat="1" applyFont="1" applyFill="1" applyBorder="1" applyAlignment="1">
      <alignment horizontal="center" vertical="top" wrapText="1"/>
    </xf>
    <xf numFmtId="49" fontId="6" fillId="4" borderId="89" xfId="0" applyNumberFormat="1" applyFont="1" applyFill="1" applyBorder="1" applyAlignment="1">
      <alignment horizontal="center" vertical="top" wrapText="1"/>
    </xf>
    <xf numFmtId="49" fontId="35" fillId="11" borderId="89" xfId="0" applyNumberFormat="1" applyFont="1" applyFill="1" applyBorder="1" applyAlignment="1">
      <alignment horizontal="left" vertical="center"/>
    </xf>
    <xf numFmtId="0" fontId="36" fillId="4" borderId="89" xfId="0" applyFont="1" applyFill="1" applyBorder="1" applyAlignment="1">
      <alignment horizontal="center" vertical="center"/>
    </xf>
    <xf numFmtId="166" fontId="37" fillId="4" borderId="89" xfId="0" applyNumberFormat="1" applyFont="1" applyFill="1" applyBorder="1" applyAlignment="1">
      <alignment horizontal="center" vertical="center"/>
    </xf>
    <xf numFmtId="166" fontId="37" fillId="4" borderId="88" xfId="0" applyNumberFormat="1" applyFont="1" applyFill="1" applyBorder="1" applyAlignment="1">
      <alignment horizontal="center" vertical="center"/>
    </xf>
    <xf numFmtId="166" fontId="37" fillId="4" borderId="61" xfId="0" applyNumberFormat="1" applyFont="1" applyFill="1" applyBorder="1" applyAlignment="1">
      <alignment horizontal="center" vertical="center"/>
    </xf>
    <xf numFmtId="166" fontId="37" fillId="4" borderId="91" xfId="0" applyNumberFormat="1" applyFont="1" applyFill="1" applyBorder="1" applyAlignment="1">
      <alignment horizontal="center" vertical="center"/>
    </xf>
    <xf numFmtId="49" fontId="6" fillId="5" borderId="92" xfId="0" applyNumberFormat="1" applyFont="1" applyFill="1" applyBorder="1" applyAlignment="1">
      <alignment horizontal="center" vertical="top" wrapText="1"/>
    </xf>
    <xf numFmtId="49" fontId="10" fillId="5" borderId="92" xfId="0" applyNumberFormat="1" applyFont="1" applyFill="1" applyBorder="1" applyAlignment="1">
      <alignment horizontal="center" vertical="top" wrapText="1"/>
    </xf>
    <xf numFmtId="49" fontId="16" fillId="4" borderId="87" xfId="0" applyNumberFormat="1" applyFont="1" applyFill="1" applyBorder="1" applyAlignment="1">
      <alignment horizontal="center" vertical="top" wrapText="1"/>
    </xf>
    <xf numFmtId="49" fontId="16" fillId="4" borderId="59" xfId="0" applyNumberFormat="1" applyFont="1" applyFill="1" applyBorder="1" applyAlignment="1">
      <alignment horizontal="left" vertical="top" wrapText="1"/>
    </xf>
    <xf numFmtId="1" fontId="16" fillId="11" borderId="59" xfId="0" applyNumberFormat="1" applyFont="1" applyFill="1" applyBorder="1" applyAlignment="1">
      <alignment horizontal="center" vertical="top" wrapText="1"/>
    </xf>
    <xf numFmtId="2" fontId="38" fillId="11" borderId="59" xfId="0" applyNumberFormat="1" applyFont="1" applyFill="1" applyBorder="1" applyAlignment="1">
      <alignment horizontal="center" vertical="top" wrapText="1"/>
    </xf>
    <xf numFmtId="4" fontId="38" fillId="11" borderId="59" xfId="0" applyNumberFormat="1" applyFont="1" applyFill="1" applyBorder="1" applyAlignment="1">
      <alignment horizontal="center" vertical="top" wrapText="1"/>
    </xf>
    <xf numFmtId="4" fontId="38" fillId="11" borderId="90" xfId="0" applyNumberFormat="1" applyFont="1" applyFill="1" applyBorder="1" applyAlignment="1">
      <alignment horizontal="center" vertical="top" wrapText="1"/>
    </xf>
    <xf numFmtId="0" fontId="16" fillId="4" borderId="92" xfId="0" applyFont="1" applyFill="1" applyBorder="1" applyAlignment="1">
      <alignment horizontal="center" vertical="top" wrapText="1"/>
    </xf>
    <xf numFmtId="4" fontId="28" fillId="9" borderId="92" xfId="0" applyNumberFormat="1" applyFont="1" applyFill="1" applyBorder="1" applyAlignment="1">
      <alignment horizontal="center" vertical="top" wrapText="1"/>
    </xf>
    <xf numFmtId="4" fontId="28" fillId="9" borderId="92" xfId="0" applyNumberFormat="1" applyFont="1" applyFill="1" applyBorder="1" applyAlignment="1">
      <alignment vertical="top" wrapText="1"/>
    </xf>
    <xf numFmtId="4" fontId="38" fillId="9" borderId="92" xfId="0" applyNumberFormat="1" applyFont="1" applyFill="1" applyBorder="1" applyAlignment="1">
      <alignment vertical="top" wrapText="1"/>
    </xf>
    <xf numFmtId="4" fontId="38" fillId="9" borderId="92" xfId="0" applyNumberFormat="1" applyFont="1" applyFill="1" applyBorder="1" applyAlignment="1">
      <alignment horizontal="center" vertical="top" wrapText="1"/>
    </xf>
    <xf numFmtId="0" fontId="0" fillId="4" borderId="92" xfId="0" applyFill="1" applyBorder="1"/>
    <xf numFmtId="0" fontId="0" fillId="0" borderId="92" xfId="0" applyNumberFormat="1" applyBorder="1"/>
    <xf numFmtId="9" fontId="38" fillId="9" borderId="92" xfId="0" applyNumberFormat="1" applyFont="1" applyFill="1" applyBorder="1" applyAlignment="1">
      <alignment horizontal="center" vertical="top" wrapText="1"/>
    </xf>
    <xf numFmtId="165" fontId="38" fillId="9" borderId="92" xfId="0" applyNumberFormat="1" applyFont="1" applyFill="1" applyBorder="1" applyAlignment="1">
      <alignment horizontal="center" vertical="top" wrapText="1"/>
    </xf>
    <xf numFmtId="4" fontId="28" fillId="5" borderId="92" xfId="0" applyNumberFormat="1" applyFont="1" applyFill="1" applyBorder="1" applyAlignment="1">
      <alignment horizontal="center" vertical="top" wrapText="1"/>
    </xf>
    <xf numFmtId="49" fontId="16" fillId="4" borderId="92" xfId="0" applyNumberFormat="1" applyFont="1" applyFill="1" applyBorder="1" applyAlignment="1">
      <alignment vertical="top" wrapText="1"/>
    </xf>
    <xf numFmtId="4" fontId="16" fillId="4" borderId="92" xfId="0" applyNumberFormat="1" applyFont="1" applyFill="1" applyBorder="1" applyAlignment="1">
      <alignment vertical="top" wrapText="1"/>
    </xf>
    <xf numFmtId="4" fontId="38" fillId="4" borderId="92" xfId="0" applyNumberFormat="1" applyFont="1" applyFill="1" applyBorder="1" applyAlignment="1">
      <alignment horizontal="center" vertical="top" wrapText="1"/>
    </xf>
    <xf numFmtId="4" fontId="38" fillId="4" borderId="92" xfId="0" applyNumberFormat="1" applyFont="1" applyFill="1" applyBorder="1" applyAlignment="1">
      <alignment vertical="top" wrapText="1"/>
    </xf>
    <xf numFmtId="1" fontId="38" fillId="4" borderId="92" xfId="0" applyNumberFormat="1" applyFont="1" applyFill="1" applyBorder="1" applyAlignment="1">
      <alignment vertical="top" wrapText="1"/>
    </xf>
    <xf numFmtId="4" fontId="28" fillId="4" borderId="92" xfId="0" applyNumberFormat="1" applyFont="1" applyFill="1" applyBorder="1" applyAlignment="1">
      <alignment horizontal="center" vertical="top" wrapText="1"/>
    </xf>
    <xf numFmtId="4" fontId="40" fillId="10" borderId="92" xfId="0" applyNumberFormat="1" applyFont="1" applyFill="1" applyBorder="1" applyAlignment="1">
      <alignment horizontal="center" vertical="top" wrapText="1"/>
    </xf>
    <xf numFmtId="2" fontId="27" fillId="4" borderId="47" xfId="0" applyNumberFormat="1" applyFont="1" applyFill="1" applyBorder="1" applyAlignment="1">
      <alignment horizontal="center" vertical="top" wrapText="1"/>
    </xf>
    <xf numFmtId="0" fontId="27" fillId="4" borderId="47" xfId="0" applyFont="1" applyFill="1" applyBorder="1" applyAlignment="1">
      <alignment horizontal="center" vertical="top" wrapText="1"/>
    </xf>
    <xf numFmtId="14" fontId="27" fillId="4" borderId="47" xfId="0" applyNumberFormat="1" applyFont="1" applyFill="1" applyBorder="1" applyAlignment="1">
      <alignment horizontal="center" vertical="top" wrapText="1"/>
    </xf>
    <xf numFmtId="1" fontId="0" fillId="4" borderId="47" xfId="0" applyNumberFormat="1" applyFill="1" applyBorder="1" applyAlignment="1">
      <alignment vertical="top" wrapText="1"/>
    </xf>
    <xf numFmtId="49" fontId="6" fillId="4" borderId="92" xfId="0" applyNumberFormat="1" applyFont="1" applyFill="1" applyBorder="1" applyAlignment="1">
      <alignment horizontal="center" vertical="top" wrapText="1"/>
    </xf>
    <xf numFmtId="49" fontId="35" fillId="11" borderId="92" xfId="0" applyNumberFormat="1" applyFont="1" applyFill="1" applyBorder="1" applyAlignment="1">
      <alignment horizontal="left" vertical="center"/>
    </xf>
    <xf numFmtId="0" fontId="36" fillId="4" borderId="92" xfId="0" applyFont="1" applyFill="1" applyBorder="1" applyAlignment="1">
      <alignment horizontal="center" vertical="center"/>
    </xf>
    <xf numFmtId="166" fontId="36" fillId="4" borderId="92" xfId="0" applyNumberFormat="1" applyFont="1" applyFill="1" applyBorder="1" applyAlignment="1">
      <alignment horizontal="center" vertical="center"/>
    </xf>
    <xf numFmtId="0" fontId="35" fillId="11" borderId="92" xfId="0" applyFont="1" applyFill="1" applyBorder="1" applyAlignment="1">
      <alignment horizontal="left" vertical="center"/>
    </xf>
    <xf numFmtId="49" fontId="6" fillId="4" borderId="92" xfId="0" applyNumberFormat="1" applyFont="1" applyFill="1" applyBorder="1" applyAlignment="1">
      <alignment horizontal="left" vertical="center" wrapText="1"/>
    </xf>
    <xf numFmtId="49" fontId="6" fillId="4" borderId="92" xfId="0" applyNumberFormat="1" applyFont="1" applyFill="1" applyBorder="1" applyAlignment="1">
      <alignment horizontal="center" vertical="center" wrapText="1"/>
    </xf>
    <xf numFmtId="2" fontId="6" fillId="4" borderId="92" xfId="0" applyNumberFormat="1" applyFont="1" applyFill="1" applyBorder="1" applyAlignment="1">
      <alignment horizontal="center" vertical="center" wrapText="1"/>
    </xf>
    <xf numFmtId="4" fontId="6" fillId="4" borderId="92" xfId="0" applyNumberFormat="1" applyFont="1" applyFill="1" applyBorder="1" applyAlignment="1">
      <alignment horizontal="center" vertical="center" wrapText="1"/>
    </xf>
    <xf numFmtId="4" fontId="6" fillId="4" borderId="92" xfId="0" applyNumberFormat="1" applyFont="1" applyFill="1" applyBorder="1" applyAlignment="1">
      <alignment vertical="center" wrapText="1"/>
    </xf>
    <xf numFmtId="49" fontId="7" fillId="4" borderId="92" xfId="0" applyNumberFormat="1" applyFont="1" applyFill="1" applyBorder="1" applyAlignment="1">
      <alignment horizontal="right" vertical="center" wrapText="1"/>
    </xf>
    <xf numFmtId="4" fontId="7" fillId="4" borderId="92" xfId="0" applyNumberFormat="1" applyFont="1" applyFill="1" applyBorder="1" applyAlignment="1">
      <alignment horizontal="center" vertical="center" wrapText="1"/>
    </xf>
    <xf numFmtId="4" fontId="7" fillId="4" borderId="92" xfId="0" applyNumberFormat="1" applyFont="1" applyFill="1" applyBorder="1" applyAlignment="1">
      <alignment horizontal="right" vertical="center" wrapText="1"/>
    </xf>
    <xf numFmtId="0" fontId="18" fillId="4" borderId="92" xfId="0" applyFont="1" applyFill="1" applyBorder="1" applyAlignment="1">
      <alignment horizontal="left" vertical="top" wrapText="1"/>
    </xf>
    <xf numFmtId="49" fontId="35" fillId="4" borderId="92" xfId="0" applyNumberFormat="1" applyFont="1" applyFill="1" applyBorder="1" applyAlignment="1">
      <alignment horizontal="left" vertical="center"/>
    </xf>
    <xf numFmtId="49" fontId="36" fillId="4" borderId="92" xfId="0" applyNumberFormat="1" applyFont="1" applyFill="1" applyBorder="1" applyAlignment="1">
      <alignment horizontal="center" vertical="center"/>
    </xf>
    <xf numFmtId="166" fontId="37" fillId="4" borderId="92" xfId="0" applyNumberFormat="1" applyFont="1" applyFill="1" applyBorder="1" applyAlignment="1">
      <alignment horizontal="center" vertical="center"/>
    </xf>
    <xf numFmtId="49" fontId="36" fillId="4" borderId="92" xfId="0" applyNumberFormat="1" applyFont="1" applyFill="1" applyBorder="1" applyAlignment="1">
      <alignment horizontal="right" vertical="center"/>
    </xf>
    <xf numFmtId="49" fontId="36" fillId="4" borderId="92" xfId="0" applyNumberFormat="1" applyFont="1" applyFill="1" applyBorder="1" applyAlignment="1">
      <alignment horizontal="left" vertical="center" wrapText="1"/>
    </xf>
    <xf numFmtId="49" fontId="35" fillId="4" borderId="92" xfId="0" applyNumberFormat="1" applyFont="1" applyFill="1" applyBorder="1" applyAlignment="1">
      <alignment horizontal="left" vertical="center" wrapText="1"/>
    </xf>
    <xf numFmtId="0" fontId="36" fillId="4" borderId="92" xfId="0" applyFont="1" applyFill="1" applyBorder="1" applyAlignment="1">
      <alignment horizontal="right" vertical="center"/>
    </xf>
    <xf numFmtId="1" fontId="6" fillId="4" borderId="92" xfId="0" applyNumberFormat="1" applyFont="1" applyFill="1" applyBorder="1" applyAlignment="1">
      <alignment horizontal="center" vertical="top" wrapText="1"/>
    </xf>
    <xf numFmtId="2" fontId="6" fillId="4" borderId="92" xfId="0" applyNumberFormat="1" applyFont="1" applyFill="1" applyBorder="1" applyAlignment="1">
      <alignment horizontal="center" vertical="top" wrapText="1"/>
    </xf>
    <xf numFmtId="4" fontId="6" fillId="4" borderId="92" xfId="0" applyNumberFormat="1" applyFont="1" applyFill="1" applyBorder="1" applyAlignment="1">
      <alignment horizontal="center" vertical="top" wrapText="1"/>
    </xf>
    <xf numFmtId="0" fontId="0" fillId="4" borderId="92" xfId="0" applyFill="1" applyBorder="1" applyAlignment="1">
      <alignment vertical="top" wrapText="1"/>
    </xf>
    <xf numFmtId="0" fontId="0" fillId="0" borderId="92" xfId="0" applyBorder="1"/>
    <xf numFmtId="2" fontId="6" fillId="8" borderId="92" xfId="0" applyNumberFormat="1" applyFont="1" applyFill="1" applyBorder="1" applyAlignment="1">
      <alignment horizontal="center" vertical="center" wrapText="1"/>
    </xf>
    <xf numFmtId="4" fontId="43" fillId="4" borderId="92" xfId="0" applyNumberFormat="1" applyFont="1" applyFill="1" applyBorder="1" applyAlignment="1">
      <alignment horizontal="center" vertical="center" wrapText="1"/>
    </xf>
    <xf numFmtId="49" fontId="14" fillId="4" borderId="92" xfId="0" applyNumberFormat="1" applyFont="1" applyFill="1" applyBorder="1" applyAlignment="1">
      <alignment horizontal="left" vertical="center" wrapText="1"/>
    </xf>
    <xf numFmtId="49" fontId="14" fillId="4" borderId="92" xfId="0" applyNumberFormat="1" applyFont="1" applyFill="1" applyBorder="1" applyAlignment="1">
      <alignment horizontal="center" vertical="center" wrapText="1"/>
    </xf>
    <xf numFmtId="2" fontId="14" fillId="4" borderId="92" xfId="0" applyNumberFormat="1" applyFont="1" applyFill="1" applyBorder="1" applyAlignment="1">
      <alignment vertical="center" wrapText="1"/>
    </xf>
    <xf numFmtId="4" fontId="14" fillId="4" borderId="92" xfId="0" applyNumberFormat="1" applyFont="1" applyFill="1" applyBorder="1" applyAlignment="1">
      <alignment vertical="center" wrapText="1"/>
    </xf>
    <xf numFmtId="4" fontId="8" fillId="4" borderId="92" xfId="0" applyNumberFormat="1" applyFont="1" applyFill="1" applyBorder="1" applyAlignment="1">
      <alignment horizontal="right" vertical="center" wrapText="1"/>
    </xf>
    <xf numFmtId="49" fontId="8" fillId="4" borderId="92" xfId="0" applyNumberFormat="1" applyFont="1" applyFill="1" applyBorder="1" applyAlignment="1">
      <alignment horizontal="right" vertical="center" wrapText="1"/>
    </xf>
    <xf numFmtId="2" fontId="8" fillId="4" borderId="92" xfId="0" applyNumberFormat="1" applyFont="1" applyFill="1" applyBorder="1" applyAlignment="1">
      <alignment vertical="center" wrapText="1"/>
    </xf>
    <xf numFmtId="4" fontId="8" fillId="4" borderId="92" xfId="0" applyNumberFormat="1" applyFont="1" applyFill="1" applyBorder="1" applyAlignment="1">
      <alignment vertical="center" wrapText="1"/>
    </xf>
    <xf numFmtId="49" fontId="6" fillId="4" borderId="92" xfId="0" applyNumberFormat="1" applyFont="1" applyFill="1" applyBorder="1" applyAlignment="1">
      <alignment horizontal="left" wrapText="1"/>
    </xf>
    <xf numFmtId="2" fontId="6" fillId="4" borderId="92" xfId="0" applyNumberFormat="1" applyFont="1" applyFill="1" applyBorder="1" applyAlignment="1">
      <alignment horizontal="center" wrapText="1"/>
    </xf>
    <xf numFmtId="4" fontId="6" fillId="4" borderId="92" xfId="0" applyNumberFormat="1" applyFont="1" applyFill="1" applyBorder="1" applyAlignment="1">
      <alignment horizontal="center" wrapText="1"/>
    </xf>
    <xf numFmtId="4" fontId="6" fillId="4" borderId="92" xfId="0" applyNumberFormat="1" applyFont="1" applyFill="1" applyBorder="1" applyAlignment="1">
      <alignment horizontal="right" vertical="center" wrapText="1"/>
    </xf>
    <xf numFmtId="49" fontId="16" fillId="4" borderId="92" xfId="0" applyNumberFormat="1" applyFont="1" applyFill="1" applyBorder="1" applyAlignment="1">
      <alignment horizontal="left" vertical="top" wrapText="1"/>
    </xf>
    <xf numFmtId="49" fontId="16" fillId="4" borderId="92" xfId="0" applyNumberFormat="1" applyFont="1" applyFill="1" applyBorder="1" applyAlignment="1">
      <alignment horizontal="center" vertical="top" wrapText="1"/>
    </xf>
    <xf numFmtId="0" fontId="16" fillId="4" borderId="92" xfId="0" applyNumberFormat="1" applyFont="1" applyFill="1" applyBorder="1" applyAlignment="1">
      <alignment horizontal="center" vertical="top" wrapText="1"/>
    </xf>
    <xf numFmtId="4" fontId="16" fillId="4" borderId="92" xfId="0" applyNumberFormat="1" applyFont="1" applyFill="1" applyBorder="1" applyAlignment="1">
      <alignment horizontal="center" vertical="top" wrapText="1"/>
    </xf>
    <xf numFmtId="4" fontId="17" fillId="4" borderId="92" xfId="0" applyNumberFormat="1" applyFont="1" applyFill="1" applyBorder="1" applyAlignment="1">
      <alignment horizontal="right" vertical="top" wrapText="1"/>
    </xf>
    <xf numFmtId="49" fontId="17" fillId="4" borderId="92" xfId="0" applyNumberFormat="1" applyFont="1" applyFill="1" applyBorder="1" applyAlignment="1">
      <alignment horizontal="right" vertical="top" wrapText="1"/>
    </xf>
    <xf numFmtId="0" fontId="17" fillId="4" borderId="92" xfId="0" applyNumberFormat="1" applyFont="1" applyFill="1" applyBorder="1" applyAlignment="1">
      <alignment horizontal="center" vertical="top" wrapText="1"/>
    </xf>
    <xf numFmtId="4" fontId="17" fillId="4" borderId="92" xfId="0" applyNumberFormat="1" applyFont="1" applyFill="1" applyBorder="1" applyAlignment="1">
      <alignment horizontal="center" vertical="top" wrapText="1"/>
    </xf>
    <xf numFmtId="4" fontId="33" fillId="4" borderId="92" xfId="0" applyNumberFormat="1" applyFont="1" applyFill="1" applyBorder="1" applyAlignment="1">
      <alignment horizontal="center" vertical="top" wrapText="1"/>
    </xf>
    <xf numFmtId="0" fontId="17" fillId="4" borderId="92" xfId="0" applyFont="1" applyFill="1" applyBorder="1" applyAlignment="1">
      <alignment horizontal="center" vertical="top" wrapText="1"/>
    </xf>
    <xf numFmtId="49" fontId="6" fillId="11" borderId="92" xfId="0" applyNumberFormat="1" applyFont="1" applyFill="1" applyBorder="1" applyAlignment="1">
      <alignment horizontal="center" vertical="top" wrapText="1"/>
    </xf>
    <xf numFmtId="2" fontId="16" fillId="4" borderId="92" xfId="0" applyNumberFormat="1" applyFont="1" applyFill="1" applyBorder="1" applyAlignment="1">
      <alignment horizontal="center" vertical="top" wrapText="1"/>
    </xf>
    <xf numFmtId="2" fontId="16" fillId="8" borderId="92" xfId="0" applyNumberFormat="1" applyFont="1" applyFill="1" applyBorder="1" applyAlignment="1">
      <alignment horizontal="center" vertical="top" wrapText="1"/>
    </xf>
    <xf numFmtId="4" fontId="8" fillId="4" borderId="92" xfId="0" applyNumberFormat="1" applyFont="1" applyFill="1" applyBorder="1" applyAlignment="1">
      <alignment horizontal="right" vertical="top" wrapText="1"/>
    </xf>
    <xf numFmtId="2" fontId="8" fillId="4" borderId="92" xfId="0" applyNumberFormat="1" applyFont="1" applyFill="1" applyBorder="1" applyAlignment="1">
      <alignment horizontal="right" vertical="center" wrapText="1"/>
    </xf>
    <xf numFmtId="0" fontId="8" fillId="4" borderId="92" xfId="0" applyFont="1" applyFill="1" applyBorder="1" applyAlignment="1">
      <alignment horizontal="right" vertical="center" wrapText="1"/>
    </xf>
    <xf numFmtId="49" fontId="16" fillId="4" borderId="92" xfId="0" applyNumberFormat="1" applyFont="1" applyFill="1" applyBorder="1" applyAlignment="1">
      <alignment horizontal="center" vertical="center" wrapText="1"/>
    </xf>
    <xf numFmtId="49" fontId="16" fillId="4" borderId="92" xfId="0" applyNumberFormat="1" applyFont="1" applyFill="1" applyBorder="1" applyAlignment="1">
      <alignment horizontal="left" vertical="center" wrapText="1"/>
    </xf>
    <xf numFmtId="2" fontId="16" fillId="4" borderId="92" xfId="0" applyNumberFormat="1" applyFont="1" applyFill="1" applyBorder="1" applyAlignment="1">
      <alignment horizontal="center" vertical="center" wrapText="1"/>
    </xf>
    <xf numFmtId="4" fontId="16" fillId="4" borderId="92" xfId="0" applyNumberFormat="1" applyFont="1" applyFill="1" applyBorder="1" applyAlignment="1">
      <alignment horizontal="center" vertical="center" wrapText="1"/>
    </xf>
    <xf numFmtId="49" fontId="17" fillId="4" borderId="92" xfId="0" applyNumberFormat="1" applyFont="1" applyFill="1" applyBorder="1" applyAlignment="1">
      <alignment horizontal="right" vertical="center" wrapText="1"/>
    </xf>
    <xf numFmtId="4" fontId="17" fillId="4" borderId="92" xfId="0" applyNumberFormat="1" applyFont="1" applyFill="1" applyBorder="1" applyAlignment="1">
      <alignment horizontal="center" vertical="center" wrapText="1"/>
    </xf>
    <xf numFmtId="4" fontId="33" fillId="4" borderId="92" xfId="0" applyNumberFormat="1" applyFont="1" applyFill="1" applyBorder="1" applyAlignment="1">
      <alignment horizontal="center" vertical="center" wrapText="1"/>
    </xf>
    <xf numFmtId="49" fontId="6" fillId="4" borderId="92" xfId="0" applyNumberFormat="1" applyFont="1" applyFill="1" applyBorder="1" applyAlignment="1">
      <alignment horizontal="left" vertical="top" wrapText="1"/>
    </xf>
    <xf numFmtId="49" fontId="7" fillId="4" borderId="92" xfId="0" applyNumberFormat="1" applyFont="1" applyFill="1" applyBorder="1" applyAlignment="1">
      <alignment horizontal="right" vertical="top" wrapText="1"/>
    </xf>
    <xf numFmtId="4" fontId="7" fillId="4" borderId="92" xfId="0" applyNumberFormat="1" applyFont="1" applyFill="1" applyBorder="1" applyAlignment="1">
      <alignment horizontal="center" vertical="top" wrapText="1"/>
    </xf>
    <xf numFmtId="4" fontId="7" fillId="4" borderId="92" xfId="0" applyNumberFormat="1" applyFont="1" applyFill="1" applyBorder="1" applyAlignment="1">
      <alignment horizontal="right" vertical="top" wrapText="1"/>
    </xf>
    <xf numFmtId="2" fontId="44" fillId="4" borderId="92" xfId="0" applyNumberFormat="1" applyFont="1" applyFill="1" applyBorder="1" applyAlignment="1">
      <alignment vertical="center" wrapText="1"/>
    </xf>
    <xf numFmtId="2" fontId="6" fillId="8" borderId="92" xfId="0" applyNumberFormat="1" applyFont="1" applyFill="1" applyBorder="1" applyAlignment="1">
      <alignment horizontal="center" vertical="top" wrapText="1"/>
    </xf>
    <xf numFmtId="1" fontId="17" fillId="4" borderId="92" xfId="0" applyNumberFormat="1" applyFont="1" applyFill="1" applyBorder="1" applyAlignment="1">
      <alignment horizontal="center" vertical="top" wrapText="1"/>
    </xf>
    <xf numFmtId="0" fontId="38" fillId="4" borderId="92" xfId="0" applyNumberFormat="1" applyFont="1" applyFill="1" applyBorder="1" applyAlignment="1">
      <alignment horizontal="center" vertical="top" wrapText="1"/>
    </xf>
    <xf numFmtId="4" fontId="29" fillId="4" borderId="92" xfId="0" applyNumberFormat="1" applyFont="1" applyFill="1" applyBorder="1" applyAlignment="1">
      <alignment horizontal="right" vertical="top" wrapText="1"/>
    </xf>
    <xf numFmtId="0" fontId="38" fillId="4" borderId="92" xfId="0" applyFont="1" applyFill="1" applyBorder="1" applyAlignment="1">
      <alignment horizontal="center" vertical="top" wrapText="1"/>
    </xf>
    <xf numFmtId="0" fontId="29" fillId="4" borderId="92" xfId="0" applyNumberFormat="1" applyFont="1" applyFill="1" applyBorder="1" applyAlignment="1">
      <alignment horizontal="center" vertical="top" wrapText="1"/>
    </xf>
    <xf numFmtId="4" fontId="29" fillId="4" borderId="92" xfId="0" applyNumberFormat="1" applyFont="1" applyFill="1" applyBorder="1" applyAlignment="1">
      <alignment horizontal="center" vertical="top" wrapText="1"/>
    </xf>
    <xf numFmtId="4" fontId="31" fillId="4" borderId="92" xfId="0" applyNumberFormat="1" applyFont="1" applyFill="1" applyBorder="1" applyAlignment="1">
      <alignment horizontal="center" vertical="top" wrapText="1"/>
    </xf>
    <xf numFmtId="0" fontId="29" fillId="4" borderId="92" xfId="0" applyFont="1" applyFill="1" applyBorder="1" applyAlignment="1">
      <alignment horizontal="center" vertical="top" wrapText="1"/>
    </xf>
    <xf numFmtId="49" fontId="38" fillId="4" borderId="92" xfId="0" applyNumberFormat="1" applyFont="1" applyFill="1" applyBorder="1" applyAlignment="1">
      <alignment horizontal="left" vertical="center" wrapText="1"/>
    </xf>
    <xf numFmtId="49" fontId="28" fillId="4" borderId="92" xfId="0" applyNumberFormat="1" applyFont="1" applyFill="1" applyBorder="1" applyAlignment="1">
      <alignment horizontal="center" vertical="center"/>
    </xf>
    <xf numFmtId="166" fontId="28" fillId="4" borderId="92" xfId="0" applyNumberFormat="1" applyFont="1" applyFill="1" applyBorder="1" applyAlignment="1">
      <alignment horizontal="center" vertical="center"/>
    </xf>
    <xf numFmtId="166" fontId="38" fillId="4" borderId="92" xfId="0" applyNumberFormat="1" applyFont="1" applyFill="1" applyBorder="1" applyAlignment="1">
      <alignment horizontal="center" vertical="center"/>
    </xf>
    <xf numFmtId="4" fontId="10" fillId="4" borderId="92" xfId="0" applyNumberFormat="1" applyFont="1" applyFill="1" applyBorder="1" applyAlignment="1">
      <alignment horizontal="center" vertical="top" wrapText="1"/>
    </xf>
    <xf numFmtId="49" fontId="16" fillId="13" borderId="92" xfId="0" applyNumberFormat="1" applyFont="1" applyFill="1" applyBorder="1" applyAlignment="1">
      <alignment horizontal="center" vertical="top" wrapText="1"/>
    </xf>
    <xf numFmtId="2" fontId="16" fillId="13" borderId="92" xfId="0" applyNumberFormat="1" applyFont="1" applyFill="1" applyBorder="1" applyAlignment="1">
      <alignment horizontal="center" vertical="top" wrapText="1"/>
    </xf>
    <xf numFmtId="4" fontId="16" fillId="13" borderId="92" xfId="0" applyNumberFormat="1" applyFont="1" applyFill="1" applyBorder="1" applyAlignment="1">
      <alignment horizontal="center" vertical="top" wrapText="1"/>
    </xf>
    <xf numFmtId="4" fontId="27" fillId="9" borderId="92" xfId="0" applyNumberFormat="1" applyFont="1" applyFill="1" applyBorder="1" applyAlignment="1">
      <alignment horizontal="center" vertical="top" wrapText="1"/>
    </xf>
    <xf numFmtId="4" fontId="27" fillId="9" borderId="92" xfId="0" applyNumberFormat="1" applyFont="1" applyFill="1" applyBorder="1" applyAlignment="1">
      <alignment vertical="top" wrapText="1"/>
    </xf>
    <xf numFmtId="4" fontId="16" fillId="9" borderId="92" xfId="0" applyNumberFormat="1" applyFont="1" applyFill="1" applyBorder="1" applyAlignment="1">
      <alignment vertical="top" wrapText="1"/>
    </xf>
    <xf numFmtId="4" fontId="16" fillId="9" borderId="92" xfId="0" applyNumberFormat="1" applyFont="1" applyFill="1" applyBorder="1" applyAlignment="1">
      <alignment horizontal="center" vertical="top" wrapText="1"/>
    </xf>
    <xf numFmtId="9" fontId="16" fillId="9" borderId="92" xfId="0" applyNumberFormat="1" applyFont="1" applyFill="1" applyBorder="1" applyAlignment="1">
      <alignment horizontal="center" vertical="top" wrapText="1"/>
    </xf>
    <xf numFmtId="165" fontId="16" fillId="9" borderId="92" xfId="0" applyNumberFormat="1" applyFont="1" applyFill="1" applyBorder="1" applyAlignment="1">
      <alignment horizontal="center" vertical="top" wrapText="1"/>
    </xf>
    <xf numFmtId="4" fontId="27" fillId="5" borderId="92" xfId="0" applyNumberFormat="1" applyFont="1" applyFill="1" applyBorder="1" applyAlignment="1">
      <alignment horizontal="center" vertical="top" wrapText="1"/>
    </xf>
    <xf numFmtId="9" fontId="16" fillId="4" borderId="92" xfId="0" applyNumberFormat="1" applyFont="1" applyFill="1" applyBorder="1" applyAlignment="1">
      <alignment vertical="top" wrapText="1"/>
    </xf>
    <xf numFmtId="4" fontId="27" fillId="4" borderId="92" xfId="0" applyNumberFormat="1" applyFont="1" applyFill="1" applyBorder="1" applyAlignment="1">
      <alignment horizontal="center" vertical="top" wrapText="1"/>
    </xf>
    <xf numFmtId="4" fontId="39" fillId="10" borderId="92" xfId="0" applyNumberFormat="1" applyFont="1" applyFill="1" applyBorder="1" applyAlignment="1">
      <alignment horizontal="center" vertical="top" wrapText="1"/>
    </xf>
    <xf numFmtId="2" fontId="38" fillId="4" borderId="92" xfId="0" applyNumberFormat="1" applyFont="1" applyFill="1" applyBorder="1" applyAlignment="1">
      <alignment horizontal="center" vertical="top" wrapText="1"/>
    </xf>
    <xf numFmtId="2" fontId="10" fillId="4" borderId="92" xfId="0" applyNumberFormat="1" applyFont="1" applyFill="1" applyBorder="1" applyAlignment="1">
      <alignment horizontal="center" vertical="center" wrapText="1"/>
    </xf>
    <xf numFmtId="4" fontId="10" fillId="4" borderId="92" xfId="0" applyNumberFormat="1" applyFont="1" applyFill="1" applyBorder="1" applyAlignment="1">
      <alignment horizontal="center" vertical="center" wrapText="1"/>
    </xf>
    <xf numFmtId="4" fontId="10" fillId="4" borderId="92" xfId="0" applyNumberFormat="1" applyFont="1" applyFill="1" applyBorder="1" applyAlignment="1">
      <alignment vertical="center" wrapText="1"/>
    </xf>
    <xf numFmtId="49" fontId="16" fillId="11" borderId="92" xfId="0" applyNumberFormat="1" applyFont="1" applyFill="1" applyBorder="1" applyAlignment="1">
      <alignment horizontal="center" vertical="top" wrapText="1"/>
    </xf>
    <xf numFmtId="2" fontId="16" fillId="11" borderId="92" xfId="0" applyNumberFormat="1" applyFont="1" applyFill="1" applyBorder="1" applyAlignment="1">
      <alignment horizontal="center" vertical="top" wrapText="1"/>
    </xf>
    <xf numFmtId="4" fontId="16" fillId="11" borderId="92" xfId="0" applyNumberFormat="1" applyFont="1" applyFill="1" applyBorder="1" applyAlignment="1">
      <alignment horizontal="center" vertical="top" wrapText="1"/>
    </xf>
    <xf numFmtId="49" fontId="26" fillId="13" borderId="47" xfId="0" applyNumberFormat="1" applyFont="1" applyFill="1" applyBorder="1"/>
    <xf numFmtId="1" fontId="26" fillId="13" borderId="47" xfId="0" applyNumberFormat="1" applyFont="1" applyFill="1" applyBorder="1"/>
    <xf numFmtId="1" fontId="27" fillId="13" borderId="47" xfId="0" applyNumberFormat="1" applyFont="1" applyFill="1" applyBorder="1"/>
    <xf numFmtId="1" fontId="28" fillId="13" borderId="47" xfId="0" applyNumberFormat="1" applyFont="1" applyFill="1" applyBorder="1"/>
    <xf numFmtId="1" fontId="29" fillId="13" borderId="47" xfId="0" applyNumberFormat="1" applyFont="1" applyFill="1" applyBorder="1"/>
    <xf numFmtId="1" fontId="30" fillId="13" borderId="47" xfId="0" applyNumberFormat="1" applyFont="1" applyFill="1" applyBorder="1"/>
    <xf numFmtId="0" fontId="0" fillId="13" borderId="47" xfId="0" applyNumberFormat="1" applyFill="1" applyBorder="1"/>
    <xf numFmtId="49" fontId="26" fillId="13" borderId="47" xfId="0" applyNumberFormat="1" applyFont="1" applyFill="1" applyBorder="1" applyAlignment="1">
      <alignment horizontal="left"/>
    </xf>
    <xf numFmtId="1" fontId="26" fillId="13" borderId="47" xfId="0" applyNumberFormat="1" applyFont="1" applyFill="1" applyBorder="1" applyAlignment="1">
      <alignment horizontal="left"/>
    </xf>
    <xf numFmtId="1" fontId="31" fillId="13" borderId="47" xfId="0" applyNumberFormat="1" applyFont="1" applyFill="1" applyBorder="1"/>
    <xf numFmtId="1" fontId="32" fillId="13" borderId="47" xfId="0" applyNumberFormat="1" applyFont="1" applyFill="1" applyBorder="1"/>
    <xf numFmtId="1" fontId="33" fillId="13" borderId="47" xfId="0" applyNumberFormat="1" applyFont="1" applyFill="1" applyBorder="1"/>
    <xf numFmtId="0" fontId="16" fillId="13" borderId="47" xfId="0" applyFont="1" applyFill="1" applyBorder="1" applyAlignment="1">
      <alignment horizontal="center" vertical="center"/>
    </xf>
    <xf numFmtId="0" fontId="0" fillId="13" borderId="47" xfId="0" applyFill="1" applyBorder="1"/>
    <xf numFmtId="2" fontId="28" fillId="13" borderId="47" xfId="0" applyNumberFormat="1" applyFont="1" applyFill="1" applyBorder="1" applyAlignment="1">
      <alignment horizontal="center"/>
    </xf>
    <xf numFmtId="0" fontId="28" fillId="13" borderId="47" xfId="0" applyFont="1" applyFill="1" applyBorder="1" applyAlignment="1">
      <alignment horizontal="center"/>
    </xf>
    <xf numFmtId="0" fontId="5" fillId="13" borderId="47" xfId="0" applyFont="1" applyFill="1" applyBorder="1" applyAlignment="1">
      <alignment horizontal="center"/>
    </xf>
    <xf numFmtId="49" fontId="5" fillId="13" borderId="47" xfId="0" applyNumberFormat="1" applyFont="1" applyFill="1" applyBorder="1" applyAlignment="1">
      <alignment horizontal="left"/>
    </xf>
    <xf numFmtId="0" fontId="16" fillId="13" borderId="47" xfId="0" applyFont="1" applyFill="1" applyBorder="1" applyAlignment="1">
      <alignment horizontal="center"/>
    </xf>
    <xf numFmtId="0" fontId="27" fillId="13" borderId="47" xfId="0" applyFont="1" applyFill="1" applyBorder="1"/>
    <xf numFmtId="0" fontId="28" fillId="13" borderId="47" xfId="0" applyFont="1" applyFill="1" applyBorder="1"/>
    <xf numFmtId="2" fontId="28" fillId="13" borderId="47" xfId="0" applyNumberFormat="1" applyFont="1" applyFill="1" applyBorder="1"/>
    <xf numFmtId="0" fontId="16" fillId="12" borderId="87" xfId="0" applyFont="1" applyFill="1" applyBorder="1" applyAlignment="1">
      <alignment horizontal="center"/>
    </xf>
    <xf numFmtId="1" fontId="15" fillId="13" borderId="47" xfId="0" applyNumberFormat="1" applyFont="1" applyFill="1" applyBorder="1" applyAlignment="1">
      <alignment horizontal="left"/>
    </xf>
    <xf numFmtId="49" fontId="16" fillId="13" borderId="47" xfId="0" applyNumberFormat="1" applyFont="1" applyFill="1" applyBorder="1" applyAlignment="1">
      <alignment horizontal="left"/>
    </xf>
    <xf numFmtId="1" fontId="27" fillId="13" borderId="47" xfId="0" applyNumberFormat="1" applyFont="1" applyFill="1" applyBorder="1" applyAlignment="1">
      <alignment horizontal="left"/>
    </xf>
    <xf numFmtId="1" fontId="41" fillId="13" borderId="47" xfId="0" applyNumberFormat="1" applyFont="1" applyFill="1" applyBorder="1"/>
    <xf numFmtId="49" fontId="27" fillId="13" borderId="47" xfId="0" applyNumberFormat="1" applyFont="1" applyFill="1" applyBorder="1" applyAlignment="1">
      <alignment horizontal="left"/>
    </xf>
    <xf numFmtId="0" fontId="34" fillId="13" borderId="47" xfId="0" applyFont="1" applyFill="1" applyBorder="1"/>
    <xf numFmtId="1" fontId="28" fillId="13" borderId="47" xfId="0" applyNumberFormat="1" applyFont="1" applyFill="1" applyBorder="1" applyAlignment="1">
      <alignment horizontal="left"/>
    </xf>
    <xf numFmtId="1" fontId="27" fillId="13" borderId="47" xfId="0" applyNumberFormat="1" applyFont="1" applyFill="1" applyBorder="1" applyAlignment="1">
      <alignment horizontal="right"/>
    </xf>
    <xf numFmtId="1" fontId="15" fillId="13" borderId="47" xfId="0" applyNumberFormat="1" applyFont="1" applyFill="1" applyBorder="1"/>
    <xf numFmtId="49" fontId="27" fillId="13" borderId="47" xfId="0" applyNumberFormat="1" applyFont="1" applyFill="1" applyBorder="1"/>
    <xf numFmtId="49" fontId="6" fillId="13" borderId="92" xfId="0" applyNumberFormat="1" applyFont="1" applyFill="1" applyBorder="1" applyAlignment="1">
      <alignment horizontal="center" vertical="top" wrapText="1"/>
    </xf>
    <xf numFmtId="49" fontId="6" fillId="13" borderId="92" xfId="0" applyNumberFormat="1" applyFont="1" applyFill="1" applyBorder="1" applyAlignment="1">
      <alignment horizontal="left" vertical="top" wrapText="1"/>
    </xf>
    <xf numFmtId="0" fontId="16" fillId="12" borderId="92" xfId="0" applyFont="1" applyFill="1" applyBorder="1" applyAlignment="1">
      <alignment horizontal="center"/>
    </xf>
    <xf numFmtId="49" fontId="16" fillId="0" borderId="92" xfId="0" applyNumberFormat="1" applyFont="1" applyBorder="1"/>
    <xf numFmtId="4" fontId="16" fillId="0" borderId="92" xfId="0" applyNumberFormat="1" applyFont="1" applyBorder="1"/>
    <xf numFmtId="4" fontId="38" fillId="0" borderId="92" xfId="0" applyNumberFormat="1" applyFont="1" applyBorder="1" applyAlignment="1">
      <alignment horizontal="center"/>
    </xf>
    <xf numFmtId="4" fontId="38" fillId="0" borderId="92" xfId="0" applyNumberFormat="1" applyFont="1" applyBorder="1"/>
    <xf numFmtId="1" fontId="38" fillId="0" borderId="92" xfId="0" applyNumberFormat="1" applyFont="1" applyBorder="1"/>
    <xf numFmtId="4" fontId="28" fillId="0" borderId="92" xfId="0" applyNumberFormat="1" applyFont="1" applyBorder="1" applyAlignment="1">
      <alignment horizontal="center"/>
    </xf>
    <xf numFmtId="2" fontId="50" fillId="4" borderId="92" xfId="0" applyNumberFormat="1" applyFont="1" applyFill="1" applyBorder="1" applyAlignment="1">
      <alignment horizontal="center" vertical="center" wrapText="1"/>
    </xf>
    <xf numFmtId="2" fontId="50" fillId="4" borderId="92" xfId="0" applyNumberFormat="1" applyFont="1" applyFill="1" applyBorder="1" applyAlignment="1">
      <alignment horizontal="center" vertical="justify" wrapText="1"/>
    </xf>
    <xf numFmtId="49" fontId="50" fillId="4" borderId="92" xfId="0" applyNumberFormat="1" applyFont="1" applyFill="1" applyBorder="1" applyAlignment="1">
      <alignment horizontal="left" vertical="center"/>
    </xf>
    <xf numFmtId="49" fontId="50" fillId="4" borderId="92" xfId="0" applyNumberFormat="1" applyFont="1" applyFill="1" applyBorder="1" applyAlignment="1">
      <alignment horizontal="center" vertical="center"/>
    </xf>
    <xf numFmtId="2" fontId="50" fillId="4" borderId="92" xfId="0" applyNumberFormat="1" applyFont="1" applyFill="1" applyBorder="1" applyAlignment="1">
      <alignment horizontal="center" vertical="center"/>
    </xf>
    <xf numFmtId="49" fontId="50" fillId="4" borderId="92" xfId="0" applyNumberFormat="1" applyFont="1" applyFill="1" applyBorder="1" applyAlignment="1">
      <alignment horizontal="left" vertical="center" wrapText="1"/>
    </xf>
    <xf numFmtId="49" fontId="50" fillId="4" borderId="92" xfId="0" applyNumberFormat="1" applyFont="1" applyFill="1" applyBorder="1" applyAlignment="1">
      <alignment horizontal="center" vertical="center" wrapText="1"/>
    </xf>
    <xf numFmtId="49" fontId="50" fillId="4" borderId="92" xfId="0" applyNumberFormat="1" applyFont="1" applyFill="1" applyBorder="1" applyAlignment="1">
      <alignment horizontal="left" wrapText="1"/>
    </xf>
    <xf numFmtId="49" fontId="50" fillId="4" borderId="92" xfId="0" applyNumberFormat="1" applyFont="1" applyFill="1" applyBorder="1" applyAlignment="1">
      <alignment horizontal="center" wrapText="1"/>
    </xf>
    <xf numFmtId="2" fontId="50" fillId="4" borderId="92" xfId="0" applyNumberFormat="1" applyFont="1" applyFill="1" applyBorder="1" applyAlignment="1">
      <alignment horizontal="center" wrapText="1"/>
    </xf>
    <xf numFmtId="0" fontId="50" fillId="0" borderId="0" xfId="0" applyNumberFormat="1" applyFont="1"/>
    <xf numFmtId="0" fontId="50" fillId="0" borderId="0" xfId="0" applyFont="1" applyAlignment="1">
      <alignment vertical="justify" wrapText="1"/>
    </xf>
    <xf numFmtId="49" fontId="50" fillId="13" borderId="92" xfId="0" applyNumberFormat="1" applyFont="1" applyFill="1" applyBorder="1" applyAlignment="1">
      <alignment horizontal="left" vertical="justify" wrapText="1"/>
    </xf>
    <xf numFmtId="0" fontId="50" fillId="4" borderId="92" xfId="0" applyFont="1" applyFill="1" applyBorder="1" applyAlignment="1">
      <alignment horizontal="center" vertical="justify" wrapText="1"/>
    </xf>
    <xf numFmtId="166" fontId="50" fillId="4" borderId="92" xfId="0" applyNumberFormat="1" applyFont="1" applyFill="1" applyBorder="1" applyAlignment="1">
      <alignment horizontal="center" vertical="justify" wrapText="1"/>
    </xf>
    <xf numFmtId="49" fontId="50" fillId="13" borderId="82" xfId="0" applyNumberFormat="1" applyFont="1" applyFill="1" applyBorder="1" applyAlignment="1">
      <alignment horizontal="left" vertical="justify" wrapText="1"/>
    </xf>
    <xf numFmtId="1" fontId="50" fillId="0" borderId="83" xfId="0" applyNumberFormat="1" applyFont="1" applyBorder="1" applyAlignment="1">
      <alignment vertical="justify" wrapText="1"/>
    </xf>
    <xf numFmtId="0" fontId="50" fillId="0" borderId="83" xfId="0" applyFont="1" applyBorder="1" applyAlignment="1">
      <alignment vertical="justify" wrapText="1"/>
    </xf>
    <xf numFmtId="0" fontId="50" fillId="13" borderId="81" xfId="0" applyFont="1" applyFill="1" applyBorder="1" applyAlignment="1">
      <alignment vertical="justify" wrapText="1"/>
    </xf>
    <xf numFmtId="49" fontId="50" fillId="0" borderId="83" xfId="0" applyNumberFormat="1" applyFont="1" applyBorder="1" applyAlignment="1">
      <alignment vertical="justify" wrapText="1"/>
    </xf>
    <xf numFmtId="49" fontId="50" fillId="4" borderId="95" xfId="0" applyNumberFormat="1" applyFont="1" applyFill="1" applyBorder="1" applyAlignment="1">
      <alignment horizontal="center" vertical="justify" wrapText="1"/>
    </xf>
    <xf numFmtId="49" fontId="50" fillId="14" borderId="93" xfId="0" applyNumberFormat="1" applyFont="1" applyFill="1" applyBorder="1" applyAlignment="1">
      <alignment horizontal="center" vertical="center" wrapText="1"/>
    </xf>
    <xf numFmtId="49" fontId="50" fillId="14" borderId="94" xfId="0" applyNumberFormat="1" applyFont="1" applyFill="1" applyBorder="1" applyAlignment="1">
      <alignment horizontal="center" vertical="center" wrapText="1"/>
    </xf>
    <xf numFmtId="0" fontId="50" fillId="14" borderId="95" xfId="0" applyFont="1" applyFill="1" applyBorder="1" applyAlignment="1">
      <alignment horizontal="center" vertical="justify" wrapText="1"/>
    </xf>
    <xf numFmtId="4" fontId="50" fillId="14" borderId="92" xfId="0" applyNumberFormat="1" applyFont="1" applyFill="1" applyBorder="1" applyAlignment="1">
      <alignment horizontal="center" vertical="justify" wrapText="1"/>
    </xf>
    <xf numFmtId="4" fontId="50" fillId="14" borderId="92" xfId="0" applyNumberFormat="1" applyFont="1" applyFill="1" applyBorder="1" applyAlignment="1">
      <alignment vertical="justify" wrapText="1"/>
    </xf>
    <xf numFmtId="0" fontId="51" fillId="0" borderId="96" xfId="0" applyFont="1" applyBorder="1" applyAlignment="1">
      <alignment horizontal="left" vertical="center" wrapText="1"/>
    </xf>
    <xf numFmtId="0" fontId="51" fillId="0" borderId="96" xfId="0" applyFont="1" applyBorder="1" applyAlignment="1">
      <alignment horizontal="center" vertical="center" wrapText="1"/>
    </xf>
    <xf numFmtId="2" fontId="51" fillId="0" borderId="96" xfId="0" applyNumberFormat="1" applyFont="1" applyBorder="1" applyAlignment="1">
      <alignment horizontal="center" vertical="center" wrapText="1"/>
    </xf>
    <xf numFmtId="49" fontId="50" fillId="0" borderId="92" xfId="0" applyNumberFormat="1" applyFont="1" applyFill="1" applyBorder="1" applyAlignment="1">
      <alignment horizontal="left" vertical="center" wrapText="1"/>
    </xf>
    <xf numFmtId="49" fontId="50" fillId="0" borderId="92" xfId="0" applyNumberFormat="1" applyFont="1" applyFill="1" applyBorder="1" applyAlignment="1">
      <alignment horizontal="center" vertical="center" wrapText="1"/>
    </xf>
    <xf numFmtId="2" fontId="50" fillId="0" borderId="92" xfId="0" applyNumberFormat="1" applyFont="1" applyFill="1" applyBorder="1" applyAlignment="1">
      <alignment horizontal="center" vertical="center" wrapText="1"/>
    </xf>
    <xf numFmtId="0" fontId="51" fillId="0" borderId="92" xfId="0" applyFont="1" applyBorder="1" applyAlignment="1">
      <alignment horizontal="left" vertical="center" wrapText="1"/>
    </xf>
    <xf numFmtId="0" fontId="51" fillId="0" borderId="92" xfId="0" applyFont="1" applyBorder="1" applyAlignment="1">
      <alignment horizontal="center" vertical="center" wrapText="1"/>
    </xf>
    <xf numFmtId="2" fontId="51" fillId="0" borderId="92" xfId="0" applyNumberFormat="1" applyFont="1" applyBorder="1" applyAlignment="1">
      <alignment horizontal="center" vertical="center" wrapText="1"/>
    </xf>
    <xf numFmtId="49" fontId="50" fillId="4" borderId="95" xfId="0" applyNumberFormat="1" applyFont="1" applyFill="1" applyBorder="1" applyAlignment="1">
      <alignment horizontal="center" vertical="center" wrapText="1"/>
    </xf>
    <xf numFmtId="0" fontId="50" fillId="0" borderId="0" xfId="0" applyFont="1" applyAlignment="1">
      <alignment vertical="center" wrapText="1"/>
    </xf>
    <xf numFmtId="0" fontId="1" fillId="0" borderId="0" xfId="0" applyFont="1" applyAlignment="1">
      <alignment horizontal="left" wrapText="1"/>
    </xf>
    <xf numFmtId="0" fontId="0" fillId="0" borderId="0" xfId="0"/>
    <xf numFmtId="49" fontId="24" fillId="10" borderId="11" xfId="0" applyNumberFormat="1" applyFont="1" applyFill="1" applyBorder="1" applyAlignment="1">
      <alignment horizontal="left" vertical="top" wrapText="1"/>
    </xf>
    <xf numFmtId="4" fontId="24" fillId="10" borderId="12" xfId="0" applyNumberFormat="1" applyFont="1" applyFill="1" applyBorder="1" applyAlignment="1">
      <alignment horizontal="left" vertical="top" wrapText="1"/>
    </xf>
    <xf numFmtId="4" fontId="24" fillId="10" borderId="13" xfId="0" applyNumberFormat="1" applyFont="1" applyFill="1" applyBorder="1" applyAlignment="1">
      <alignment horizontal="left" vertical="top" wrapText="1"/>
    </xf>
    <xf numFmtId="49" fontId="5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 wrapText="1"/>
    </xf>
    <xf numFmtId="49" fontId="5" fillId="4" borderId="2" xfId="0" applyNumberFormat="1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center" vertical="top" wrapText="1"/>
    </xf>
    <xf numFmtId="49" fontId="11" fillId="4" borderId="5" xfId="0" applyNumberFormat="1" applyFont="1" applyFill="1" applyBorder="1" applyAlignment="1">
      <alignment horizontal="center" vertical="top" wrapText="1"/>
    </xf>
    <xf numFmtId="4" fontId="11" fillId="4" borderId="6" xfId="0" applyNumberFormat="1" applyFont="1" applyFill="1" applyBorder="1" applyAlignment="1">
      <alignment horizontal="center" vertical="top" wrapText="1"/>
    </xf>
    <xf numFmtId="4" fontId="11" fillId="4" borderId="7" xfId="0" applyNumberFormat="1" applyFont="1" applyFill="1" applyBorder="1" applyAlignment="1">
      <alignment horizontal="center" vertical="top" wrapText="1"/>
    </xf>
    <xf numFmtId="0" fontId="20" fillId="9" borderId="3" xfId="0" applyFont="1" applyFill="1" applyBorder="1" applyAlignment="1">
      <alignment horizontal="right" vertical="top" wrapText="1"/>
    </xf>
    <xf numFmtId="49" fontId="6" fillId="9" borderId="3" xfId="0" applyNumberFormat="1" applyFont="1" applyFill="1" applyBorder="1" applyAlignment="1">
      <alignment horizontal="right" vertical="top" wrapText="1"/>
    </xf>
    <xf numFmtId="0" fontId="6" fillId="9" borderId="3" xfId="0" applyFont="1" applyFill="1" applyBorder="1" applyAlignment="1">
      <alignment horizontal="right" vertical="top" wrapText="1"/>
    </xf>
    <xf numFmtId="49" fontId="6" fillId="5" borderId="11" xfId="0" applyNumberFormat="1" applyFont="1" applyFill="1" applyBorder="1" applyAlignment="1">
      <alignment horizontal="left" vertical="top" wrapText="1"/>
    </xf>
    <xf numFmtId="4" fontId="6" fillId="5" borderId="12" xfId="0" applyNumberFormat="1" applyFont="1" applyFill="1" applyBorder="1" applyAlignment="1">
      <alignment horizontal="left" vertical="top" wrapText="1"/>
    </xf>
    <xf numFmtId="4" fontId="6" fillId="5" borderId="13" xfId="0" applyNumberFormat="1" applyFont="1" applyFill="1" applyBorder="1" applyAlignment="1">
      <alignment horizontal="left" vertical="top" wrapText="1"/>
    </xf>
    <xf numFmtId="49" fontId="39" fillId="10" borderId="92" xfId="0" applyNumberFormat="1" applyFont="1" applyFill="1" applyBorder="1" applyAlignment="1">
      <alignment horizontal="left" vertical="top" wrapText="1"/>
    </xf>
    <xf numFmtId="4" fontId="39" fillId="10" borderId="92" xfId="0" applyNumberFormat="1" applyFont="1" applyFill="1" applyBorder="1" applyAlignment="1">
      <alignment horizontal="left" vertical="top" wrapText="1"/>
    </xf>
    <xf numFmtId="49" fontId="16" fillId="9" borderId="92" xfId="0" applyNumberFormat="1" applyFont="1" applyFill="1" applyBorder="1" applyAlignment="1">
      <alignment horizontal="right" vertical="top" wrapText="1"/>
    </xf>
    <xf numFmtId="0" fontId="16" fillId="9" borderId="92" xfId="0" applyFont="1" applyFill="1" applyBorder="1" applyAlignment="1">
      <alignment horizontal="right" vertical="top" wrapText="1"/>
    </xf>
    <xf numFmtId="49" fontId="16" fillId="5" borderId="92" xfId="0" applyNumberFormat="1" applyFont="1" applyFill="1" applyBorder="1" applyAlignment="1">
      <alignment horizontal="left" vertical="top" wrapText="1"/>
    </xf>
    <xf numFmtId="4" fontId="16" fillId="5" borderId="92" xfId="0" applyNumberFormat="1" applyFont="1" applyFill="1" applyBorder="1" applyAlignment="1">
      <alignment horizontal="left" vertical="top" wrapText="1"/>
    </xf>
    <xf numFmtId="0" fontId="28" fillId="4" borderId="47" xfId="0" applyFont="1" applyFill="1" applyBorder="1" applyAlignment="1">
      <alignment horizontal="right" vertical="top" wrapText="1"/>
    </xf>
    <xf numFmtId="2" fontId="28" fillId="4" borderId="47" xfId="0" applyNumberFormat="1" applyFont="1" applyFill="1" applyBorder="1" applyAlignment="1">
      <alignment horizontal="right" vertical="top" wrapText="1"/>
    </xf>
    <xf numFmtId="49" fontId="26" fillId="4" borderId="47" xfId="0" applyNumberFormat="1" applyFont="1" applyFill="1" applyBorder="1" applyAlignment="1">
      <alignment horizontal="left" vertical="top" wrapText="1"/>
    </xf>
    <xf numFmtId="1" fontId="26" fillId="4" borderId="47" xfId="0" applyNumberFormat="1" applyFont="1" applyFill="1" applyBorder="1" applyAlignment="1">
      <alignment horizontal="left" vertical="top" wrapText="1"/>
    </xf>
    <xf numFmtId="49" fontId="5" fillId="4" borderId="47" xfId="0" applyNumberFormat="1" applyFont="1" applyFill="1" applyBorder="1" applyAlignment="1">
      <alignment horizontal="center" vertical="top" wrapText="1"/>
    </xf>
    <xf numFmtId="0" fontId="5" fillId="4" borderId="47" xfId="0" applyFont="1" applyFill="1" applyBorder="1" applyAlignment="1">
      <alignment horizontal="center" vertical="top" wrapText="1"/>
    </xf>
    <xf numFmtId="49" fontId="27" fillId="4" borderId="47" xfId="0" applyNumberFormat="1" applyFont="1" applyFill="1" applyBorder="1" applyAlignment="1">
      <alignment horizontal="center" vertical="top" wrapText="1"/>
    </xf>
    <xf numFmtId="2" fontId="27" fillId="4" borderId="47" xfId="0" applyNumberFormat="1" applyFont="1" applyFill="1" applyBorder="1" applyAlignment="1">
      <alignment horizontal="center" vertical="top" wrapText="1"/>
    </xf>
    <xf numFmtId="49" fontId="27" fillId="4" borderId="47" xfId="0" applyNumberFormat="1" applyFont="1" applyFill="1" applyBorder="1" applyAlignment="1">
      <alignment horizontal="right" vertical="top" wrapText="1"/>
    </xf>
    <xf numFmtId="0" fontId="27" fillId="4" borderId="47" xfId="0" applyFont="1" applyFill="1" applyBorder="1" applyAlignment="1">
      <alignment horizontal="right" vertical="top" wrapText="1"/>
    </xf>
    <xf numFmtId="49" fontId="35" fillId="11" borderId="92" xfId="0" applyNumberFormat="1" applyFont="1" applyFill="1" applyBorder="1" applyAlignment="1">
      <alignment horizontal="center" vertical="center"/>
    </xf>
    <xf numFmtId="0" fontId="35" fillId="11" borderId="92" xfId="0" applyFont="1" applyFill="1" applyBorder="1" applyAlignment="1">
      <alignment horizontal="center" vertical="center"/>
    </xf>
    <xf numFmtId="2" fontId="27" fillId="4" borderId="47" xfId="0" applyNumberFormat="1" applyFont="1" applyFill="1" applyBorder="1" applyAlignment="1">
      <alignment horizontal="right" vertical="top" wrapText="1"/>
    </xf>
    <xf numFmtId="49" fontId="17" fillId="4" borderId="59" xfId="0" applyNumberFormat="1" applyFont="1" applyFill="1" applyBorder="1" applyAlignment="1">
      <alignment horizontal="center" vertical="top" wrapText="1"/>
    </xf>
    <xf numFmtId="0" fontId="17" fillId="4" borderId="61" xfId="0" applyFont="1" applyFill="1" applyBorder="1" applyAlignment="1">
      <alignment horizontal="center" vertical="top" wrapText="1"/>
    </xf>
    <xf numFmtId="49" fontId="48" fillId="4" borderId="47" xfId="0" applyNumberFormat="1" applyFont="1" applyFill="1" applyBorder="1" applyAlignment="1">
      <alignment horizontal="left" vertical="top" wrapText="1"/>
    </xf>
    <xf numFmtId="2" fontId="48" fillId="4" borderId="47" xfId="0" applyNumberFormat="1" applyFont="1" applyFill="1" applyBorder="1" applyAlignment="1">
      <alignment horizontal="left" vertical="top" wrapText="1"/>
    </xf>
    <xf numFmtId="0" fontId="17" fillId="4" borderId="68" xfId="0" applyFont="1" applyFill="1" applyBorder="1" applyAlignment="1">
      <alignment horizontal="center" vertical="top" wrapText="1"/>
    </xf>
    <xf numFmtId="49" fontId="16" fillId="4" borderId="3" xfId="0" applyNumberFormat="1" applyFont="1" applyFill="1" applyBorder="1" applyAlignment="1">
      <alignment horizontal="right" vertical="top" wrapText="1"/>
    </xf>
    <xf numFmtId="0" fontId="16" fillId="4" borderId="3" xfId="0" applyFont="1" applyFill="1" applyBorder="1" applyAlignment="1">
      <alignment horizontal="right" vertical="top" wrapText="1"/>
    </xf>
    <xf numFmtId="49" fontId="39" fillId="4" borderId="3" xfId="0" applyNumberFormat="1" applyFont="1" applyFill="1" applyBorder="1" applyAlignment="1">
      <alignment horizontal="left" vertical="top" wrapText="1"/>
    </xf>
    <xf numFmtId="4" fontId="39" fillId="4" borderId="3" xfId="0" applyNumberFormat="1" applyFont="1" applyFill="1" applyBorder="1" applyAlignment="1">
      <alignment horizontal="left" vertical="top" wrapText="1"/>
    </xf>
    <xf numFmtId="4" fontId="39" fillId="4" borderId="8" xfId="0" applyNumberFormat="1" applyFont="1" applyFill="1" applyBorder="1" applyAlignment="1">
      <alignment horizontal="left" vertical="top" wrapText="1"/>
    </xf>
    <xf numFmtId="49" fontId="39" fillId="4" borderId="31" xfId="0" applyNumberFormat="1" applyFont="1" applyFill="1" applyBorder="1" applyAlignment="1">
      <alignment horizontal="left" vertical="top" wrapText="1"/>
    </xf>
    <xf numFmtId="4" fontId="39" fillId="4" borderId="31" xfId="0" applyNumberFormat="1" applyFont="1" applyFill="1" applyBorder="1" applyAlignment="1">
      <alignment horizontal="left" vertical="top" wrapText="1"/>
    </xf>
    <xf numFmtId="4" fontId="39" fillId="4" borderId="32" xfId="0" applyNumberFormat="1" applyFont="1" applyFill="1" applyBorder="1" applyAlignment="1">
      <alignment horizontal="left" vertical="top" wrapText="1"/>
    </xf>
    <xf numFmtId="49" fontId="0" fillId="4" borderId="55" xfId="0" applyNumberFormat="1" applyFill="1" applyBorder="1" applyAlignment="1">
      <alignment vertical="top" wrapText="1"/>
    </xf>
    <xf numFmtId="0" fontId="16" fillId="4" borderId="47" xfId="0" applyFont="1" applyFill="1" applyBorder="1" applyAlignment="1">
      <alignment horizontal="center" vertical="top" wrapText="1"/>
    </xf>
    <xf numFmtId="4" fontId="27" fillId="4" borderId="59" xfId="0" applyNumberFormat="1" applyFont="1" applyFill="1" applyBorder="1" applyAlignment="1">
      <alignment horizontal="center" vertical="top" wrapText="1"/>
    </xf>
    <xf numFmtId="4" fontId="27" fillId="4" borderId="61" xfId="0" applyNumberFormat="1" applyFont="1" applyFill="1" applyBorder="1" applyAlignment="1">
      <alignment horizontal="center" vertical="top" wrapText="1"/>
    </xf>
    <xf numFmtId="0" fontId="27" fillId="4" borderId="59" xfId="0" applyFont="1" applyFill="1" applyBorder="1" applyAlignment="1">
      <alignment horizontal="center" vertical="top" wrapText="1"/>
    </xf>
    <xf numFmtId="0" fontId="27" fillId="4" borderId="61" xfId="0" applyFont="1" applyFill="1" applyBorder="1" applyAlignment="1">
      <alignment horizontal="center" vertical="top" wrapText="1"/>
    </xf>
    <xf numFmtId="49" fontId="28" fillId="4" borderId="15" xfId="0" applyNumberFormat="1" applyFont="1" applyFill="1" applyBorder="1" applyAlignment="1">
      <alignment horizontal="center" vertical="top" wrapText="1"/>
    </xf>
    <xf numFmtId="2" fontId="28" fillId="4" borderId="15" xfId="0" applyNumberFormat="1" applyFont="1" applyFill="1" applyBorder="1" applyAlignment="1">
      <alignment horizontal="center" vertical="top" wrapText="1"/>
    </xf>
    <xf numFmtId="49" fontId="28" fillId="4" borderId="1" xfId="0" applyNumberFormat="1" applyFont="1" applyFill="1" applyBorder="1" applyAlignment="1">
      <alignment horizontal="right" vertical="top" wrapText="1"/>
    </xf>
    <xf numFmtId="0" fontId="28" fillId="4" borderId="1" xfId="0" applyFont="1" applyFill="1" applyBorder="1" applyAlignment="1">
      <alignment horizontal="right" vertical="top" wrapText="1"/>
    </xf>
    <xf numFmtId="49" fontId="16" fillId="9" borderId="3" xfId="0" applyNumberFormat="1" applyFont="1" applyFill="1" applyBorder="1" applyAlignment="1">
      <alignment horizontal="right" vertical="top" wrapText="1"/>
    </xf>
    <xf numFmtId="0" fontId="16" fillId="9" borderId="3" xfId="0" applyFont="1" applyFill="1" applyBorder="1" applyAlignment="1">
      <alignment horizontal="right" vertical="top" wrapText="1"/>
    </xf>
    <xf numFmtId="49" fontId="16" fillId="5" borderId="3" xfId="0" applyNumberFormat="1" applyFont="1" applyFill="1" applyBorder="1" applyAlignment="1">
      <alignment horizontal="left" vertical="top" wrapText="1"/>
    </xf>
    <xf numFmtId="4" fontId="16" fillId="5" borderId="3" xfId="0" applyNumberFormat="1" applyFont="1" applyFill="1" applyBorder="1" applyAlignment="1">
      <alignment horizontal="left" vertical="top" wrapText="1"/>
    </xf>
    <xf numFmtId="49" fontId="39" fillId="10" borderId="31" xfId="0" applyNumberFormat="1" applyFont="1" applyFill="1" applyBorder="1" applyAlignment="1">
      <alignment horizontal="left" vertical="top" wrapText="1"/>
    </xf>
    <xf numFmtId="4" fontId="39" fillId="10" borderId="31" xfId="0" applyNumberFormat="1" applyFont="1" applyFill="1" applyBorder="1" applyAlignment="1">
      <alignment horizontal="left" vertical="top" wrapText="1"/>
    </xf>
    <xf numFmtId="49" fontId="5" fillId="4" borderId="84" xfId="0" applyNumberFormat="1" applyFont="1" applyFill="1" applyBorder="1" applyAlignment="1">
      <alignment horizontal="left" vertical="top" wrapText="1"/>
    </xf>
    <xf numFmtId="49" fontId="5" fillId="4" borderId="85" xfId="0" applyNumberFormat="1" applyFont="1" applyFill="1" applyBorder="1" applyAlignment="1">
      <alignment horizontal="left" vertical="top" wrapText="1"/>
    </xf>
    <xf numFmtId="49" fontId="5" fillId="4" borderId="86" xfId="0" applyNumberFormat="1" applyFont="1" applyFill="1" applyBorder="1" applyAlignment="1">
      <alignment horizontal="left" vertical="top" wrapText="1"/>
    </xf>
    <xf numFmtId="49" fontId="26" fillId="4" borderId="84" xfId="0" applyNumberFormat="1" applyFont="1" applyFill="1" applyBorder="1" applyAlignment="1">
      <alignment horizontal="left" vertical="top" wrapText="1"/>
    </xf>
    <xf numFmtId="49" fontId="26" fillId="4" borderId="85" xfId="0" applyNumberFormat="1" applyFont="1" applyFill="1" applyBorder="1" applyAlignment="1">
      <alignment horizontal="left" vertical="top" wrapText="1"/>
    </xf>
    <xf numFmtId="49" fontId="26" fillId="4" borderId="86" xfId="0" applyNumberFormat="1" applyFont="1" applyFill="1" applyBorder="1" applyAlignment="1">
      <alignment horizontal="left" vertical="top" wrapText="1"/>
    </xf>
    <xf numFmtId="49" fontId="26" fillId="4" borderId="1" xfId="0" applyNumberFormat="1" applyFont="1" applyFill="1" applyBorder="1" applyAlignment="1">
      <alignment horizontal="left" vertical="top" wrapText="1"/>
    </xf>
    <xf numFmtId="1" fontId="26" fillId="4" borderId="1" xfId="0" applyNumberFormat="1" applyFont="1" applyFill="1" applyBorder="1" applyAlignment="1">
      <alignment horizontal="left" vertical="top" wrapText="1"/>
    </xf>
    <xf numFmtId="49" fontId="16" fillId="4" borderId="47" xfId="0" applyNumberFormat="1" applyFont="1" applyFill="1" applyBorder="1" applyAlignment="1">
      <alignment horizontal="center" vertical="top" wrapText="1"/>
    </xf>
    <xf numFmtId="2" fontId="16" fillId="4" borderId="47" xfId="0" applyNumberFormat="1" applyFont="1" applyFill="1" applyBorder="1" applyAlignment="1">
      <alignment horizontal="center" vertical="top" wrapText="1"/>
    </xf>
    <xf numFmtId="49" fontId="16" fillId="4" borderId="37" xfId="0" applyNumberFormat="1" applyFont="1" applyFill="1" applyBorder="1" applyAlignment="1">
      <alignment horizontal="center" vertical="top" wrapText="1"/>
    </xf>
    <xf numFmtId="2" fontId="16" fillId="4" borderId="38" xfId="0" applyNumberFormat="1" applyFont="1" applyFill="1" applyBorder="1" applyAlignment="1">
      <alignment horizontal="center" vertical="top" wrapText="1"/>
    </xf>
    <xf numFmtId="2" fontId="16" fillId="4" borderId="39" xfId="0" applyNumberFormat="1" applyFont="1" applyFill="1" applyBorder="1" applyAlignment="1">
      <alignment horizontal="center" vertical="top" wrapText="1"/>
    </xf>
    <xf numFmtId="49" fontId="39" fillId="10" borderId="3" xfId="0" applyNumberFormat="1" applyFont="1" applyFill="1" applyBorder="1" applyAlignment="1">
      <alignment horizontal="left" vertical="top" wrapText="1"/>
    </xf>
    <xf numFmtId="4" fontId="39" fillId="10" borderId="3" xfId="0" applyNumberFormat="1" applyFont="1" applyFill="1" applyBorder="1" applyAlignment="1">
      <alignment horizontal="left" vertical="top" wrapText="1"/>
    </xf>
    <xf numFmtId="49" fontId="42" fillId="4" borderId="1" xfId="0" applyNumberFormat="1" applyFont="1" applyFill="1" applyBorder="1" applyAlignment="1">
      <alignment horizontal="left" vertical="center" wrapText="1"/>
    </xf>
    <xf numFmtId="1" fontId="42" fillId="4" borderId="1" xfId="0" applyNumberFormat="1" applyFont="1" applyFill="1" applyBorder="1" applyAlignment="1">
      <alignment horizontal="left" vertical="center" wrapText="1"/>
    </xf>
    <xf numFmtId="49" fontId="27" fillId="4" borderId="1" xfId="0" applyNumberFormat="1" applyFont="1" applyFill="1" applyBorder="1" applyAlignment="1">
      <alignment horizontal="right" vertical="top" wrapText="1"/>
    </xf>
    <xf numFmtId="0" fontId="27" fillId="4" borderId="1" xfId="0" applyFont="1" applyFill="1" applyBorder="1" applyAlignment="1">
      <alignment horizontal="right" vertical="top" wrapText="1"/>
    </xf>
    <xf numFmtId="49" fontId="39" fillId="10" borderId="59" xfId="0" applyNumberFormat="1" applyFont="1" applyFill="1" applyBorder="1" applyAlignment="1">
      <alignment horizontal="left" vertical="top" wrapText="1"/>
    </xf>
    <xf numFmtId="4" fontId="39" fillId="10" borderId="59" xfId="0" applyNumberFormat="1" applyFont="1" applyFill="1" applyBorder="1" applyAlignment="1">
      <alignment horizontal="left" vertical="top" wrapText="1"/>
    </xf>
    <xf numFmtId="0" fontId="28" fillId="13" borderId="47" xfId="0" applyFont="1" applyFill="1" applyBorder="1" applyAlignment="1">
      <alignment horizontal="right"/>
    </xf>
    <xf numFmtId="49" fontId="5" fillId="13" borderId="47" xfId="0" applyNumberFormat="1" applyFont="1" applyFill="1" applyBorder="1" applyAlignment="1">
      <alignment horizontal="left"/>
    </xf>
    <xf numFmtId="0" fontId="4" fillId="0" borderId="0" xfId="0" applyFont="1" applyAlignment="1">
      <alignment horizontal="center" vertical="center"/>
    </xf>
    <xf numFmtId="49" fontId="42" fillId="4" borderId="47" xfId="0" applyNumberFormat="1" applyFont="1" applyFill="1" applyBorder="1" applyAlignment="1">
      <alignment horizontal="left" vertical="center" wrapText="1"/>
    </xf>
    <xf numFmtId="49" fontId="50" fillId="4" borderId="1" xfId="0" applyNumberFormat="1" applyFont="1" applyFill="1" applyBorder="1" applyAlignment="1">
      <alignment horizontal="center" vertical="top" wrapText="1"/>
    </xf>
    <xf numFmtId="0" fontId="50" fillId="4" borderId="1" xfId="0" applyFont="1" applyFill="1" applyBorder="1" applyAlignment="1">
      <alignment horizontal="center" vertical="top" wrapText="1"/>
    </xf>
    <xf numFmtId="49" fontId="50" fillId="14" borderId="92" xfId="0" applyNumberFormat="1" applyFont="1" applyFill="1" applyBorder="1" applyAlignment="1">
      <alignment horizontal="right" vertical="justify" wrapText="1"/>
    </xf>
    <xf numFmtId="0" fontId="50" fillId="14" borderId="92" xfId="0" applyFont="1" applyFill="1" applyBorder="1" applyAlignment="1">
      <alignment horizontal="right" vertical="justify" wrapText="1"/>
    </xf>
  </cellXfs>
  <cellStyles count="1">
    <cellStyle name="Обычный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E88B1"/>
      <rgbColor rgb="FFEEF3F4"/>
      <rgbColor rgb="FF0000FF"/>
      <rgbColor rgb="FFFFFFFF"/>
      <rgbColor rgb="FFAAAAAA"/>
      <rgbColor rgb="FFFBD4B4"/>
      <rgbColor rgb="FFB8CCE4"/>
      <rgbColor rgb="FF92D050"/>
      <rgbColor rgb="FF00B050"/>
      <rgbColor rgb="FFFF0000"/>
      <rgbColor rgb="FFD6D4CA"/>
      <rgbColor rgb="FFFABF8F"/>
      <rgbColor rgb="FFFFFF00"/>
      <rgbColor rgb="FF4F81BD"/>
      <rgbColor rgb="FF002060"/>
      <rgbColor rgb="FFBDC0BF"/>
      <rgbColor rgb="FFA5A5A5"/>
      <rgbColor rgb="FF3F3F3F"/>
      <rgbColor rgb="FFDBDBDB"/>
      <rgbColor rgb="FF00B0F0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129919</xdr:colOff>
      <xdr:row>66</xdr:row>
      <xdr:rowOff>125905</xdr:rowOff>
    </xdr:from>
    <xdr:to>
      <xdr:col>5</xdr:col>
      <xdr:colOff>535560</xdr:colOff>
      <xdr:row>68</xdr:row>
      <xdr:rowOff>2363</xdr:rowOff>
    </xdr:to>
    <xdr:sp macro="" textlink="">
      <xdr:nvSpPr>
        <xdr:cNvPr id="2" name="Текст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289419" y="13511705"/>
          <a:ext cx="405642" cy="225709"/>
        </a:xfrm>
        <a:prstGeom prst="rect">
          <a:avLst/>
        </a:prstGeom>
        <a:noFill/>
        <a:ln w="12700" cap="flat">
          <a:noFill/>
          <a:miter lim="400000"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20</xdr:col>
      <xdr:colOff>129919</xdr:colOff>
      <xdr:row>66</xdr:row>
      <xdr:rowOff>125905</xdr:rowOff>
    </xdr:from>
    <xdr:to>
      <xdr:col>20</xdr:col>
      <xdr:colOff>535560</xdr:colOff>
      <xdr:row>68</xdr:row>
      <xdr:rowOff>2363</xdr:rowOff>
    </xdr:to>
    <xdr:sp macro="" textlink="">
      <xdr:nvSpPr>
        <xdr:cNvPr id="3" name="Текст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521069" y="13375180"/>
          <a:ext cx="405641" cy="219358"/>
        </a:xfrm>
        <a:prstGeom prst="rect">
          <a:avLst/>
        </a:prstGeom>
        <a:noFill/>
        <a:ln w="12700" cap="flat">
          <a:noFill/>
          <a:miter lim="400000"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25</xdr:col>
      <xdr:colOff>129919</xdr:colOff>
      <xdr:row>66</xdr:row>
      <xdr:rowOff>125905</xdr:rowOff>
    </xdr:from>
    <xdr:to>
      <xdr:col>25</xdr:col>
      <xdr:colOff>535560</xdr:colOff>
      <xdr:row>68</xdr:row>
      <xdr:rowOff>2363</xdr:rowOff>
    </xdr:to>
    <xdr:sp macro="" textlink="">
      <xdr:nvSpPr>
        <xdr:cNvPr id="4" name="Текст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5521069" y="13375180"/>
          <a:ext cx="405641" cy="219358"/>
        </a:xfrm>
        <a:prstGeom prst="rect">
          <a:avLst/>
        </a:prstGeom>
        <a:noFill/>
        <a:ln w="12700" cap="flat">
          <a:noFill/>
          <a:miter lim="400000"/>
        </a:ln>
        <a:effectLst/>
      </xdr:spPr>
      <xdr:txBody>
        <a:bodyPr/>
        <a:lstStyle/>
        <a:p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D38"/>
  <sheetViews>
    <sheetView showGridLines="0" workbookViewId="0"/>
  </sheetViews>
  <sheetFormatPr defaultColWidth="10" defaultRowHeight="12.9" customHeight="1"/>
  <cols>
    <col min="1" max="1" width="2" customWidth="1"/>
    <col min="2" max="4" width="30.5546875" customWidth="1"/>
  </cols>
  <sheetData>
    <row r="3" spans="2:4" ht="50.1" customHeight="1">
      <c r="B3" s="662" t="s">
        <v>0</v>
      </c>
      <c r="C3" s="663"/>
      <c r="D3" s="663"/>
    </row>
    <row r="7" spans="2:4" ht="18">
      <c r="B7" s="1" t="s">
        <v>1</v>
      </c>
      <c r="C7" s="1" t="s">
        <v>2</v>
      </c>
      <c r="D7" s="1" t="s">
        <v>3</v>
      </c>
    </row>
    <row r="9" spans="2:4" ht="15.6">
      <c r="B9" s="2" t="s">
        <v>4</v>
      </c>
      <c r="C9" s="2"/>
      <c r="D9" s="2"/>
    </row>
    <row r="10" spans="2:4" ht="15.6">
      <c r="B10" s="3"/>
      <c r="C10" s="3" t="s">
        <v>5</v>
      </c>
      <c r="D10" s="4" t="s">
        <v>4</v>
      </c>
    </row>
    <row r="11" spans="2:4" ht="15.6">
      <c r="B11" s="2" t="s">
        <v>72</v>
      </c>
      <c r="C11" s="2"/>
      <c r="D11" s="2"/>
    </row>
    <row r="12" spans="2:4" ht="15.6">
      <c r="B12" s="3"/>
      <c r="C12" s="3" t="s">
        <v>5</v>
      </c>
      <c r="D12" s="4" t="s">
        <v>72</v>
      </c>
    </row>
    <row r="13" spans="2:4" ht="15.6">
      <c r="B13" s="2" t="s">
        <v>135</v>
      </c>
      <c r="C13" s="2"/>
      <c r="D13" s="2"/>
    </row>
    <row r="14" spans="2:4" ht="15.6">
      <c r="B14" s="3"/>
      <c r="C14" s="3" t="s">
        <v>5</v>
      </c>
      <c r="D14" s="4" t="s">
        <v>135</v>
      </c>
    </row>
    <row r="15" spans="2:4" ht="15.6">
      <c r="B15" s="2" t="s">
        <v>214</v>
      </c>
      <c r="C15" s="2"/>
      <c r="D15" s="2"/>
    </row>
    <row r="16" spans="2:4" ht="15.6">
      <c r="B16" s="3"/>
      <c r="C16" s="3" t="s">
        <v>5</v>
      </c>
      <c r="D16" s="4" t="s">
        <v>214</v>
      </c>
    </row>
    <row r="17" spans="2:4" ht="15.6">
      <c r="B17" s="2" t="s">
        <v>313</v>
      </c>
      <c r="C17" s="2"/>
      <c r="D17" s="2"/>
    </row>
    <row r="18" spans="2:4" ht="15.6">
      <c r="B18" s="3"/>
      <c r="C18" s="3" t="s">
        <v>5</v>
      </c>
      <c r="D18" s="4" t="s">
        <v>313</v>
      </c>
    </row>
    <row r="19" spans="2:4" ht="15.6">
      <c r="B19" s="2" t="s">
        <v>332</v>
      </c>
      <c r="C19" s="2"/>
      <c r="D19" s="2"/>
    </row>
    <row r="20" spans="2:4" ht="15.6">
      <c r="B20" s="3"/>
      <c r="C20" s="3" t="s">
        <v>5</v>
      </c>
      <c r="D20" s="4" t="s">
        <v>332</v>
      </c>
    </row>
    <row r="21" spans="2:4" ht="15.6">
      <c r="B21" s="2" t="s">
        <v>349</v>
      </c>
      <c r="C21" s="2"/>
      <c r="D21" s="2"/>
    </row>
    <row r="22" spans="2:4" ht="15.6">
      <c r="B22" s="3"/>
      <c r="C22" s="3" t="s">
        <v>5</v>
      </c>
      <c r="D22" s="4" t="s">
        <v>349</v>
      </c>
    </row>
    <row r="23" spans="2:4" ht="15.6">
      <c r="B23" s="2" t="s">
        <v>373</v>
      </c>
      <c r="C23" s="2"/>
      <c r="D23" s="2"/>
    </row>
    <row r="24" spans="2:4" ht="15.6">
      <c r="B24" s="3"/>
      <c r="C24" s="3" t="s">
        <v>5</v>
      </c>
      <c r="D24" s="4" t="s">
        <v>373</v>
      </c>
    </row>
    <row r="25" spans="2:4" ht="15.6">
      <c r="B25" s="2" t="s">
        <v>383</v>
      </c>
      <c r="C25" s="2"/>
      <c r="D25" s="2"/>
    </row>
    <row r="26" spans="2:4" ht="15.6">
      <c r="B26" s="3"/>
      <c r="C26" s="3" t="s">
        <v>5</v>
      </c>
      <c r="D26" s="4" t="s">
        <v>383</v>
      </c>
    </row>
    <row r="27" spans="2:4" ht="15.6">
      <c r="B27" s="2" t="s">
        <v>412</v>
      </c>
      <c r="C27" s="2"/>
      <c r="D27" s="2"/>
    </row>
    <row r="28" spans="2:4" ht="15.6">
      <c r="B28" s="3"/>
      <c r="C28" s="3" t="s">
        <v>5</v>
      </c>
      <c r="D28" s="4" t="s">
        <v>412</v>
      </c>
    </row>
    <row r="29" spans="2:4" ht="15.6">
      <c r="B29" s="2" t="s">
        <v>422</v>
      </c>
      <c r="C29" s="2"/>
      <c r="D29" s="2"/>
    </row>
    <row r="30" spans="2:4" ht="15.6">
      <c r="B30" s="3"/>
      <c r="C30" s="3" t="s">
        <v>5</v>
      </c>
      <c r="D30" s="4" t="s">
        <v>422</v>
      </c>
    </row>
    <row r="31" spans="2:4" ht="15.6">
      <c r="B31" s="2" t="s">
        <v>423</v>
      </c>
      <c r="C31" s="2"/>
      <c r="D31" s="2"/>
    </row>
    <row r="32" spans="2:4" ht="15.6">
      <c r="B32" s="3"/>
      <c r="C32" s="3" t="s">
        <v>5</v>
      </c>
      <c r="D32" s="4" t="s">
        <v>423</v>
      </c>
    </row>
    <row r="33" spans="2:4" ht="15.6">
      <c r="B33" s="2" t="s">
        <v>425</v>
      </c>
      <c r="C33" s="2"/>
      <c r="D33" s="2"/>
    </row>
    <row r="34" spans="2:4" ht="15.6">
      <c r="B34" s="3"/>
      <c r="C34" s="3" t="s">
        <v>5</v>
      </c>
      <c r="D34" s="4" t="s">
        <v>425</v>
      </c>
    </row>
    <row r="35" spans="2:4" ht="15.6">
      <c r="B35" s="2" t="s">
        <v>433</v>
      </c>
      <c r="C35" s="2"/>
      <c r="D35" s="2"/>
    </row>
    <row r="36" spans="2:4" ht="15.6">
      <c r="B36" s="3"/>
      <c r="C36" s="3" t="s">
        <v>5</v>
      </c>
      <c r="D36" s="4" t="s">
        <v>433</v>
      </c>
    </row>
    <row r="37" spans="2:4" ht="15.6">
      <c r="B37" s="2" t="s">
        <v>443</v>
      </c>
      <c r="C37" s="2"/>
      <c r="D37" s="2"/>
    </row>
    <row r="38" spans="2:4" ht="15.6">
      <c r="B38" s="3"/>
      <c r="C38" s="3" t="s">
        <v>5</v>
      </c>
      <c r="D38" s="4" t="s">
        <v>443</v>
      </c>
    </row>
  </sheetData>
  <mergeCells count="1">
    <mergeCell ref="B3:D3"/>
  </mergeCells>
  <hyperlinks>
    <hyperlink ref="D10" location="'ТДЦ1'!R1C1" display="ТДЦ1" xr:uid="{00000000-0004-0000-0000-000000000000}"/>
    <hyperlink ref="D12" location="'ТДЦ2'!R1C1" display="ТДЦ2" xr:uid="{00000000-0004-0000-0000-000001000000}"/>
    <hyperlink ref="D14" location="'ТДЦ3'!R1C1" display="ТДЦ3" xr:uid="{00000000-0004-0000-0000-000002000000}"/>
    <hyperlink ref="D16" location="'ДЦ4ВК'!R1C1" display="ДЦ4ВК" xr:uid="{00000000-0004-0000-0000-000003000000}"/>
    <hyperlink ref="D18" location="'мелкие мк ТДЦ4'!R1C1" display="мелкие мк ТДЦ4" xr:uid="{00000000-0004-0000-0000-000004000000}"/>
    <hyperlink ref="D20" location="'ТДЦ5'!R1C1" display="ТДЦ5" xr:uid="{00000000-0004-0000-0000-000005000000}"/>
    <hyperlink ref="D22" location="'ТДЦ6'!R1C1" display="ТДЦ6" xr:uid="{00000000-0004-0000-0000-000006000000}"/>
    <hyperlink ref="D24" location="'ТДЦ7'!R1C1" display="ТДЦ7" xr:uid="{00000000-0004-0000-0000-000007000000}"/>
    <hyperlink ref="D26" location="'ТДЦ8'!R2C1" display="ТДЦ8" xr:uid="{00000000-0004-0000-0000-000008000000}"/>
    <hyperlink ref="D28" location="'покр Т'!R1C1" display="покр Т" xr:uid="{00000000-0004-0000-0000-000009000000}"/>
    <hyperlink ref="D30" location="'Т-Сводная'!R1C1" display="Т-Сводная" xr:uid="{00000000-0004-0000-0000-00000A000000}"/>
    <hyperlink ref="D32" location="'Манго ДЦ1'!R1C1" display="Манго ДЦ1" xr:uid="{00000000-0004-0000-0000-00000B000000}"/>
    <hyperlink ref="D34" location="'Манго ДЦ2'!R1C1" display="Манго ДЦ2" xr:uid="{00000000-0004-0000-0000-00000C000000}"/>
    <hyperlink ref="D36" location="'МДЦ1 финанс'!R1C1" display="МДЦ1 финанс" xr:uid="{00000000-0004-0000-0000-00000D000000}"/>
    <hyperlink ref="D38" location="'МДЦ3'!R1C1" display="МДЦ3" xr:uid="{00000000-0004-0000-0000-00000E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84"/>
  <sheetViews>
    <sheetView showGridLines="0" workbookViewId="0">
      <pane xSplit="1" ySplit="2" topLeftCell="B51" activePane="bottomRight" state="frozen"/>
      <selection pane="topRight"/>
      <selection pane="bottomLeft"/>
      <selection pane="bottomRight" activeCell="B40" sqref="B40:R42"/>
    </sheetView>
  </sheetViews>
  <sheetFormatPr defaultColWidth="16.33203125" defaultRowHeight="15.45" customHeight="1"/>
  <cols>
    <col min="1" max="1" width="7.109375" style="5" customWidth="1"/>
    <col min="2" max="2" width="45.5546875" style="5" customWidth="1"/>
    <col min="3" max="3" width="8" style="5" customWidth="1"/>
    <col min="4" max="4" width="9.88671875" style="5" hidden="1" customWidth="1"/>
    <col min="5" max="5" width="10.44140625" style="5" hidden="1" customWidth="1"/>
    <col min="6" max="6" width="11.109375" style="5" hidden="1" customWidth="1"/>
    <col min="7" max="7" width="12.88671875" style="5" hidden="1" customWidth="1"/>
    <col min="8" max="8" width="14.5546875" style="5" hidden="1" customWidth="1"/>
    <col min="9" max="9" width="9.88671875" style="5" hidden="1" customWidth="1"/>
    <col min="10" max="10" width="10.44140625" style="5" hidden="1" customWidth="1"/>
    <col min="11" max="11" width="11.109375" style="5" hidden="1" customWidth="1"/>
    <col min="12" max="12" width="12.88671875" style="5" hidden="1" customWidth="1"/>
    <col min="13" max="13" width="14.5546875" style="5" hidden="1" customWidth="1"/>
    <col min="14" max="14" width="9.88671875" style="5" customWidth="1"/>
    <col min="15" max="15" width="10.44140625" style="5" customWidth="1"/>
    <col min="16" max="16" width="11.109375" style="5" customWidth="1"/>
    <col min="17" max="17" width="12.88671875" style="5" customWidth="1"/>
    <col min="18" max="18" width="14.5546875" style="5" customWidth="1"/>
    <col min="19" max="16384" width="16.33203125" style="5"/>
  </cols>
  <sheetData>
    <row r="1" spans="1:19" ht="14.85" customHeight="1">
      <c r="A1" s="751"/>
      <c r="B1" s="751"/>
      <c r="C1" s="751"/>
      <c r="D1" s="751"/>
      <c r="E1" s="751"/>
      <c r="F1" s="751"/>
      <c r="G1" s="751"/>
      <c r="H1" s="751"/>
    </row>
    <row r="2" spans="1:19" s="589" customFormat="1" ht="16.2" customHeight="1">
      <c r="A2" s="583" t="s">
        <v>73</v>
      </c>
      <c r="B2" s="584"/>
      <c r="C2" s="585"/>
      <c r="D2" s="586"/>
      <c r="E2" s="587"/>
      <c r="F2" s="588"/>
      <c r="G2" s="588"/>
      <c r="H2" s="588"/>
      <c r="I2" s="586"/>
      <c r="J2" s="587"/>
      <c r="K2" s="588"/>
      <c r="L2" s="588"/>
      <c r="M2" s="588"/>
      <c r="N2" s="586"/>
      <c r="O2" s="587"/>
      <c r="P2" s="588"/>
      <c r="Q2" s="588"/>
      <c r="R2" s="588"/>
    </row>
    <row r="3" spans="1:19" s="589" customFormat="1" ht="16.2" customHeight="1">
      <c r="A3" s="583" t="s">
        <v>74</v>
      </c>
      <c r="B3" s="584"/>
      <c r="C3" s="585"/>
      <c r="D3" s="586"/>
      <c r="E3" s="586"/>
      <c r="F3" s="588"/>
      <c r="G3" s="588"/>
      <c r="H3" s="588"/>
      <c r="I3" s="586"/>
      <c r="J3" s="586"/>
      <c r="K3" s="588"/>
      <c r="L3" s="588"/>
      <c r="M3" s="588"/>
      <c r="N3" s="586"/>
      <c r="O3" s="586"/>
      <c r="P3" s="588"/>
      <c r="Q3" s="588"/>
      <c r="R3" s="588"/>
    </row>
    <row r="4" spans="1:19" s="589" customFormat="1" ht="15.9" customHeight="1">
      <c r="A4" s="584"/>
      <c r="B4" s="584"/>
      <c r="C4" s="585"/>
      <c r="D4" s="586"/>
      <c r="E4" s="586"/>
      <c r="F4" s="588"/>
      <c r="G4" s="588"/>
      <c r="H4" s="588"/>
      <c r="I4" s="586"/>
      <c r="J4" s="586"/>
      <c r="K4" s="588"/>
      <c r="L4" s="588"/>
      <c r="M4" s="588"/>
      <c r="N4" s="586"/>
      <c r="O4" s="586"/>
      <c r="P4" s="588"/>
      <c r="Q4" s="588"/>
      <c r="R4" s="588"/>
    </row>
    <row r="5" spans="1:19" s="589" customFormat="1" ht="31.95" customHeight="1">
      <c r="A5" s="590" t="s">
        <v>75</v>
      </c>
      <c r="B5" s="591"/>
      <c r="C5" s="591"/>
      <c r="D5" s="591"/>
      <c r="E5" s="592"/>
      <c r="F5" s="588"/>
      <c r="G5" s="588"/>
      <c r="H5" s="588"/>
      <c r="I5" s="591"/>
      <c r="J5" s="592"/>
      <c r="K5" s="588"/>
      <c r="L5" s="588"/>
      <c r="M5" s="588"/>
      <c r="N5" s="591"/>
      <c r="O5" s="592"/>
      <c r="P5" s="588"/>
      <c r="Q5" s="588"/>
      <c r="R5" s="588"/>
    </row>
    <row r="6" spans="1:19" s="589" customFormat="1" ht="15.9" customHeight="1">
      <c r="A6" s="583" t="s">
        <v>76</v>
      </c>
      <c r="B6" s="593"/>
      <c r="C6" s="594"/>
      <c r="D6" s="592"/>
      <c r="E6" s="592"/>
      <c r="F6" s="588"/>
      <c r="G6" s="588"/>
      <c r="H6" s="588"/>
      <c r="I6" s="592"/>
      <c r="J6" s="592"/>
      <c r="K6" s="588"/>
      <c r="L6" s="588"/>
      <c r="M6" s="588"/>
      <c r="N6" s="592"/>
      <c r="O6" s="592"/>
      <c r="P6" s="588"/>
      <c r="Q6" s="588"/>
      <c r="R6" s="588"/>
    </row>
    <row r="7" spans="1:19" s="589" customFormat="1" ht="15.9" customHeight="1">
      <c r="A7" s="584"/>
      <c r="B7" s="593"/>
      <c r="C7" s="594"/>
      <c r="D7" s="592"/>
      <c r="E7" s="592"/>
      <c r="F7" s="588"/>
      <c r="G7" s="588"/>
      <c r="H7" s="588"/>
      <c r="I7" s="592"/>
      <c r="J7" s="592"/>
      <c r="K7" s="588"/>
      <c r="L7" s="588"/>
      <c r="M7" s="588"/>
      <c r="N7" s="592"/>
      <c r="O7" s="592"/>
      <c r="P7" s="588"/>
      <c r="Q7" s="588"/>
      <c r="R7" s="588"/>
    </row>
    <row r="8" spans="1:19" s="589" customFormat="1" ht="15.9" customHeight="1">
      <c r="A8" s="590" t="s">
        <v>77</v>
      </c>
      <c r="B8" s="591"/>
      <c r="C8" s="591"/>
      <c r="D8" s="591"/>
      <c r="E8" s="586"/>
      <c r="F8" s="588"/>
      <c r="G8" s="588"/>
      <c r="H8" s="588"/>
      <c r="I8" s="591"/>
      <c r="J8" s="586"/>
      <c r="K8" s="588"/>
      <c r="L8" s="588"/>
      <c r="M8" s="588"/>
      <c r="N8" s="591"/>
      <c r="O8" s="586"/>
      <c r="P8" s="588"/>
      <c r="Q8" s="588"/>
      <c r="R8" s="588"/>
    </row>
    <row r="9" spans="1:19" s="589" customFormat="1" ht="12.9" customHeight="1">
      <c r="A9" s="595"/>
      <c r="B9" s="596"/>
      <c r="C9" s="596"/>
      <c r="D9" s="597"/>
      <c r="E9" s="598"/>
      <c r="F9" s="749"/>
      <c r="G9" s="749"/>
      <c r="H9" s="749"/>
      <c r="I9" s="597"/>
      <c r="J9" s="598"/>
      <c r="K9" s="749"/>
      <c r="L9" s="749"/>
      <c r="M9" s="749"/>
      <c r="N9" s="597"/>
      <c r="O9" s="598"/>
      <c r="P9" s="749"/>
      <c r="Q9" s="749"/>
      <c r="R9" s="749"/>
    </row>
    <row r="10" spans="1:19" s="589" customFormat="1" ht="14.7" customHeight="1">
      <c r="A10" s="750" t="s">
        <v>503</v>
      </c>
      <c r="B10" s="750"/>
      <c r="C10" s="599"/>
      <c r="D10" s="599"/>
      <c r="E10" s="599"/>
      <c r="F10" s="599"/>
      <c r="G10" s="599"/>
      <c r="H10" s="599"/>
      <c r="I10" s="599"/>
      <c r="J10" s="599"/>
      <c r="K10" s="599"/>
      <c r="L10" s="599"/>
      <c r="M10" s="599"/>
      <c r="N10" s="599"/>
      <c r="O10" s="599"/>
      <c r="P10" s="599"/>
      <c r="Q10" s="599"/>
      <c r="R10" s="599"/>
    </row>
    <row r="11" spans="1:19" s="589" customFormat="1" ht="14.7" customHeight="1">
      <c r="A11" s="600" t="s">
        <v>78</v>
      </c>
      <c r="B11" s="599"/>
      <c r="C11" s="599"/>
      <c r="D11" s="599"/>
      <c r="E11" s="599"/>
      <c r="F11" s="599"/>
      <c r="G11" s="599"/>
      <c r="H11" s="599"/>
      <c r="I11" s="599"/>
      <c r="J11" s="599"/>
      <c r="K11" s="599"/>
      <c r="L11" s="599"/>
      <c r="M11" s="599"/>
      <c r="N11" s="599"/>
      <c r="O11" s="599"/>
      <c r="P11" s="599"/>
      <c r="Q11" s="599"/>
      <c r="R11" s="599"/>
    </row>
    <row r="12" spans="1:19" s="589" customFormat="1" ht="14.7" customHeight="1">
      <c r="A12" s="600" t="s">
        <v>506</v>
      </c>
      <c r="B12" s="599"/>
      <c r="C12" s="599"/>
      <c r="D12" s="599"/>
      <c r="E12" s="599"/>
      <c r="F12" s="599"/>
      <c r="G12" s="599"/>
      <c r="H12" s="599"/>
      <c r="I12" s="599"/>
      <c r="J12" s="599"/>
      <c r="K12" s="599"/>
      <c r="L12" s="599"/>
      <c r="M12" s="599"/>
      <c r="N12" s="599"/>
      <c r="O12" s="599"/>
      <c r="P12" s="599"/>
      <c r="Q12" s="599"/>
      <c r="R12" s="599"/>
    </row>
    <row r="13" spans="1:19" s="589" customFormat="1" ht="13.95" customHeight="1">
      <c r="A13" s="601"/>
      <c r="B13" s="602"/>
      <c r="C13" s="602"/>
      <c r="D13" s="597"/>
      <c r="E13" s="598"/>
      <c r="F13" s="603"/>
      <c r="G13" s="603"/>
      <c r="H13" s="598"/>
      <c r="I13" s="597"/>
      <c r="J13" s="598"/>
      <c r="K13" s="603"/>
      <c r="L13" s="603"/>
      <c r="M13" s="598"/>
      <c r="N13" s="604"/>
      <c r="O13" s="604"/>
      <c r="P13" s="604"/>
      <c r="Q13" s="604"/>
      <c r="R13" s="604"/>
    </row>
    <row r="14" spans="1:19" s="409" customFormat="1" ht="23.4" customHeight="1">
      <c r="A14" s="426" t="s">
        <v>9</v>
      </c>
      <c r="B14" s="427" t="s">
        <v>10</v>
      </c>
      <c r="C14" s="427" t="s">
        <v>11</v>
      </c>
      <c r="D14" s="428" t="s">
        <v>12</v>
      </c>
      <c r="E14" s="428" t="s">
        <v>13</v>
      </c>
      <c r="F14" s="428" t="s">
        <v>14</v>
      </c>
      <c r="G14" s="428" t="s">
        <v>15</v>
      </c>
      <c r="H14" s="429" t="s">
        <v>16</v>
      </c>
      <c r="I14" s="428" t="s">
        <v>12</v>
      </c>
      <c r="J14" s="428" t="s">
        <v>13</v>
      </c>
      <c r="K14" s="428" t="s">
        <v>14</v>
      </c>
      <c r="L14" s="428" t="s">
        <v>15</v>
      </c>
      <c r="M14" s="429" t="s">
        <v>16</v>
      </c>
      <c r="N14" s="428" t="s">
        <v>12</v>
      </c>
      <c r="O14" s="428" t="s">
        <v>13</v>
      </c>
      <c r="P14" s="428" t="s">
        <v>14</v>
      </c>
      <c r="Q14" s="428" t="s">
        <v>15</v>
      </c>
      <c r="R14" s="429" t="s">
        <v>16</v>
      </c>
    </row>
    <row r="15" spans="1:19" ht="17.399999999999999" hidden="1" customHeight="1">
      <c r="A15" s="103"/>
      <c r="B15" s="104" t="s">
        <v>82</v>
      </c>
      <c r="C15" s="105"/>
      <c r="D15" s="106"/>
      <c r="E15" s="107"/>
      <c r="F15" s="108"/>
      <c r="G15" s="108"/>
      <c r="H15" s="109"/>
      <c r="I15" s="106"/>
      <c r="J15" s="107"/>
      <c r="K15" s="108"/>
      <c r="L15" s="108"/>
      <c r="M15" s="109"/>
      <c r="N15" s="106"/>
      <c r="O15" s="107"/>
      <c r="P15" s="108"/>
      <c r="Q15" s="108"/>
      <c r="R15" s="109"/>
    </row>
    <row r="16" spans="1:19" ht="32.4" hidden="1" customHeight="1">
      <c r="A16" s="103"/>
      <c r="B16" s="110" t="s">
        <v>384</v>
      </c>
      <c r="C16" s="111" t="s">
        <v>385</v>
      </c>
      <c r="D16" s="106">
        <v>1</v>
      </c>
      <c r="E16" s="107">
        <v>5500</v>
      </c>
      <c r="F16" s="108"/>
      <c r="G16" s="108">
        <f>D16*E16</f>
        <v>5500</v>
      </c>
      <c r="H16" s="109"/>
      <c r="I16" s="106">
        <v>1</v>
      </c>
      <c r="J16" s="107">
        <v>5500</v>
      </c>
      <c r="K16" s="108"/>
      <c r="L16" s="108">
        <f>I16*J16</f>
        <v>5500</v>
      </c>
      <c r="M16" s="109"/>
      <c r="N16" s="106"/>
      <c r="O16" s="107">
        <v>5500</v>
      </c>
      <c r="P16" s="108"/>
      <c r="Q16" s="108">
        <f>N16*O16</f>
        <v>0</v>
      </c>
      <c r="R16" s="109"/>
      <c r="S16" s="406"/>
    </row>
    <row r="17" spans="1:19" ht="17.399999999999999" hidden="1" customHeight="1">
      <c r="A17" s="103"/>
      <c r="B17" s="113" t="s">
        <v>455</v>
      </c>
      <c r="C17" s="111" t="s">
        <v>386</v>
      </c>
      <c r="D17" s="106">
        <v>17.2</v>
      </c>
      <c r="E17" s="107"/>
      <c r="F17" s="108">
        <v>146.33000000000001</v>
      </c>
      <c r="G17" s="108"/>
      <c r="H17" s="109">
        <f>D17*F17</f>
        <v>2516.8760000000002</v>
      </c>
      <c r="I17" s="106">
        <v>6.2</v>
      </c>
      <c r="J17" s="107"/>
      <c r="K17" s="108">
        <v>363.6</v>
      </c>
      <c r="L17" s="108"/>
      <c r="M17" s="109">
        <f>I17*K17</f>
        <v>2254.3200000000002</v>
      </c>
      <c r="N17" s="106"/>
      <c r="O17" s="107"/>
      <c r="P17" s="108">
        <v>146.33000000000001</v>
      </c>
      <c r="Q17" s="108"/>
      <c r="R17" s="109">
        <f>N17*P17</f>
        <v>0</v>
      </c>
      <c r="S17" s="406"/>
    </row>
    <row r="18" spans="1:19" ht="17.399999999999999" hidden="1" customHeight="1">
      <c r="A18" s="103"/>
      <c r="B18" s="113" t="s">
        <v>87</v>
      </c>
      <c r="C18" s="111" t="s">
        <v>88</v>
      </c>
      <c r="D18" s="106">
        <v>2</v>
      </c>
      <c r="E18" s="107"/>
      <c r="F18" s="108">
        <v>89.19</v>
      </c>
      <c r="G18" s="108"/>
      <c r="H18" s="109">
        <f>D18*F18</f>
        <v>178.38</v>
      </c>
      <c r="I18" s="106">
        <v>1</v>
      </c>
      <c r="J18" s="107"/>
      <c r="K18" s="108">
        <v>89.19</v>
      </c>
      <c r="L18" s="108"/>
      <c r="M18" s="109">
        <f>I18*K18</f>
        <v>89.19</v>
      </c>
      <c r="N18" s="106"/>
      <c r="O18" s="107"/>
      <c r="P18" s="108">
        <v>89.19</v>
      </c>
      <c r="Q18" s="108"/>
      <c r="R18" s="109">
        <f>N18*P18</f>
        <v>0</v>
      </c>
      <c r="S18" s="406"/>
    </row>
    <row r="19" spans="1:19" ht="17.399999999999999" hidden="1" customHeight="1">
      <c r="A19" s="103"/>
      <c r="B19" s="113" t="s">
        <v>89</v>
      </c>
      <c r="C19" s="111" t="s">
        <v>21</v>
      </c>
      <c r="D19" s="106">
        <v>2</v>
      </c>
      <c r="E19" s="107"/>
      <c r="F19" s="108">
        <v>42.16</v>
      </c>
      <c r="G19" s="108"/>
      <c r="H19" s="109">
        <f>D19*F19</f>
        <v>84.32</v>
      </c>
      <c r="I19" s="106">
        <v>1</v>
      </c>
      <c r="J19" s="107"/>
      <c r="K19" s="108">
        <v>42.16</v>
      </c>
      <c r="L19" s="108"/>
      <c r="M19" s="109">
        <f>I19*K19</f>
        <v>42.16</v>
      </c>
      <c r="N19" s="106"/>
      <c r="O19" s="107"/>
      <c r="P19" s="108">
        <v>42.16</v>
      </c>
      <c r="Q19" s="108"/>
      <c r="R19" s="109">
        <f>N19*P19</f>
        <v>0</v>
      </c>
      <c r="S19" s="406"/>
    </row>
    <row r="20" spans="1:19" ht="32.4" hidden="1" customHeight="1">
      <c r="A20" s="103"/>
      <c r="B20" s="110" t="s">
        <v>387</v>
      </c>
      <c r="C20" s="111" t="s">
        <v>385</v>
      </c>
      <c r="D20" s="106">
        <v>1</v>
      </c>
      <c r="E20" s="107">
        <v>2200</v>
      </c>
      <c r="F20" s="108"/>
      <c r="G20" s="108">
        <f>D20*E20</f>
        <v>2200</v>
      </c>
      <c r="H20" s="109"/>
      <c r="I20" s="106">
        <v>1</v>
      </c>
      <c r="J20" s="107">
        <v>2200</v>
      </c>
      <c r="K20" s="108"/>
      <c r="L20" s="108">
        <f>I20*J20</f>
        <v>2200</v>
      </c>
      <c r="M20" s="109"/>
      <c r="N20" s="106"/>
      <c r="O20" s="107">
        <v>2200</v>
      </c>
      <c r="P20" s="108"/>
      <c r="Q20" s="108">
        <f>N20*O20</f>
        <v>0</v>
      </c>
      <c r="R20" s="109"/>
      <c r="S20" s="406"/>
    </row>
    <row r="21" spans="1:19" ht="17.399999999999999" hidden="1" customHeight="1">
      <c r="A21" s="103"/>
      <c r="B21" s="113" t="s">
        <v>87</v>
      </c>
      <c r="C21" s="111" t="s">
        <v>88</v>
      </c>
      <c r="D21" s="106">
        <v>1</v>
      </c>
      <c r="E21" s="107"/>
      <c r="F21" s="108">
        <v>89.19</v>
      </c>
      <c r="G21" s="108"/>
      <c r="H21" s="109">
        <f>D21*F21</f>
        <v>89.19</v>
      </c>
      <c r="I21" s="106">
        <v>1</v>
      </c>
      <c r="J21" s="107"/>
      <c r="K21" s="108">
        <v>89.19</v>
      </c>
      <c r="L21" s="108"/>
      <c r="M21" s="109">
        <f>I21*K21</f>
        <v>89.19</v>
      </c>
      <c r="N21" s="106"/>
      <c r="O21" s="107"/>
      <c r="P21" s="108">
        <v>89.19</v>
      </c>
      <c r="Q21" s="108"/>
      <c r="R21" s="109">
        <f>N21*P21</f>
        <v>0</v>
      </c>
      <c r="S21" s="406"/>
    </row>
    <row r="22" spans="1:19" ht="17.399999999999999" hidden="1" customHeight="1">
      <c r="A22" s="103"/>
      <c r="B22" s="113" t="s">
        <v>89</v>
      </c>
      <c r="C22" s="111" t="s">
        <v>21</v>
      </c>
      <c r="D22" s="106">
        <v>2</v>
      </c>
      <c r="E22" s="107"/>
      <c r="F22" s="108">
        <v>42.16</v>
      </c>
      <c r="G22" s="108"/>
      <c r="H22" s="109">
        <f>D22*F22</f>
        <v>84.32</v>
      </c>
      <c r="I22" s="106">
        <v>2</v>
      </c>
      <c r="J22" s="107"/>
      <c r="K22" s="108">
        <v>42.16</v>
      </c>
      <c r="L22" s="108"/>
      <c r="M22" s="109">
        <f>I22*K22</f>
        <v>84.32</v>
      </c>
      <c r="N22" s="106"/>
      <c r="O22" s="107"/>
      <c r="P22" s="108">
        <v>42.16</v>
      </c>
      <c r="Q22" s="108"/>
      <c r="R22" s="109">
        <f>N22*P22</f>
        <v>0</v>
      </c>
      <c r="S22" s="406"/>
    </row>
    <row r="23" spans="1:19" ht="17.399999999999999" hidden="1" customHeight="1">
      <c r="A23" s="103"/>
      <c r="B23" s="114" t="s">
        <v>90</v>
      </c>
      <c r="C23" s="111" t="s">
        <v>37</v>
      </c>
      <c r="D23" s="106">
        <f>0.16*D17</f>
        <v>2.7519999999999998</v>
      </c>
      <c r="E23" s="107">
        <v>90</v>
      </c>
      <c r="F23" s="108"/>
      <c r="G23" s="108">
        <f>D23*E23</f>
        <v>247.67999999999998</v>
      </c>
      <c r="H23" s="109"/>
      <c r="I23" s="106">
        <v>2</v>
      </c>
      <c r="J23" s="107">
        <v>90</v>
      </c>
      <c r="K23" s="108"/>
      <c r="L23" s="108">
        <f>I23*J23</f>
        <v>180</v>
      </c>
      <c r="M23" s="109"/>
      <c r="N23" s="106"/>
      <c r="O23" s="107">
        <v>90</v>
      </c>
      <c r="P23" s="108"/>
      <c r="Q23" s="108">
        <f>N23*O23</f>
        <v>0</v>
      </c>
      <c r="R23" s="109"/>
      <c r="S23" s="406"/>
    </row>
    <row r="24" spans="1:19" ht="17.399999999999999" hidden="1" customHeight="1">
      <c r="A24" s="103"/>
      <c r="B24" s="113" t="s">
        <v>91</v>
      </c>
      <c r="C24" s="111" t="s">
        <v>92</v>
      </c>
      <c r="D24" s="106">
        <f>D23*0.2</f>
        <v>0.5504</v>
      </c>
      <c r="E24" s="107"/>
      <c r="F24" s="108">
        <v>56</v>
      </c>
      <c r="G24" s="108"/>
      <c r="H24" s="109">
        <f>D24*F24</f>
        <v>30.822400000000002</v>
      </c>
      <c r="I24" s="106">
        <f>I23*0.2</f>
        <v>0.4</v>
      </c>
      <c r="J24" s="107"/>
      <c r="K24" s="108">
        <v>56</v>
      </c>
      <c r="L24" s="108"/>
      <c r="M24" s="109">
        <f>I24*K24</f>
        <v>22.400000000000002</v>
      </c>
      <c r="N24" s="106"/>
      <c r="O24" s="107"/>
      <c r="P24" s="108">
        <v>56</v>
      </c>
      <c r="Q24" s="108"/>
      <c r="R24" s="109">
        <f>N24*P24</f>
        <v>0</v>
      </c>
      <c r="S24" s="406"/>
    </row>
    <row r="25" spans="1:19" ht="17.399999999999999" hidden="1" customHeight="1">
      <c r="A25" s="103"/>
      <c r="B25" s="113" t="s">
        <v>93</v>
      </c>
      <c r="C25" s="111" t="s">
        <v>92</v>
      </c>
      <c r="D25" s="106">
        <v>0.2</v>
      </c>
      <c r="E25" s="107"/>
      <c r="F25" s="108">
        <v>54</v>
      </c>
      <c r="G25" s="108"/>
      <c r="H25" s="109">
        <f>D25*F25</f>
        <v>10.8</v>
      </c>
      <c r="I25" s="106">
        <v>0.2</v>
      </c>
      <c r="J25" s="107"/>
      <c r="K25" s="108">
        <v>54</v>
      </c>
      <c r="L25" s="108"/>
      <c r="M25" s="109">
        <f>I25*K25</f>
        <v>10.8</v>
      </c>
      <c r="N25" s="106"/>
      <c r="O25" s="107"/>
      <c r="P25" s="108">
        <v>54</v>
      </c>
      <c r="Q25" s="108"/>
      <c r="R25" s="109">
        <f>N25*P25</f>
        <v>0</v>
      </c>
      <c r="S25" s="406"/>
    </row>
    <row r="26" spans="1:19" ht="13.65" customHeight="1">
      <c r="A26" s="115"/>
      <c r="B26" s="368"/>
      <c r="C26" s="369"/>
      <c r="D26" s="370"/>
      <c r="E26" s="371"/>
      <c r="F26" s="371"/>
      <c r="G26" s="371"/>
      <c r="H26" s="360"/>
      <c r="I26" s="370"/>
      <c r="J26" s="371"/>
      <c r="K26" s="371"/>
      <c r="L26" s="371"/>
      <c r="M26" s="360"/>
      <c r="N26" s="370"/>
      <c r="O26" s="371"/>
      <c r="P26" s="371"/>
      <c r="Q26" s="371"/>
      <c r="R26" s="360"/>
      <c r="S26" s="406"/>
    </row>
    <row r="27" spans="1:19" ht="13.65" customHeight="1">
      <c r="A27" s="115"/>
      <c r="B27" s="150" t="s">
        <v>112</v>
      </c>
      <c r="C27" s="150" t="s">
        <v>37</v>
      </c>
      <c r="D27" s="151">
        <v>238</v>
      </c>
      <c r="E27" s="152">
        <v>22</v>
      </c>
      <c r="F27" s="153"/>
      <c r="G27" s="154">
        <f>D27*E27</f>
        <v>5236</v>
      </c>
      <c r="H27" s="156"/>
      <c r="I27" s="151">
        <v>238</v>
      </c>
      <c r="J27" s="152">
        <v>22</v>
      </c>
      <c r="K27" s="153"/>
      <c r="L27" s="154">
        <f>I27*J27</f>
        <v>5236</v>
      </c>
      <c r="M27" s="156"/>
      <c r="N27" s="151">
        <v>50.8</v>
      </c>
      <c r="O27" s="152">
        <v>22</v>
      </c>
      <c r="P27" s="153"/>
      <c r="Q27" s="154">
        <f>N27*O27</f>
        <v>1117.5999999999999</v>
      </c>
      <c r="R27" s="156"/>
      <c r="S27" s="406"/>
    </row>
    <row r="28" spans="1:19" ht="13.65" customHeight="1">
      <c r="A28" s="115"/>
      <c r="B28" s="157" t="s">
        <v>113</v>
      </c>
      <c r="C28" s="157" t="s">
        <v>92</v>
      </c>
      <c r="D28" s="158">
        <f>D27*0.2</f>
        <v>47.6</v>
      </c>
      <c r="E28" s="159"/>
      <c r="F28" s="372">
        <v>20.02</v>
      </c>
      <c r="G28" s="154"/>
      <c r="H28" s="156">
        <f>F28*D28</f>
        <v>952.952</v>
      </c>
      <c r="I28" s="158">
        <f>I27*0.2</f>
        <v>47.6</v>
      </c>
      <c r="J28" s="159"/>
      <c r="K28" s="372">
        <v>20.02</v>
      </c>
      <c r="L28" s="154"/>
      <c r="M28" s="156">
        <f>K28*I28</f>
        <v>952.952</v>
      </c>
      <c r="N28" s="158">
        <f>N27*0.2</f>
        <v>10.16</v>
      </c>
      <c r="O28" s="159"/>
      <c r="P28" s="372">
        <v>20.02</v>
      </c>
      <c r="Q28" s="154"/>
      <c r="R28" s="156">
        <f>P28*N28</f>
        <v>203.4032</v>
      </c>
      <c r="S28" s="406"/>
    </row>
    <row r="29" spans="1:19" ht="13.65" customHeight="1">
      <c r="A29" s="115"/>
      <c r="B29" s="44" t="s">
        <v>388</v>
      </c>
      <c r="C29" s="43" t="s">
        <v>37</v>
      </c>
      <c r="D29" s="128">
        <v>238</v>
      </c>
      <c r="E29" s="129">
        <v>110</v>
      </c>
      <c r="F29" s="129"/>
      <c r="G29" s="129">
        <f>D29*E29</f>
        <v>26180</v>
      </c>
      <c r="H29" s="132"/>
      <c r="I29" s="128">
        <v>172</v>
      </c>
      <c r="J29" s="129">
        <v>110</v>
      </c>
      <c r="K29" s="129"/>
      <c r="L29" s="129">
        <f>I29*J29</f>
        <v>18920</v>
      </c>
      <c r="M29" s="132"/>
      <c r="N29" s="128">
        <v>50.8</v>
      </c>
      <c r="O29" s="129">
        <v>110</v>
      </c>
      <c r="P29" s="129"/>
      <c r="Q29" s="129">
        <f>N29*O29</f>
        <v>5588</v>
      </c>
      <c r="R29" s="132"/>
      <c r="S29" s="406"/>
    </row>
    <row r="30" spans="1:19" ht="13.65" customHeight="1">
      <c r="A30" s="115"/>
      <c r="B30" s="48" t="s">
        <v>389</v>
      </c>
      <c r="C30" s="48" t="s">
        <v>37</v>
      </c>
      <c r="D30" s="133">
        <f>D29*1.1</f>
        <v>261.8</v>
      </c>
      <c r="E30" s="134"/>
      <c r="F30" s="134">
        <v>49</v>
      </c>
      <c r="G30" s="135"/>
      <c r="H30" s="132">
        <f>F30*D30</f>
        <v>12828.2</v>
      </c>
      <c r="I30" s="133">
        <f>I29*1.1</f>
        <v>189.20000000000002</v>
      </c>
      <c r="J30" s="134"/>
      <c r="K30" s="134">
        <v>49</v>
      </c>
      <c r="L30" s="135"/>
      <c r="M30" s="132">
        <f>K30*I30</f>
        <v>9270.8000000000011</v>
      </c>
      <c r="N30" s="133">
        <f>N29*1.1</f>
        <v>55.88</v>
      </c>
      <c r="O30" s="134"/>
      <c r="P30" s="134">
        <v>49</v>
      </c>
      <c r="Q30" s="135"/>
      <c r="R30" s="132">
        <f>P30*N30</f>
        <v>2738.1200000000003</v>
      </c>
      <c r="S30" s="406"/>
    </row>
    <row r="31" spans="1:19" ht="13.65" customHeight="1">
      <c r="A31" s="115"/>
      <c r="B31" s="48" t="s">
        <v>179</v>
      </c>
      <c r="C31" s="48" t="s">
        <v>88</v>
      </c>
      <c r="D31" s="133">
        <f>D29*2</f>
        <v>476</v>
      </c>
      <c r="E31" s="134"/>
      <c r="F31" s="134">
        <v>5</v>
      </c>
      <c r="G31" s="135"/>
      <c r="H31" s="132">
        <f>F31*D31</f>
        <v>2380</v>
      </c>
      <c r="I31" s="133">
        <f>I29*2</f>
        <v>344</v>
      </c>
      <c r="J31" s="134"/>
      <c r="K31" s="134">
        <v>5</v>
      </c>
      <c r="L31" s="135"/>
      <c r="M31" s="132">
        <f>K31*I31</f>
        <v>1720</v>
      </c>
      <c r="N31" s="133">
        <f>N29*2</f>
        <v>101.6</v>
      </c>
      <c r="O31" s="134"/>
      <c r="P31" s="134">
        <v>5</v>
      </c>
      <c r="Q31" s="135"/>
      <c r="R31" s="132">
        <f>P31*N31</f>
        <v>508</v>
      </c>
      <c r="S31" s="406"/>
    </row>
    <row r="32" spans="1:19" ht="13.65" customHeight="1">
      <c r="A32" s="115"/>
      <c r="B32" s="44" t="s">
        <v>390</v>
      </c>
      <c r="C32" s="43" t="s">
        <v>37</v>
      </c>
      <c r="D32" s="128">
        <v>238</v>
      </c>
      <c r="E32" s="129">
        <v>120</v>
      </c>
      <c r="F32" s="129"/>
      <c r="G32" s="129">
        <f>D32*E32</f>
        <v>28560</v>
      </c>
      <c r="H32" s="132"/>
      <c r="I32" s="128">
        <v>172</v>
      </c>
      <c r="J32" s="129">
        <v>120</v>
      </c>
      <c r="K32" s="129"/>
      <c r="L32" s="129">
        <f>I32*J32</f>
        <v>20640</v>
      </c>
      <c r="M32" s="132"/>
      <c r="N32" s="128">
        <v>50.8</v>
      </c>
      <c r="O32" s="129">
        <v>120</v>
      </c>
      <c r="P32" s="129"/>
      <c r="Q32" s="129">
        <f>N32*O32</f>
        <v>6096</v>
      </c>
      <c r="R32" s="132"/>
      <c r="S32" s="406"/>
    </row>
    <row r="33" spans="1:19" ht="13.65" customHeight="1">
      <c r="A33" s="115"/>
      <c r="B33" s="48" t="s">
        <v>179</v>
      </c>
      <c r="C33" s="48" t="s">
        <v>88</v>
      </c>
      <c r="D33" s="133">
        <f>D32*2.7</f>
        <v>642.6</v>
      </c>
      <c r="E33" s="134"/>
      <c r="F33" s="134">
        <v>5</v>
      </c>
      <c r="G33" s="135"/>
      <c r="H33" s="132">
        <f>F33*D33</f>
        <v>3213</v>
      </c>
      <c r="I33" s="133">
        <f>I32*2.7</f>
        <v>464.40000000000003</v>
      </c>
      <c r="J33" s="134"/>
      <c r="K33" s="134">
        <v>5</v>
      </c>
      <c r="L33" s="135"/>
      <c r="M33" s="132">
        <f>K33*I33</f>
        <v>2322</v>
      </c>
      <c r="N33" s="133">
        <f>N32*2.7</f>
        <v>137.16</v>
      </c>
      <c r="O33" s="134"/>
      <c r="P33" s="134">
        <v>5</v>
      </c>
      <c r="Q33" s="135"/>
      <c r="R33" s="132">
        <f>P33*N33</f>
        <v>685.8</v>
      </c>
      <c r="S33" s="406"/>
    </row>
    <row r="34" spans="1:19" ht="13.65" customHeight="1">
      <c r="A34" s="115"/>
      <c r="B34" s="150" t="s">
        <v>142</v>
      </c>
      <c r="C34" s="150" t="s">
        <v>37</v>
      </c>
      <c r="D34" s="151">
        <v>53</v>
      </c>
      <c r="E34" s="152">
        <v>22</v>
      </c>
      <c r="F34" s="153"/>
      <c r="G34" s="154">
        <f>D34*E34</f>
        <v>1166</v>
      </c>
      <c r="H34" s="156"/>
      <c r="I34" s="151">
        <v>27</v>
      </c>
      <c r="J34" s="152">
        <v>22</v>
      </c>
      <c r="K34" s="153"/>
      <c r="L34" s="154">
        <f>I34*J34</f>
        <v>594</v>
      </c>
      <c r="M34" s="156"/>
      <c r="N34" s="151">
        <v>26.4</v>
      </c>
      <c r="O34" s="152">
        <v>22</v>
      </c>
      <c r="P34" s="153"/>
      <c r="Q34" s="154">
        <f>N34*O34</f>
        <v>580.79999999999995</v>
      </c>
      <c r="R34" s="156"/>
      <c r="S34" s="406"/>
    </row>
    <row r="35" spans="1:19" ht="13.65" customHeight="1">
      <c r="A35" s="115"/>
      <c r="B35" s="157" t="s">
        <v>113</v>
      </c>
      <c r="C35" s="157" t="s">
        <v>92</v>
      </c>
      <c r="D35" s="158">
        <f>D34*0.2</f>
        <v>10.600000000000001</v>
      </c>
      <c r="E35" s="159"/>
      <c r="F35" s="372">
        <v>20.02</v>
      </c>
      <c r="G35" s="154"/>
      <c r="H35" s="156">
        <f>F35*D35</f>
        <v>212.21200000000002</v>
      </c>
      <c r="I35" s="158">
        <f>I34*0.2</f>
        <v>5.4</v>
      </c>
      <c r="J35" s="159"/>
      <c r="K35" s="372">
        <v>20.02</v>
      </c>
      <c r="L35" s="154"/>
      <c r="M35" s="156">
        <f>K35*I35</f>
        <v>108.108</v>
      </c>
      <c r="N35" s="158">
        <f>N34*0.2</f>
        <v>5.28</v>
      </c>
      <c r="O35" s="159"/>
      <c r="P35" s="372">
        <v>20.02</v>
      </c>
      <c r="Q35" s="154"/>
      <c r="R35" s="156">
        <f>P35*N35</f>
        <v>105.7056</v>
      </c>
      <c r="S35" s="406"/>
    </row>
    <row r="36" spans="1:19" ht="24.6" customHeight="1">
      <c r="A36" s="115"/>
      <c r="B36" s="44" t="s">
        <v>391</v>
      </c>
      <c r="C36" s="43" t="s">
        <v>37</v>
      </c>
      <c r="D36" s="128">
        <v>26</v>
      </c>
      <c r="E36" s="129">
        <v>200</v>
      </c>
      <c r="F36" s="129"/>
      <c r="G36" s="129">
        <f>D36*E36</f>
        <v>5200</v>
      </c>
      <c r="H36" s="132"/>
      <c r="I36" s="128"/>
      <c r="J36" s="129">
        <v>200</v>
      </c>
      <c r="K36" s="129"/>
      <c r="L36" s="129">
        <f>I36*J36</f>
        <v>0</v>
      </c>
      <c r="M36" s="132"/>
      <c r="N36" s="128">
        <v>26.4</v>
      </c>
      <c r="O36" s="129">
        <v>200</v>
      </c>
      <c r="P36" s="129"/>
      <c r="Q36" s="129">
        <f>N36*O36</f>
        <v>5280</v>
      </c>
      <c r="R36" s="132"/>
      <c r="S36" s="406"/>
    </row>
    <row r="37" spans="1:19" ht="13.65" customHeight="1">
      <c r="A37" s="115"/>
      <c r="B37" s="48" t="s">
        <v>392</v>
      </c>
      <c r="C37" s="48" t="s">
        <v>21</v>
      </c>
      <c r="D37" s="133">
        <f>D36*35*1.7*0.025</f>
        <v>38.675000000000004</v>
      </c>
      <c r="E37" s="134"/>
      <c r="F37" s="134">
        <v>59.25</v>
      </c>
      <c r="G37" s="135"/>
      <c r="H37" s="132">
        <f>F37*D37</f>
        <v>2291.4937500000001</v>
      </c>
      <c r="I37" s="133">
        <f>I36*35*1.7*0.025</f>
        <v>0</v>
      </c>
      <c r="J37" s="134"/>
      <c r="K37" s="134">
        <v>59.25</v>
      </c>
      <c r="L37" s="135"/>
      <c r="M37" s="132">
        <f>K37*I37</f>
        <v>0</v>
      </c>
      <c r="N37" s="133">
        <v>22</v>
      </c>
      <c r="O37" s="134"/>
      <c r="P37" s="134">
        <v>59.25</v>
      </c>
      <c r="Q37" s="135"/>
      <c r="R37" s="132">
        <f>P37*N37</f>
        <v>1303.5</v>
      </c>
      <c r="S37" s="406"/>
    </row>
    <row r="38" spans="1:19" ht="13.65" customHeight="1">
      <c r="A38" s="115"/>
      <c r="B38" s="44" t="s">
        <v>393</v>
      </c>
      <c r="C38" s="43" t="s">
        <v>37</v>
      </c>
      <c r="D38" s="128">
        <v>27</v>
      </c>
      <c r="E38" s="129">
        <v>160</v>
      </c>
      <c r="F38" s="129"/>
      <c r="G38" s="129">
        <f>D38*E38</f>
        <v>4320</v>
      </c>
      <c r="H38" s="132"/>
      <c r="I38" s="128">
        <v>27</v>
      </c>
      <c r="J38" s="129">
        <v>160</v>
      </c>
      <c r="K38" s="129"/>
      <c r="L38" s="129">
        <f>I38*J38</f>
        <v>4320</v>
      </c>
      <c r="M38" s="132"/>
      <c r="N38" s="128">
        <v>26.4</v>
      </c>
      <c r="O38" s="129">
        <v>160</v>
      </c>
      <c r="P38" s="129"/>
      <c r="Q38" s="129">
        <f>N38*O38</f>
        <v>4224</v>
      </c>
      <c r="R38" s="132"/>
      <c r="S38" s="406"/>
    </row>
    <row r="39" spans="1:19" ht="13.65" customHeight="1">
      <c r="A39" s="115"/>
      <c r="B39" s="48" t="s">
        <v>394</v>
      </c>
      <c r="C39" s="48" t="s">
        <v>21</v>
      </c>
      <c r="D39" s="133">
        <f>D38*15*1.8*0.025</f>
        <v>18.225000000000001</v>
      </c>
      <c r="E39" s="134"/>
      <c r="F39" s="134">
        <v>156.12</v>
      </c>
      <c r="G39" s="135"/>
      <c r="H39" s="132">
        <f>F39*D39</f>
        <v>2845.2870000000003</v>
      </c>
      <c r="I39" s="133">
        <f>I38*15*1.8*0.025</f>
        <v>18.225000000000001</v>
      </c>
      <c r="J39" s="134"/>
      <c r="K39" s="134">
        <v>156.12</v>
      </c>
      <c r="L39" s="135"/>
      <c r="M39" s="132">
        <f>K39*I39</f>
        <v>2845.2870000000003</v>
      </c>
      <c r="N39" s="133">
        <v>18</v>
      </c>
      <c r="O39" s="134"/>
      <c r="P39" s="134">
        <v>156.12</v>
      </c>
      <c r="Q39" s="135"/>
      <c r="R39" s="132">
        <f>P39*N39</f>
        <v>2810.16</v>
      </c>
      <c r="S39" s="406"/>
    </row>
    <row r="40" spans="1:19" ht="13.65" customHeight="1">
      <c r="A40" s="115"/>
      <c r="B40" s="44" t="s">
        <v>395</v>
      </c>
      <c r="C40" s="43" t="s">
        <v>37</v>
      </c>
      <c r="D40" s="128">
        <v>27</v>
      </c>
      <c r="E40" s="129">
        <v>160</v>
      </c>
      <c r="F40" s="129"/>
      <c r="G40" s="129">
        <f>D40*E40</f>
        <v>4320</v>
      </c>
      <c r="H40" s="132"/>
      <c r="I40" s="128">
        <v>27</v>
      </c>
      <c r="J40" s="129">
        <v>160</v>
      </c>
      <c r="K40" s="129"/>
      <c r="L40" s="129">
        <f>I40*J40</f>
        <v>4320</v>
      </c>
      <c r="M40" s="132"/>
      <c r="N40" s="128"/>
      <c r="O40" s="129">
        <v>160</v>
      </c>
      <c r="P40" s="129"/>
      <c r="Q40" s="129">
        <f>N40*O40</f>
        <v>0</v>
      </c>
      <c r="R40" s="132"/>
      <c r="S40" s="406"/>
    </row>
    <row r="41" spans="1:19" ht="13.65" customHeight="1">
      <c r="A41" s="115"/>
      <c r="B41" s="48" t="s">
        <v>396</v>
      </c>
      <c r="C41" s="48" t="s">
        <v>397</v>
      </c>
      <c r="D41" s="133">
        <v>9</v>
      </c>
      <c r="E41" s="134"/>
      <c r="F41" s="134">
        <v>1898.88</v>
      </c>
      <c r="G41" s="135"/>
      <c r="H41" s="132">
        <f>F41*D41</f>
        <v>17089.920000000002</v>
      </c>
      <c r="I41" s="133">
        <v>9</v>
      </c>
      <c r="J41" s="134"/>
      <c r="K41" s="134">
        <v>1898.88</v>
      </c>
      <c r="L41" s="135"/>
      <c r="M41" s="132">
        <f>K41*I41</f>
        <v>17089.920000000002</v>
      </c>
      <c r="N41" s="133"/>
      <c r="O41" s="134"/>
      <c r="P41" s="134">
        <v>1898.88</v>
      </c>
      <c r="Q41" s="135"/>
      <c r="R41" s="132">
        <f>P41*N41</f>
        <v>0</v>
      </c>
      <c r="S41" s="406"/>
    </row>
    <row r="42" spans="1:19" ht="13.65" customHeight="1">
      <c r="A42" s="115"/>
      <c r="B42" s="48" t="s">
        <v>398</v>
      </c>
      <c r="C42" s="48" t="s">
        <v>21</v>
      </c>
      <c r="D42" s="133">
        <f>D40*20</f>
        <v>540</v>
      </c>
      <c r="E42" s="134"/>
      <c r="F42" s="134">
        <v>0.83</v>
      </c>
      <c r="G42" s="135"/>
      <c r="H42" s="132">
        <f>F42*D42</f>
        <v>448.2</v>
      </c>
      <c r="I42" s="133">
        <f>I40*20</f>
        <v>540</v>
      </c>
      <c r="J42" s="134"/>
      <c r="K42" s="134">
        <v>0.83</v>
      </c>
      <c r="L42" s="135"/>
      <c r="M42" s="132">
        <f>K42*I42</f>
        <v>448.2</v>
      </c>
      <c r="N42" s="133"/>
      <c r="O42" s="134"/>
      <c r="P42" s="134">
        <v>0.83</v>
      </c>
      <c r="Q42" s="135"/>
      <c r="R42" s="132">
        <f>P42*N42</f>
        <v>0</v>
      </c>
      <c r="S42" s="406"/>
    </row>
    <row r="43" spans="1:19" ht="13.65" customHeight="1">
      <c r="A43" s="115"/>
      <c r="B43" s="44" t="s">
        <v>399</v>
      </c>
      <c r="C43" s="43" t="s">
        <v>37</v>
      </c>
      <c r="D43" s="128">
        <v>6.2</v>
      </c>
      <c r="E43" s="129">
        <v>160</v>
      </c>
      <c r="F43" s="129"/>
      <c r="G43" s="129">
        <f>D43*E43</f>
        <v>992</v>
      </c>
      <c r="H43" s="132"/>
      <c r="I43" s="128">
        <v>6.2</v>
      </c>
      <c r="J43" s="129">
        <v>160</v>
      </c>
      <c r="K43" s="129"/>
      <c r="L43" s="129">
        <f>I43*J43</f>
        <v>992</v>
      </c>
      <c r="M43" s="132"/>
      <c r="N43" s="128"/>
      <c r="O43" s="129">
        <v>160</v>
      </c>
      <c r="P43" s="129"/>
      <c r="Q43" s="129">
        <f>N43*O43</f>
        <v>0</v>
      </c>
      <c r="R43" s="132"/>
      <c r="S43" s="406"/>
    </row>
    <row r="44" spans="1:19" ht="13.65" customHeight="1">
      <c r="A44" s="115"/>
      <c r="B44" s="48" t="s">
        <v>400</v>
      </c>
      <c r="C44" s="48" t="s">
        <v>37</v>
      </c>
      <c r="D44" s="133">
        <v>6.2</v>
      </c>
      <c r="E44" s="134"/>
      <c r="F44" s="134">
        <v>105.78</v>
      </c>
      <c r="G44" s="135"/>
      <c r="H44" s="132">
        <f>F44*D44</f>
        <v>655.83600000000001</v>
      </c>
      <c r="I44" s="133">
        <v>6.2</v>
      </c>
      <c r="J44" s="134"/>
      <c r="K44" s="134">
        <v>105.78</v>
      </c>
      <c r="L44" s="135"/>
      <c r="M44" s="132">
        <f>K44*I44</f>
        <v>655.83600000000001</v>
      </c>
      <c r="N44" s="133"/>
      <c r="O44" s="134"/>
      <c r="P44" s="134">
        <v>105.78</v>
      </c>
      <c r="Q44" s="135"/>
      <c r="R44" s="132">
        <f>P44*N44</f>
        <v>0</v>
      </c>
      <c r="S44" s="406"/>
    </row>
    <row r="45" spans="1:19" ht="13.65" customHeight="1">
      <c r="A45" s="115"/>
      <c r="B45" s="48" t="s">
        <v>398</v>
      </c>
      <c r="C45" s="48" t="s">
        <v>21</v>
      </c>
      <c r="D45" s="133">
        <f>D43*12</f>
        <v>74.400000000000006</v>
      </c>
      <c r="E45" s="134"/>
      <c r="F45" s="134">
        <v>0.83</v>
      </c>
      <c r="G45" s="135"/>
      <c r="H45" s="132">
        <f>F45*D45</f>
        <v>61.752000000000002</v>
      </c>
      <c r="I45" s="133">
        <f>I43*12</f>
        <v>74.400000000000006</v>
      </c>
      <c r="J45" s="134"/>
      <c r="K45" s="134">
        <v>0.83</v>
      </c>
      <c r="L45" s="135"/>
      <c r="M45" s="132">
        <f>K45*I45</f>
        <v>61.752000000000002</v>
      </c>
      <c r="N45" s="133"/>
      <c r="O45" s="134"/>
      <c r="P45" s="134">
        <v>0.83</v>
      </c>
      <c r="Q45" s="135"/>
      <c r="R45" s="132">
        <f>P45*N45</f>
        <v>0</v>
      </c>
      <c r="S45" s="406"/>
    </row>
    <row r="46" spans="1:19" ht="13.65" customHeight="1">
      <c r="A46" s="115"/>
      <c r="B46" s="44" t="s">
        <v>401</v>
      </c>
      <c r="C46" s="43" t="s">
        <v>21</v>
      </c>
      <c r="D46" s="128">
        <v>3</v>
      </c>
      <c r="E46" s="129">
        <v>1200</v>
      </c>
      <c r="F46" s="129"/>
      <c r="G46" s="129">
        <f>D46*E46</f>
        <v>3600</v>
      </c>
      <c r="H46" s="132"/>
      <c r="I46" s="128">
        <v>3</v>
      </c>
      <c r="J46" s="129">
        <v>1200</v>
      </c>
      <c r="K46" s="129"/>
      <c r="L46" s="129">
        <f>I46*J46</f>
        <v>3600</v>
      </c>
      <c r="M46" s="132"/>
      <c r="N46" s="128"/>
      <c r="O46" s="129">
        <v>1200</v>
      </c>
      <c r="P46" s="129"/>
      <c r="Q46" s="129">
        <f>N46*O46</f>
        <v>0</v>
      </c>
      <c r="R46" s="132"/>
      <c r="S46" s="406"/>
    </row>
    <row r="47" spans="1:19" ht="13.65" customHeight="1">
      <c r="A47" s="115"/>
      <c r="B47" s="48" t="s">
        <v>402</v>
      </c>
      <c r="C47" s="48" t="s">
        <v>327</v>
      </c>
      <c r="D47" s="133">
        <v>3</v>
      </c>
      <c r="E47" s="134"/>
      <c r="F47" s="134">
        <v>5255.16</v>
      </c>
      <c r="G47" s="135"/>
      <c r="H47" s="132">
        <f>F47*D47</f>
        <v>15765.48</v>
      </c>
      <c r="I47" s="133">
        <v>3</v>
      </c>
      <c r="J47" s="134"/>
      <c r="K47" s="134">
        <v>5255.16</v>
      </c>
      <c r="L47" s="135"/>
      <c r="M47" s="132">
        <f>K47*I47</f>
        <v>15765.48</v>
      </c>
      <c r="N47" s="133"/>
      <c r="O47" s="134"/>
      <c r="P47" s="134">
        <v>5255.16</v>
      </c>
      <c r="Q47" s="135"/>
      <c r="R47" s="132">
        <f>P47*N47</f>
        <v>0</v>
      </c>
      <c r="S47" s="406"/>
    </row>
    <row r="48" spans="1:19" ht="13.65" customHeight="1">
      <c r="A48" s="115"/>
      <c r="B48" s="48" t="s">
        <v>456</v>
      </c>
      <c r="C48" s="48" t="s">
        <v>457</v>
      </c>
      <c r="D48" s="133">
        <v>2</v>
      </c>
      <c r="E48" s="134"/>
      <c r="F48" s="134">
        <v>126.3</v>
      </c>
      <c r="G48" s="135"/>
      <c r="H48" s="132">
        <f>F48*D48</f>
        <v>252.6</v>
      </c>
      <c r="I48" s="133">
        <v>2</v>
      </c>
      <c r="J48" s="134"/>
      <c r="K48" s="134">
        <v>126.3</v>
      </c>
      <c r="L48" s="135"/>
      <c r="M48" s="132">
        <f>K48*I48</f>
        <v>252.6</v>
      </c>
      <c r="N48" s="133"/>
      <c r="O48" s="134"/>
      <c r="P48" s="134">
        <v>126.3</v>
      </c>
      <c r="Q48" s="135"/>
      <c r="R48" s="132">
        <f>P48*N48</f>
        <v>0</v>
      </c>
      <c r="S48" s="406"/>
    </row>
    <row r="49" spans="1:19" ht="13.65" customHeight="1">
      <c r="A49" s="115"/>
      <c r="B49" s="44" t="s">
        <v>403</v>
      </c>
      <c r="C49" s="43" t="s">
        <v>21</v>
      </c>
      <c r="D49" s="128">
        <v>3</v>
      </c>
      <c r="E49" s="129">
        <v>1200</v>
      </c>
      <c r="F49" s="129"/>
      <c r="G49" s="129">
        <f>D49*E49</f>
        <v>3600</v>
      </c>
      <c r="H49" s="132"/>
      <c r="I49" s="128">
        <v>3</v>
      </c>
      <c r="J49" s="129">
        <v>1200</v>
      </c>
      <c r="K49" s="129"/>
      <c r="L49" s="129">
        <f>I49*J49</f>
        <v>3600</v>
      </c>
      <c r="M49" s="132"/>
      <c r="N49" s="128"/>
      <c r="O49" s="129">
        <v>1200</v>
      </c>
      <c r="P49" s="129"/>
      <c r="Q49" s="129">
        <f>N49*O49</f>
        <v>0</v>
      </c>
      <c r="R49" s="132"/>
      <c r="S49" s="406"/>
    </row>
    <row r="50" spans="1:19" ht="13.65" customHeight="1">
      <c r="A50" s="115"/>
      <c r="B50" s="48" t="s">
        <v>404</v>
      </c>
      <c r="C50" s="48" t="s">
        <v>327</v>
      </c>
      <c r="D50" s="133">
        <v>3</v>
      </c>
      <c r="E50" s="134"/>
      <c r="F50" s="134">
        <v>2183.34</v>
      </c>
      <c r="G50" s="135"/>
      <c r="H50" s="132">
        <f>F50*D50</f>
        <v>6550.02</v>
      </c>
      <c r="I50" s="133">
        <v>3</v>
      </c>
      <c r="J50" s="134"/>
      <c r="K50" s="134">
        <v>2183.34</v>
      </c>
      <c r="L50" s="135"/>
      <c r="M50" s="132">
        <f>K50*I50</f>
        <v>6550.02</v>
      </c>
      <c r="N50" s="133"/>
      <c r="O50" s="134"/>
      <c r="P50" s="134">
        <v>2183.34</v>
      </c>
      <c r="Q50" s="135"/>
      <c r="R50" s="132">
        <f>P50*N50</f>
        <v>0</v>
      </c>
      <c r="S50" s="406"/>
    </row>
    <row r="51" spans="1:19" ht="24.6" customHeight="1">
      <c r="A51" s="115"/>
      <c r="B51" s="44" t="s">
        <v>405</v>
      </c>
      <c r="C51" s="43" t="s">
        <v>27</v>
      </c>
      <c r="D51" s="138">
        <v>28</v>
      </c>
      <c r="E51" s="129">
        <v>160</v>
      </c>
      <c r="F51" s="129"/>
      <c r="G51" s="129">
        <f>D51*E51</f>
        <v>4480</v>
      </c>
      <c r="H51" s="132"/>
      <c r="I51" s="138">
        <v>28</v>
      </c>
      <c r="J51" s="129">
        <v>160</v>
      </c>
      <c r="K51" s="129"/>
      <c r="L51" s="129">
        <f>I51*J51</f>
        <v>4480</v>
      </c>
      <c r="M51" s="132"/>
      <c r="N51" s="138"/>
      <c r="O51" s="129">
        <v>160</v>
      </c>
      <c r="P51" s="129"/>
      <c r="Q51" s="129">
        <f>N51*O51</f>
        <v>0</v>
      </c>
      <c r="R51" s="132"/>
      <c r="S51" s="406"/>
    </row>
    <row r="52" spans="1:19" ht="13.65" customHeight="1">
      <c r="A52" s="115"/>
      <c r="B52" s="48" t="s">
        <v>406</v>
      </c>
      <c r="C52" s="48" t="s">
        <v>21</v>
      </c>
      <c r="D52" s="133">
        <v>1</v>
      </c>
      <c r="E52" s="134"/>
      <c r="F52" s="134">
        <v>683.93</v>
      </c>
      <c r="G52" s="135"/>
      <c r="H52" s="132">
        <f>F52*D52</f>
        <v>683.93</v>
      </c>
      <c r="I52" s="133">
        <v>1</v>
      </c>
      <c r="J52" s="134"/>
      <c r="K52" s="134">
        <v>683.93</v>
      </c>
      <c r="L52" s="135"/>
      <c r="M52" s="132">
        <f>K52*I52</f>
        <v>683.93</v>
      </c>
      <c r="N52" s="133"/>
      <c r="O52" s="134"/>
      <c r="P52" s="134">
        <v>683.93</v>
      </c>
      <c r="Q52" s="135"/>
      <c r="R52" s="132">
        <f>P52*N52</f>
        <v>0</v>
      </c>
      <c r="S52" s="406"/>
    </row>
    <row r="53" spans="1:19" ht="13.65" customHeight="1">
      <c r="A53" s="115"/>
      <c r="B53" s="44" t="s">
        <v>407</v>
      </c>
      <c r="C53" s="43" t="s">
        <v>386</v>
      </c>
      <c r="D53" s="138">
        <v>80</v>
      </c>
      <c r="E53" s="129">
        <v>35</v>
      </c>
      <c r="F53" s="129"/>
      <c r="G53" s="129">
        <f>D53*E53</f>
        <v>2800</v>
      </c>
      <c r="H53" s="132"/>
      <c r="I53" s="138">
        <v>47</v>
      </c>
      <c r="J53" s="129">
        <v>35</v>
      </c>
      <c r="K53" s="129"/>
      <c r="L53" s="129">
        <f>I53*J53</f>
        <v>1645</v>
      </c>
      <c r="M53" s="132"/>
      <c r="N53" s="138">
        <f>25.7+34.6</f>
        <v>60.3</v>
      </c>
      <c r="O53" s="129">
        <v>35</v>
      </c>
      <c r="P53" s="129"/>
      <c r="Q53" s="129">
        <f>N53*O53</f>
        <v>2110.5</v>
      </c>
      <c r="R53" s="132"/>
      <c r="S53" s="406"/>
    </row>
    <row r="54" spans="1:19" ht="13.65" customHeight="1">
      <c r="A54" s="115"/>
      <c r="B54" s="48" t="s">
        <v>408</v>
      </c>
      <c r="C54" s="48" t="s">
        <v>46</v>
      </c>
      <c r="D54" s="134">
        <f>D53*1.1</f>
        <v>88</v>
      </c>
      <c r="E54" s="134"/>
      <c r="F54" s="134">
        <v>8.1199999999999992</v>
      </c>
      <c r="G54" s="135"/>
      <c r="H54" s="132">
        <f>F54*D54</f>
        <v>714.56</v>
      </c>
      <c r="I54" s="134">
        <f>I53*1.1</f>
        <v>51.7</v>
      </c>
      <c r="J54" s="134"/>
      <c r="K54" s="134">
        <v>8.1199999999999992</v>
      </c>
      <c r="L54" s="135"/>
      <c r="M54" s="132">
        <f>K54*I54</f>
        <v>419.80399999999997</v>
      </c>
      <c r="N54" s="134">
        <f>N53*1.1</f>
        <v>66.33</v>
      </c>
      <c r="O54" s="134"/>
      <c r="P54" s="134">
        <v>8.1199999999999992</v>
      </c>
      <c r="Q54" s="135"/>
      <c r="R54" s="132">
        <f>P54*N54</f>
        <v>538.5995999999999</v>
      </c>
      <c r="S54" s="406"/>
    </row>
    <row r="55" spans="1:19" ht="13.65" customHeight="1">
      <c r="A55" s="115"/>
      <c r="B55" s="48" t="s">
        <v>409</v>
      </c>
      <c r="C55" s="48" t="s">
        <v>88</v>
      </c>
      <c r="D55" s="133">
        <f>D53*0.4</f>
        <v>32</v>
      </c>
      <c r="E55" s="134"/>
      <c r="F55" s="134">
        <v>5</v>
      </c>
      <c r="G55" s="135"/>
      <c r="H55" s="132">
        <f>F55*D55</f>
        <v>160</v>
      </c>
      <c r="I55" s="133">
        <f>I53*0.4</f>
        <v>18.8</v>
      </c>
      <c r="J55" s="134"/>
      <c r="K55" s="134">
        <v>5</v>
      </c>
      <c r="L55" s="135"/>
      <c r="M55" s="132">
        <f>K55*I55</f>
        <v>94</v>
      </c>
      <c r="N55" s="133">
        <f>N53*0.4</f>
        <v>24.12</v>
      </c>
      <c r="O55" s="134"/>
      <c r="P55" s="134">
        <v>5</v>
      </c>
      <c r="Q55" s="135"/>
      <c r="R55" s="132">
        <f>P55*N55</f>
        <v>120.60000000000001</v>
      </c>
      <c r="S55" s="406"/>
    </row>
    <row r="56" spans="1:19" ht="13.65" customHeight="1">
      <c r="A56" s="115"/>
      <c r="B56" s="44" t="s">
        <v>410</v>
      </c>
      <c r="C56" s="43" t="s">
        <v>37</v>
      </c>
      <c r="D56" s="128">
        <v>79</v>
      </c>
      <c r="E56" s="129">
        <v>70</v>
      </c>
      <c r="F56" s="129"/>
      <c r="G56" s="129">
        <f>D56*E56</f>
        <v>5530</v>
      </c>
      <c r="H56" s="132"/>
      <c r="I56" s="128">
        <v>79</v>
      </c>
      <c r="J56" s="129">
        <v>70</v>
      </c>
      <c r="K56" s="129"/>
      <c r="L56" s="129">
        <f>I56*J56</f>
        <v>5530</v>
      </c>
      <c r="M56" s="132"/>
      <c r="N56" s="128"/>
      <c r="O56" s="129">
        <v>70</v>
      </c>
      <c r="P56" s="129"/>
      <c r="Q56" s="129">
        <f>N56*O56</f>
        <v>0</v>
      </c>
      <c r="R56" s="132"/>
      <c r="S56" s="406"/>
    </row>
    <row r="57" spans="1:19" ht="13.65" customHeight="1">
      <c r="A57" s="115"/>
      <c r="B57" s="44" t="s">
        <v>448</v>
      </c>
      <c r="C57" s="43" t="s">
        <v>37</v>
      </c>
      <c r="D57" s="128">
        <v>56</v>
      </c>
      <c r="E57" s="129">
        <v>160</v>
      </c>
      <c r="F57" s="129"/>
      <c r="G57" s="129">
        <f>D57*E57</f>
        <v>8960</v>
      </c>
      <c r="H57" s="132"/>
      <c r="I57" s="128"/>
      <c r="J57" s="129">
        <v>160</v>
      </c>
      <c r="K57" s="129"/>
      <c r="L57" s="129">
        <f>I57*J57</f>
        <v>0</v>
      </c>
      <c r="M57" s="132"/>
      <c r="N57" s="128"/>
      <c r="O57" s="129">
        <v>160</v>
      </c>
      <c r="P57" s="129"/>
      <c r="Q57" s="129">
        <f>N57*O57</f>
        <v>0</v>
      </c>
      <c r="R57" s="132"/>
      <c r="S57" s="406"/>
    </row>
    <row r="58" spans="1:19" ht="13.65" customHeight="1">
      <c r="A58" s="115"/>
      <c r="B58" s="48" t="s">
        <v>411</v>
      </c>
      <c r="C58" s="48" t="s">
        <v>397</v>
      </c>
      <c r="D58" s="133">
        <v>20</v>
      </c>
      <c r="E58" s="134"/>
      <c r="F58" s="134">
        <v>1898.88</v>
      </c>
      <c r="G58" s="135"/>
      <c r="H58" s="132">
        <f>F58*D58</f>
        <v>37977.600000000006</v>
      </c>
      <c r="I58" s="133"/>
      <c r="J58" s="134"/>
      <c r="K58" s="134">
        <v>1898.88</v>
      </c>
      <c r="L58" s="135"/>
      <c r="M58" s="132">
        <f>K58*I58</f>
        <v>0</v>
      </c>
      <c r="N58" s="133"/>
      <c r="O58" s="134"/>
      <c r="P58" s="134">
        <v>1898.88</v>
      </c>
      <c r="Q58" s="135"/>
      <c r="R58" s="132">
        <f>P58*N58</f>
        <v>0</v>
      </c>
      <c r="S58" s="406"/>
    </row>
    <row r="59" spans="1:19" ht="13.65" customHeight="1">
      <c r="A59" s="115"/>
      <c r="B59" s="48" t="s">
        <v>398</v>
      </c>
      <c r="C59" s="48" t="s">
        <v>21</v>
      </c>
      <c r="D59" s="133">
        <f>D57*20</f>
        <v>1120</v>
      </c>
      <c r="E59" s="134"/>
      <c r="F59" s="134">
        <v>0.83</v>
      </c>
      <c r="G59" s="135"/>
      <c r="H59" s="132">
        <f>F59*D59</f>
        <v>929.59999999999991</v>
      </c>
      <c r="I59" s="133"/>
      <c r="J59" s="134"/>
      <c r="K59" s="134">
        <v>0.83</v>
      </c>
      <c r="L59" s="135"/>
      <c r="M59" s="132">
        <f>K59*I59</f>
        <v>0</v>
      </c>
      <c r="N59" s="133"/>
      <c r="O59" s="134"/>
      <c r="P59" s="134">
        <v>0.83</v>
      </c>
      <c r="Q59" s="135"/>
      <c r="R59" s="132">
        <f>P59*N59</f>
        <v>0</v>
      </c>
      <c r="S59" s="406"/>
    </row>
    <row r="60" spans="1:19" ht="13.65" customHeight="1">
      <c r="A60" s="115"/>
      <c r="B60" s="48" t="s">
        <v>98</v>
      </c>
      <c r="C60" s="48" t="s">
        <v>21</v>
      </c>
      <c r="D60" s="134">
        <f>ROUND(D54*6,0)</f>
        <v>528</v>
      </c>
      <c r="E60" s="134"/>
      <c r="F60" s="134">
        <v>0.09</v>
      </c>
      <c r="G60" s="135"/>
      <c r="H60" s="132">
        <f>F60*D60</f>
        <v>47.519999999999996</v>
      </c>
      <c r="I60" s="134"/>
      <c r="J60" s="134"/>
      <c r="K60" s="134">
        <v>0.09</v>
      </c>
      <c r="L60" s="135"/>
      <c r="M60" s="132">
        <f>K60*I60</f>
        <v>0</v>
      </c>
      <c r="N60" s="134"/>
      <c r="O60" s="134"/>
      <c r="P60" s="134">
        <v>0.09</v>
      </c>
      <c r="Q60" s="135"/>
      <c r="R60" s="132">
        <f>P60*N60</f>
        <v>0</v>
      </c>
      <c r="S60" s="406"/>
    </row>
    <row r="61" spans="1:19" ht="13.65" customHeight="1">
      <c r="A61" s="115"/>
      <c r="B61" s="322"/>
      <c r="C61" s="322"/>
      <c r="D61" s="134"/>
      <c r="E61" s="134"/>
      <c r="F61" s="134"/>
      <c r="G61" s="135"/>
      <c r="H61" s="132"/>
      <c r="I61" s="134"/>
      <c r="J61" s="134"/>
      <c r="K61" s="134"/>
      <c r="L61" s="135"/>
      <c r="M61" s="132"/>
      <c r="N61" s="134"/>
      <c r="O61" s="134"/>
      <c r="P61" s="134"/>
      <c r="Q61" s="135"/>
      <c r="R61" s="132"/>
      <c r="S61" s="406"/>
    </row>
    <row r="62" spans="1:19" ht="13.65" customHeight="1">
      <c r="A62" s="115"/>
      <c r="B62" s="150" t="s">
        <v>449</v>
      </c>
      <c r="C62" s="161" t="s">
        <v>124</v>
      </c>
      <c r="D62" s="151">
        <v>2</v>
      </c>
      <c r="E62" s="152">
        <v>2200</v>
      </c>
      <c r="F62" s="152"/>
      <c r="G62" s="154">
        <f>D62*E62</f>
        <v>4400</v>
      </c>
      <c r="H62" s="164"/>
      <c r="I62" s="151">
        <v>2</v>
      </c>
      <c r="J62" s="152"/>
      <c r="K62" s="152">
        <v>2200</v>
      </c>
      <c r="L62" s="154"/>
      <c r="M62" s="164">
        <f>I62*K62</f>
        <v>4400</v>
      </c>
      <c r="N62" s="151"/>
      <c r="O62" s="152">
        <v>2200</v>
      </c>
      <c r="P62" s="152"/>
      <c r="Q62" s="154">
        <f>N62*O62</f>
        <v>0</v>
      </c>
      <c r="R62" s="164"/>
      <c r="S62" s="406"/>
    </row>
    <row r="63" spans="1:19" ht="13.65" customHeight="1">
      <c r="A63" s="115"/>
      <c r="B63" s="165" t="s">
        <v>125</v>
      </c>
      <c r="C63" s="166" t="s">
        <v>126</v>
      </c>
      <c r="D63" s="133">
        <v>36</v>
      </c>
      <c r="E63" s="167">
        <v>750</v>
      </c>
      <c r="F63" s="167"/>
      <c r="G63" s="168">
        <f>D63*E63</f>
        <v>27000</v>
      </c>
      <c r="H63" s="164"/>
      <c r="I63" s="133">
        <v>36</v>
      </c>
      <c r="J63" s="167">
        <v>750</v>
      </c>
      <c r="K63" s="167"/>
      <c r="L63" s="168">
        <f>I63*J63</f>
        <v>27000</v>
      </c>
      <c r="M63" s="164"/>
      <c r="N63" s="133"/>
      <c r="O63" s="167">
        <v>750</v>
      </c>
      <c r="P63" s="167"/>
      <c r="Q63" s="168">
        <f>N63*O63</f>
        <v>0</v>
      </c>
      <c r="R63" s="164"/>
      <c r="S63" s="406"/>
    </row>
    <row r="64" spans="1:19" ht="42" customHeight="1">
      <c r="A64" s="373"/>
      <c r="B64" s="374" t="s">
        <v>451</v>
      </c>
      <c r="C64" s="166" t="s">
        <v>126</v>
      </c>
      <c r="D64" s="133">
        <v>18</v>
      </c>
      <c r="E64" s="167">
        <v>750</v>
      </c>
      <c r="F64" s="167"/>
      <c r="G64" s="168">
        <f>D64*E64</f>
        <v>13500</v>
      </c>
      <c r="H64" s="173"/>
      <c r="I64" s="133">
        <v>18</v>
      </c>
      <c r="J64" s="167">
        <v>750</v>
      </c>
      <c r="K64" s="167"/>
      <c r="L64" s="168">
        <f>I64*J64</f>
        <v>13500</v>
      </c>
      <c r="M64" s="173"/>
      <c r="N64" s="133"/>
      <c r="O64" s="167">
        <v>750</v>
      </c>
      <c r="P64" s="167"/>
      <c r="Q64" s="168">
        <f>N64*O64</f>
        <v>0</v>
      </c>
      <c r="R64" s="173"/>
      <c r="S64" s="406"/>
    </row>
    <row r="65" spans="1:19" ht="13.65" customHeight="1">
      <c r="A65" s="375"/>
      <c r="B65" s="376" t="s">
        <v>58</v>
      </c>
      <c r="C65" s="376" t="s">
        <v>21</v>
      </c>
      <c r="D65" s="377">
        <f>18*40</f>
        <v>720</v>
      </c>
      <c r="E65" s="378"/>
      <c r="F65" s="378">
        <v>6.5</v>
      </c>
      <c r="G65" s="379"/>
      <c r="H65" s="380">
        <f>D65*F65</f>
        <v>4680</v>
      </c>
      <c r="I65" s="377">
        <f>18*40</f>
        <v>720</v>
      </c>
      <c r="J65" s="378"/>
      <c r="K65" s="378">
        <v>6.5</v>
      </c>
      <c r="L65" s="379"/>
      <c r="M65" s="380">
        <f>I65*K65</f>
        <v>4680</v>
      </c>
      <c r="N65" s="377"/>
      <c r="O65" s="378"/>
      <c r="P65" s="378">
        <v>6.5</v>
      </c>
      <c r="Q65" s="379"/>
      <c r="R65" s="380">
        <f>N65*P65</f>
        <v>0</v>
      </c>
      <c r="S65" s="406"/>
    </row>
    <row r="66" spans="1:19" ht="13.65" customHeight="1">
      <c r="A66" s="381"/>
      <c r="B66" s="722" t="s">
        <v>64</v>
      </c>
      <c r="C66" s="723"/>
      <c r="D66" s="723"/>
      <c r="E66" s="175"/>
      <c r="F66" s="176"/>
      <c r="G66" s="177">
        <f>SUM(G14:G65)</f>
        <v>157791.67999999999</v>
      </c>
      <c r="H66" s="178"/>
      <c r="J66" s="175"/>
      <c r="K66" s="176"/>
      <c r="L66" s="177">
        <f>SUM(L14:L65)</f>
        <v>122257</v>
      </c>
      <c r="M66" s="178"/>
      <c r="O66" s="175"/>
      <c r="P66" s="176"/>
      <c r="Q66" s="177">
        <f>SUM(Q14:Q65)</f>
        <v>24996.9</v>
      </c>
      <c r="R66" s="178"/>
    </row>
    <row r="67" spans="1:19" ht="13.65" customHeight="1">
      <c r="A67" s="381"/>
      <c r="B67" s="722" t="s">
        <v>65</v>
      </c>
      <c r="C67" s="723"/>
      <c r="D67" s="723"/>
      <c r="E67" s="175"/>
      <c r="F67" s="176"/>
      <c r="G67" s="177"/>
      <c r="H67" s="178">
        <f>SUM(H14:H66)</f>
        <v>113734.87115000001</v>
      </c>
      <c r="J67" s="175"/>
      <c r="K67" s="176"/>
      <c r="L67" s="177"/>
      <c r="M67" s="178">
        <f>SUM(M14:M66)</f>
        <v>70913.068999999989</v>
      </c>
      <c r="O67" s="175"/>
      <c r="P67" s="176"/>
      <c r="Q67" s="177"/>
      <c r="R67" s="178">
        <f>SUM(R14:R66)</f>
        <v>9013.8883999999998</v>
      </c>
    </row>
    <row r="68" spans="1:19" ht="13.65" customHeight="1">
      <c r="A68" s="381"/>
      <c r="B68" s="722" t="s">
        <v>66</v>
      </c>
      <c r="C68" s="723"/>
      <c r="D68" s="723"/>
      <c r="E68" s="181">
        <v>0.1</v>
      </c>
      <c r="F68" s="176"/>
      <c r="G68" s="176"/>
      <c r="H68" s="182">
        <f>H67*E68</f>
        <v>11373.487115000002</v>
      </c>
      <c r="J68" s="181">
        <v>0.1</v>
      </c>
      <c r="K68" s="176"/>
      <c r="L68" s="176"/>
      <c r="M68" s="182">
        <f>M67*J68</f>
        <v>7091.3068999999996</v>
      </c>
      <c r="O68" s="181">
        <v>0.1</v>
      </c>
      <c r="P68" s="176"/>
      <c r="Q68" s="176"/>
      <c r="R68" s="182">
        <f>R67*O68</f>
        <v>901.38884000000007</v>
      </c>
    </row>
    <row r="69" spans="1:19" ht="13.65" customHeight="1">
      <c r="A69" s="381"/>
      <c r="B69" s="722" t="s">
        <v>67</v>
      </c>
      <c r="C69" s="723"/>
      <c r="D69" s="723"/>
      <c r="E69" s="181">
        <v>0.1</v>
      </c>
      <c r="F69" s="176"/>
      <c r="G69" s="176">
        <f>G66*E69</f>
        <v>15779.168</v>
      </c>
      <c r="H69" s="182"/>
      <c r="J69" s="181">
        <v>0.1</v>
      </c>
      <c r="K69" s="176"/>
      <c r="L69" s="176">
        <f>L66*J69</f>
        <v>12225.7</v>
      </c>
      <c r="M69" s="182"/>
      <c r="O69" s="181">
        <v>0.1</v>
      </c>
      <c r="P69" s="176"/>
      <c r="Q69" s="176">
        <f>Q66*O69</f>
        <v>2499.6900000000005</v>
      </c>
      <c r="R69" s="182"/>
    </row>
    <row r="70" spans="1:19" ht="13.65" customHeight="1">
      <c r="A70" s="381"/>
      <c r="B70" s="722" t="s">
        <v>68</v>
      </c>
      <c r="C70" s="723"/>
      <c r="D70" s="723"/>
      <c r="E70" s="183">
        <v>0.05</v>
      </c>
      <c r="F70" s="176"/>
      <c r="G70" s="176"/>
      <c r="H70" s="182">
        <f>H67*E70</f>
        <v>5686.7435575000009</v>
      </c>
      <c r="J70" s="183">
        <v>0.05</v>
      </c>
      <c r="K70" s="176"/>
      <c r="L70" s="176"/>
      <c r="M70" s="182">
        <f>M67*J70</f>
        <v>3545.6534499999998</v>
      </c>
      <c r="O70" s="183">
        <v>0.05</v>
      </c>
      <c r="P70" s="176"/>
      <c r="Q70" s="176"/>
      <c r="R70" s="182">
        <f>R67*O70</f>
        <v>450.69442000000004</v>
      </c>
    </row>
    <row r="71" spans="1:19" ht="13.65" customHeight="1">
      <c r="A71" s="381"/>
      <c r="B71" s="724" t="s">
        <v>69</v>
      </c>
      <c r="C71" s="725"/>
      <c r="D71" s="725"/>
      <c r="E71" s="725"/>
      <c r="F71" s="725"/>
      <c r="G71" s="725"/>
      <c r="H71" s="184">
        <f>SUM(G66:G70,H66:H70)</f>
        <v>304365.94982250006</v>
      </c>
      <c r="M71" s="184">
        <f>SUM(L66:L70,M66:M70)</f>
        <v>216032.72935000001</v>
      </c>
      <c r="R71" s="184">
        <f>SUM(Q66:Q70,R66:R70)</f>
        <v>37862.561660000007</v>
      </c>
    </row>
    <row r="72" spans="1:19" ht="13.65" customHeight="1">
      <c r="A72" s="381"/>
      <c r="B72" s="382" t="s">
        <v>128</v>
      </c>
      <c r="C72" s="383"/>
      <c r="D72" s="384"/>
      <c r="E72" s="384"/>
      <c r="F72" s="385"/>
      <c r="G72" s="386"/>
      <c r="H72" s="387">
        <f>H71*0.2</f>
        <v>60873.189964500016</v>
      </c>
      <c r="I72" s="384"/>
      <c r="J72" s="384"/>
      <c r="K72" s="385"/>
      <c r="L72" s="386"/>
      <c r="M72" s="387">
        <f>M71*0.2</f>
        <v>43206.545870000002</v>
      </c>
      <c r="N72" s="384"/>
      <c r="O72" s="384"/>
      <c r="P72" s="385"/>
      <c r="Q72" s="386"/>
      <c r="R72" s="387">
        <f>R71*0.2</f>
        <v>7572.5123320000021</v>
      </c>
    </row>
    <row r="73" spans="1:19" s="409" customFormat="1" ht="14.1" customHeight="1">
      <c r="A73" s="605"/>
      <c r="B73" s="747" t="s">
        <v>71</v>
      </c>
      <c r="C73" s="748"/>
      <c r="D73" s="748"/>
      <c r="E73" s="748"/>
      <c r="F73" s="748"/>
      <c r="G73" s="748"/>
      <c r="H73" s="408">
        <f>SUM(H71:H72)</f>
        <v>365239.13978700008</v>
      </c>
      <c r="M73" s="408">
        <f>SUM(M71:M72)</f>
        <v>259239.27522000001</v>
      </c>
      <c r="R73" s="408">
        <f>SUM(R71:R72)</f>
        <v>45435.073992000005</v>
      </c>
    </row>
    <row r="74" spans="1:19" s="589" customFormat="1" ht="13.65" customHeight="1">
      <c r="A74" s="596"/>
      <c r="B74" s="596"/>
      <c r="C74" s="596"/>
      <c r="D74" s="596"/>
      <c r="E74" s="596"/>
      <c r="F74" s="596"/>
      <c r="G74" s="596"/>
      <c r="H74" s="596"/>
      <c r="I74" s="596"/>
      <c r="J74" s="596"/>
      <c r="K74" s="596"/>
      <c r="L74" s="596"/>
      <c r="M74" s="596"/>
      <c r="N74" s="596"/>
      <c r="O74" s="596"/>
      <c r="P74" s="596"/>
      <c r="Q74" s="596"/>
      <c r="R74" s="596"/>
    </row>
    <row r="75" spans="1:19" s="589" customFormat="1" ht="13.35" customHeight="1">
      <c r="A75" s="606"/>
      <c r="B75" s="607" t="s">
        <v>129</v>
      </c>
      <c r="C75" s="608"/>
      <c r="D75" s="586"/>
      <c r="E75" s="586"/>
      <c r="F75" s="609"/>
      <c r="G75" s="609"/>
      <c r="H75" s="609"/>
      <c r="I75" s="586"/>
      <c r="J75" s="586"/>
      <c r="K75" s="609"/>
      <c r="L75" s="609"/>
      <c r="M75" s="609"/>
      <c r="N75" s="586"/>
      <c r="O75" s="586"/>
      <c r="P75" s="609"/>
      <c r="Q75" s="609"/>
      <c r="R75" s="609"/>
    </row>
    <row r="76" spans="1:19" s="589" customFormat="1" ht="13.35" customHeight="1">
      <c r="A76" s="606"/>
      <c r="B76" s="610" t="s">
        <v>130</v>
      </c>
      <c r="C76" s="608"/>
      <c r="D76" s="586"/>
      <c r="E76" s="611"/>
      <c r="F76" s="609"/>
      <c r="G76" s="609"/>
      <c r="H76" s="609"/>
      <c r="I76" s="586"/>
      <c r="J76" s="611"/>
      <c r="K76" s="609"/>
      <c r="L76" s="609"/>
      <c r="M76" s="609"/>
      <c r="N76" s="586"/>
      <c r="O76" s="611"/>
      <c r="P76" s="609"/>
      <c r="Q76" s="609"/>
      <c r="R76" s="609"/>
    </row>
    <row r="77" spans="1:19" s="589" customFormat="1" ht="13.35" customHeight="1">
      <c r="A77" s="606"/>
      <c r="B77" s="610" t="s">
        <v>131</v>
      </c>
      <c r="C77" s="610" t="s">
        <v>132</v>
      </c>
      <c r="D77" s="586"/>
      <c r="E77" s="612"/>
      <c r="F77" s="609"/>
      <c r="G77" s="609"/>
      <c r="H77" s="609"/>
      <c r="I77" s="586"/>
      <c r="J77" s="612"/>
      <c r="K77" s="609"/>
      <c r="L77" s="609"/>
      <c r="M77" s="609"/>
      <c r="N77" s="586"/>
      <c r="O77" s="612"/>
      <c r="P77" s="609"/>
      <c r="Q77" s="609"/>
      <c r="R77" s="609"/>
    </row>
    <row r="78" spans="1:19" s="589" customFormat="1" ht="13.35" customHeight="1">
      <c r="A78" s="606"/>
      <c r="B78" s="613"/>
      <c r="C78" s="608"/>
      <c r="D78" s="586"/>
      <c r="E78" s="612"/>
      <c r="F78" s="609"/>
      <c r="G78" s="609"/>
      <c r="H78" s="609"/>
      <c r="I78" s="586"/>
      <c r="J78" s="612"/>
      <c r="K78" s="609"/>
      <c r="L78" s="609"/>
      <c r="M78" s="609"/>
      <c r="N78" s="586"/>
      <c r="O78" s="612"/>
      <c r="P78" s="609"/>
      <c r="Q78" s="609"/>
      <c r="R78" s="609"/>
    </row>
    <row r="79" spans="1:19" s="589" customFormat="1" ht="13.35" customHeight="1">
      <c r="A79" s="606"/>
      <c r="B79" s="613"/>
      <c r="C79" s="608"/>
      <c r="D79" s="586"/>
      <c r="E79" s="612"/>
      <c r="F79" s="588"/>
      <c r="G79" s="588"/>
      <c r="H79" s="588"/>
      <c r="I79" s="586"/>
      <c r="J79" s="612"/>
      <c r="K79" s="588"/>
      <c r="L79" s="588"/>
      <c r="M79" s="588"/>
      <c r="N79" s="586"/>
      <c r="O79" s="612"/>
      <c r="P79" s="588"/>
      <c r="Q79" s="588"/>
      <c r="R79" s="588"/>
    </row>
    <row r="80" spans="1:19" s="589" customFormat="1" ht="13.35" customHeight="1">
      <c r="A80" s="614"/>
      <c r="B80" s="585"/>
      <c r="C80" s="585"/>
      <c r="D80" s="586"/>
      <c r="E80" s="586"/>
      <c r="F80" s="588"/>
      <c r="G80" s="588"/>
      <c r="H80" s="588"/>
      <c r="I80" s="586"/>
      <c r="J80" s="586"/>
      <c r="K80" s="588"/>
      <c r="L80" s="588"/>
      <c r="M80" s="588"/>
      <c r="N80" s="586"/>
      <c r="O80" s="586"/>
      <c r="P80" s="588"/>
      <c r="Q80" s="588"/>
      <c r="R80" s="588"/>
    </row>
    <row r="81" spans="1:18" s="589" customFormat="1" ht="13.35" customHeight="1">
      <c r="A81" s="614"/>
      <c r="B81" s="607" t="s">
        <v>133</v>
      </c>
      <c r="C81" s="585"/>
      <c r="D81" s="586"/>
      <c r="E81" s="586"/>
      <c r="F81" s="588"/>
      <c r="G81" s="588"/>
      <c r="H81" s="588"/>
      <c r="I81" s="586"/>
      <c r="J81" s="586"/>
      <c r="K81" s="588"/>
      <c r="L81" s="588"/>
      <c r="M81" s="588"/>
      <c r="N81" s="586"/>
      <c r="O81" s="586"/>
      <c r="P81" s="588"/>
      <c r="Q81" s="588"/>
      <c r="R81" s="588"/>
    </row>
    <row r="82" spans="1:18" s="589" customFormat="1" ht="13.35" customHeight="1">
      <c r="A82" s="596"/>
      <c r="B82" s="610" t="s">
        <v>134</v>
      </c>
      <c r="C82" s="615" t="str">
        <f>C77</f>
        <v>_________________________     2021 р.</v>
      </c>
      <c r="D82" s="586"/>
      <c r="E82" s="611"/>
      <c r="F82" s="588"/>
      <c r="G82" s="588"/>
      <c r="H82" s="588"/>
      <c r="I82" s="586"/>
      <c r="J82" s="611"/>
      <c r="K82" s="588"/>
      <c r="L82" s="588"/>
      <c r="M82" s="588"/>
      <c r="N82" s="586"/>
      <c r="O82" s="611"/>
      <c r="P82" s="588"/>
      <c r="Q82" s="588"/>
      <c r="R82" s="588"/>
    </row>
    <row r="83" spans="1:18" s="589" customFormat="1" ht="13.35" customHeight="1">
      <c r="A83" s="596"/>
      <c r="B83" s="608"/>
      <c r="C83" s="608"/>
      <c r="D83" s="586"/>
      <c r="E83" s="612"/>
      <c r="F83" s="588"/>
      <c r="G83" s="588"/>
      <c r="H83" s="588"/>
      <c r="I83" s="586"/>
      <c r="J83" s="612"/>
      <c r="K83" s="588"/>
      <c r="L83" s="588"/>
      <c r="M83" s="588"/>
      <c r="N83" s="586"/>
      <c r="O83" s="612"/>
      <c r="P83" s="588"/>
      <c r="Q83" s="588"/>
      <c r="R83" s="588"/>
    </row>
    <row r="84" spans="1:18" s="589" customFormat="1" ht="12.9" customHeight="1">
      <c r="A84" s="596"/>
      <c r="B84" s="596"/>
      <c r="C84" s="596"/>
      <c r="D84" s="596"/>
      <c r="E84" s="596"/>
      <c r="F84" s="596"/>
      <c r="G84" s="596"/>
      <c r="H84" s="611"/>
      <c r="I84" s="596"/>
      <c r="J84" s="596"/>
      <c r="K84" s="596"/>
      <c r="L84" s="596"/>
      <c r="M84" s="611"/>
      <c r="N84" s="596"/>
      <c r="O84" s="596"/>
      <c r="P84" s="596"/>
      <c r="Q84" s="596"/>
      <c r="R84" s="611"/>
    </row>
  </sheetData>
  <mergeCells count="12">
    <mergeCell ref="P9:R9"/>
    <mergeCell ref="A10:B10"/>
    <mergeCell ref="K9:M9"/>
    <mergeCell ref="A1:H1"/>
    <mergeCell ref="F9:H9"/>
    <mergeCell ref="B73:G73"/>
    <mergeCell ref="B66:D66"/>
    <mergeCell ref="B67:D67"/>
    <mergeCell ref="B68:D68"/>
    <mergeCell ref="B69:D69"/>
    <mergeCell ref="B70:D70"/>
    <mergeCell ref="B71:G71"/>
  </mergeCells>
  <pageMargins left="0.25" right="0.25" top="0.75" bottom="0.75" header="0.3" footer="0.3"/>
  <pageSetup scale="65" orientation="portrait" r:id="rId1"/>
  <headerFooter>
    <oddFooter>&amp;C&amp;"Helvetica Neue,Regular"&amp;12&amp;K000000&amp;P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83"/>
  <sheetViews>
    <sheetView showGridLines="0" topLeftCell="A10" workbookViewId="0">
      <selection sqref="A1:XFD1048576"/>
    </sheetView>
  </sheetViews>
  <sheetFormatPr defaultColWidth="10.109375" defaultRowHeight="15" customHeight="1"/>
  <cols>
    <col min="1" max="1" width="8.109375" style="5" customWidth="1"/>
    <col min="2" max="2" width="38.6640625" style="5" customWidth="1"/>
    <col min="3" max="3" width="10.109375" style="5" customWidth="1"/>
    <col min="4" max="4" width="12.109375" style="5" hidden="1" customWidth="1"/>
    <col min="5" max="6" width="10.109375" style="5" hidden="1" customWidth="1"/>
    <col min="7" max="7" width="11.109375" style="5" hidden="1" customWidth="1"/>
    <col min="8" max="8" width="12.33203125" style="5" hidden="1" customWidth="1"/>
    <col min="9" max="9" width="12.109375" style="5" customWidth="1"/>
    <col min="10" max="11" width="10.109375" style="5" customWidth="1"/>
    <col min="12" max="12" width="11.109375" style="5" customWidth="1"/>
    <col min="13" max="13" width="12.33203125" style="5" customWidth="1"/>
    <col min="14" max="16384" width="10.109375" style="5"/>
  </cols>
  <sheetData>
    <row r="1" spans="1:13" ht="16.649999999999999" customHeight="1">
      <c r="A1" s="80" t="s">
        <v>73</v>
      </c>
      <c r="B1" s="81"/>
      <c r="C1" s="82"/>
      <c r="D1" s="82"/>
      <c r="E1" s="210"/>
      <c r="F1" s="6"/>
      <c r="G1" s="6"/>
      <c r="H1" s="6"/>
      <c r="I1" s="82"/>
      <c r="J1" s="210"/>
      <c r="K1" s="6"/>
      <c r="L1" s="6"/>
      <c r="M1" s="6"/>
    </row>
    <row r="2" spans="1:13" ht="16.649999999999999" customHeight="1">
      <c r="A2" s="80" t="s">
        <v>74</v>
      </c>
      <c r="B2" s="81"/>
      <c r="C2" s="82"/>
      <c r="D2" s="82"/>
      <c r="E2" s="82"/>
      <c r="F2" s="6"/>
      <c r="G2" s="6"/>
      <c r="H2" s="6"/>
      <c r="I2" s="82"/>
      <c r="J2" s="82"/>
      <c r="K2" s="6"/>
      <c r="L2" s="6"/>
      <c r="M2" s="6"/>
    </row>
    <row r="3" spans="1:13" ht="16.649999999999999" customHeight="1">
      <c r="A3" s="81"/>
      <c r="B3" s="81"/>
      <c r="C3" s="82"/>
      <c r="D3" s="82"/>
      <c r="E3" s="82"/>
      <c r="F3" s="6"/>
      <c r="G3" s="6"/>
      <c r="H3" s="6"/>
      <c r="I3" s="82"/>
      <c r="J3" s="82"/>
      <c r="K3" s="6"/>
      <c r="L3" s="6"/>
      <c r="M3" s="6"/>
    </row>
    <row r="4" spans="1:13" ht="16.649999999999999" customHeight="1">
      <c r="A4" s="734" t="s">
        <v>75</v>
      </c>
      <c r="B4" s="735"/>
      <c r="C4" s="735"/>
      <c r="D4" s="735"/>
      <c r="E4" s="88"/>
      <c r="F4" s="6"/>
      <c r="G4" s="6"/>
      <c r="H4" s="6"/>
      <c r="J4" s="88"/>
      <c r="K4" s="6"/>
      <c r="L4" s="6"/>
      <c r="M4" s="6"/>
    </row>
    <row r="5" spans="1:13" ht="16.649999999999999" customHeight="1">
      <c r="A5" s="80" t="s">
        <v>76</v>
      </c>
      <c r="B5" s="87"/>
      <c r="C5" s="88"/>
      <c r="D5" s="88"/>
      <c r="E5" s="88"/>
      <c r="F5" s="6"/>
      <c r="G5" s="6"/>
      <c r="H5" s="6"/>
      <c r="I5" s="88"/>
      <c r="J5" s="88"/>
      <c r="K5" s="6"/>
      <c r="L5" s="6"/>
      <c r="M5" s="6"/>
    </row>
    <row r="6" spans="1:13" ht="16.649999999999999" customHeight="1">
      <c r="A6" s="81"/>
      <c r="B6" s="87"/>
      <c r="C6" s="88"/>
      <c r="D6" s="88"/>
      <c r="E6" s="88"/>
      <c r="F6" s="6"/>
      <c r="G6" s="6"/>
      <c r="H6" s="6"/>
      <c r="I6" s="88"/>
      <c r="J6" s="88"/>
      <c r="K6" s="6"/>
      <c r="L6" s="6"/>
      <c r="M6" s="6"/>
    </row>
    <row r="7" spans="1:13" ht="16.649999999999999" customHeight="1">
      <c r="A7" s="81"/>
      <c r="B7" s="87"/>
      <c r="C7" s="88"/>
      <c r="D7" s="88"/>
      <c r="E7" s="88"/>
      <c r="F7" s="6"/>
      <c r="G7" s="6"/>
      <c r="H7" s="6"/>
      <c r="I7" s="88"/>
      <c r="J7" s="88"/>
      <c r="K7" s="6"/>
      <c r="L7" s="6"/>
      <c r="M7" s="6"/>
    </row>
    <row r="8" spans="1:13" ht="16.649999999999999" customHeight="1">
      <c r="A8" s="81"/>
      <c r="B8" s="87"/>
      <c r="C8" s="88"/>
      <c r="D8" s="88"/>
      <c r="E8" s="88"/>
      <c r="F8" s="6"/>
      <c r="G8" s="6"/>
      <c r="H8" s="6"/>
      <c r="I8" s="88"/>
      <c r="J8" s="88"/>
      <c r="K8" s="6"/>
      <c r="L8" s="6"/>
      <c r="M8" s="6"/>
    </row>
    <row r="9" spans="1:13" ht="16.649999999999999" customHeight="1">
      <c r="A9" s="734" t="s">
        <v>136</v>
      </c>
      <c r="B9" s="735"/>
      <c r="C9" s="735"/>
      <c r="D9" s="735"/>
      <c r="E9" s="82"/>
      <c r="F9" s="6"/>
      <c r="G9" s="6"/>
      <c r="H9" s="6"/>
      <c r="J9" s="82"/>
      <c r="K9" s="6"/>
      <c r="L9" s="6"/>
      <c r="M9" s="6"/>
    </row>
    <row r="10" spans="1:13" ht="53.25" customHeight="1">
      <c r="A10" s="743" t="s">
        <v>137</v>
      </c>
      <c r="B10" s="744"/>
      <c r="C10" s="744"/>
      <c r="D10" s="744"/>
      <c r="E10" s="744"/>
      <c r="F10" s="744"/>
      <c r="G10" s="744"/>
      <c r="H10" s="744"/>
    </row>
    <row r="11" spans="1:13" ht="12.75" customHeight="1">
      <c r="A11" s="89"/>
      <c r="B11" s="6"/>
      <c r="C11" s="6"/>
      <c r="D11" s="212"/>
      <c r="E11" s="213"/>
      <c r="F11" s="745" t="s">
        <v>138</v>
      </c>
      <c r="G11" s="746"/>
      <c r="H11" s="746"/>
      <c r="I11" s="212"/>
      <c r="J11" s="213"/>
      <c r="K11" s="745" t="s">
        <v>138</v>
      </c>
      <c r="L11" s="746"/>
      <c r="M11" s="746"/>
    </row>
    <row r="12" spans="1:13" ht="15.75" customHeight="1">
      <c r="A12" s="667" t="s">
        <v>450</v>
      </c>
      <c r="B12" s="668"/>
      <c r="C12" s="668"/>
      <c r="D12" s="668"/>
      <c r="E12" s="668"/>
      <c r="F12" s="668"/>
      <c r="G12" s="668"/>
      <c r="H12" s="668"/>
    </row>
    <row r="13" spans="1:13" ht="15.75" customHeight="1">
      <c r="A13" s="667" t="s">
        <v>413</v>
      </c>
      <c r="B13" s="668"/>
      <c r="C13" s="668"/>
      <c r="D13" s="668"/>
      <c r="E13" s="668"/>
      <c r="F13" s="668"/>
      <c r="G13" s="668"/>
      <c r="H13" s="668"/>
    </row>
    <row r="14" spans="1:13" ht="15.75" customHeight="1">
      <c r="A14" s="667" t="s">
        <v>79</v>
      </c>
      <c r="B14" s="668"/>
      <c r="C14" s="668"/>
      <c r="D14" s="668"/>
      <c r="E14" s="668"/>
      <c r="F14" s="668"/>
      <c r="G14" s="668"/>
      <c r="H14" s="668"/>
    </row>
    <row r="15" spans="1:13" ht="15.75" customHeight="1">
      <c r="A15" s="215"/>
      <c r="B15" s="216"/>
      <c r="C15" s="216"/>
      <c r="D15" s="217"/>
      <c r="E15" s="218"/>
      <c r="F15" s="216"/>
      <c r="G15" s="216"/>
      <c r="H15" s="218"/>
      <c r="I15" s="217"/>
      <c r="J15" s="218"/>
      <c r="K15" s="216"/>
      <c r="L15" s="216"/>
      <c r="M15" s="218"/>
    </row>
    <row r="16" spans="1:13" ht="38.25" customHeight="1">
      <c r="A16" s="7" t="s">
        <v>9</v>
      </c>
      <c r="B16" s="7" t="s">
        <v>10</v>
      </c>
      <c r="C16" s="7" t="s">
        <v>11</v>
      </c>
      <c r="D16" s="7" t="s">
        <v>12</v>
      </c>
      <c r="E16" s="7" t="s">
        <v>13</v>
      </c>
      <c r="F16" s="7" t="s">
        <v>14</v>
      </c>
      <c r="G16" s="7" t="s">
        <v>15</v>
      </c>
      <c r="H16" s="7" t="s">
        <v>16</v>
      </c>
      <c r="I16" s="7" t="s">
        <v>12</v>
      </c>
      <c r="J16" s="7" t="s">
        <v>13</v>
      </c>
      <c r="K16" s="7" t="s">
        <v>14</v>
      </c>
      <c r="L16" s="7" t="s">
        <v>15</v>
      </c>
      <c r="M16" s="7" t="s">
        <v>16</v>
      </c>
    </row>
    <row r="17" spans="1:13" ht="26.25" customHeight="1">
      <c r="A17" s="13"/>
      <c r="B17" s="248" t="s">
        <v>414</v>
      </c>
      <c r="C17" s="248" t="s">
        <v>37</v>
      </c>
      <c r="D17" s="242">
        <v>369.6</v>
      </c>
      <c r="E17" s="249">
        <v>160</v>
      </c>
      <c r="F17" s="250"/>
      <c r="G17" s="230">
        <f>D17*E17</f>
        <v>59136</v>
      </c>
      <c r="H17" s="232"/>
      <c r="I17" s="242">
        <v>369.6</v>
      </c>
      <c r="J17" s="249">
        <v>160</v>
      </c>
      <c r="K17" s="250"/>
      <c r="L17" s="230">
        <f>I17*J17</f>
        <v>59136</v>
      </c>
      <c r="M17" s="232"/>
    </row>
    <row r="18" spans="1:13" ht="13.65" customHeight="1">
      <c r="A18" s="13"/>
      <c r="B18" s="157" t="s">
        <v>415</v>
      </c>
      <c r="C18" s="157" t="s">
        <v>92</v>
      </c>
      <c r="D18" s="231">
        <f>CEILING(D17*0.3,1)</f>
        <v>111</v>
      </c>
      <c r="E18" s="231"/>
      <c r="F18" s="232">
        <v>380</v>
      </c>
      <c r="G18" s="230"/>
      <c r="H18" s="232">
        <f>F18*D18</f>
        <v>42180</v>
      </c>
      <c r="I18" s="231">
        <f>CEILING(I17*0.3,1)</f>
        <v>111</v>
      </c>
      <c r="J18" s="231"/>
      <c r="K18" s="232">
        <v>400</v>
      </c>
      <c r="L18" s="230"/>
      <c r="M18" s="232">
        <f>K18*I18</f>
        <v>44400</v>
      </c>
    </row>
    <row r="19" spans="1:13" ht="26.25" customHeight="1">
      <c r="A19" s="13"/>
      <c r="B19" s="248" t="s">
        <v>416</v>
      </c>
      <c r="C19" s="248" t="s">
        <v>37</v>
      </c>
      <c r="D19" s="242">
        <v>330</v>
      </c>
      <c r="E19" s="249">
        <v>160</v>
      </c>
      <c r="F19" s="250"/>
      <c r="G19" s="230">
        <f>D19*E19</f>
        <v>52800</v>
      </c>
      <c r="H19" s="232"/>
      <c r="I19" s="242">
        <v>330</v>
      </c>
      <c r="J19" s="249">
        <v>160</v>
      </c>
      <c r="K19" s="250"/>
      <c r="L19" s="230">
        <f>I19*J19</f>
        <v>52800</v>
      </c>
      <c r="M19" s="232"/>
    </row>
    <row r="20" spans="1:13" ht="13.65" customHeight="1">
      <c r="A20" s="13"/>
      <c r="B20" s="157" t="s">
        <v>415</v>
      </c>
      <c r="C20" s="157" t="s">
        <v>92</v>
      </c>
      <c r="D20" s="231">
        <f>D19*0.35</f>
        <v>115.49999999999999</v>
      </c>
      <c r="E20" s="231"/>
      <c r="F20" s="232">
        <v>380</v>
      </c>
      <c r="G20" s="230"/>
      <c r="H20" s="232">
        <f>F20*D20</f>
        <v>43889.999999999993</v>
      </c>
      <c r="I20" s="231">
        <f>I19*0.3</f>
        <v>99</v>
      </c>
      <c r="J20" s="231"/>
      <c r="K20" s="232">
        <v>400</v>
      </c>
      <c r="L20" s="230"/>
      <c r="M20" s="232">
        <f>K20*I20</f>
        <v>39600</v>
      </c>
    </row>
    <row r="21" spans="1:13" ht="13.65" customHeight="1">
      <c r="A21" s="13"/>
      <c r="B21" s="388" t="s">
        <v>94</v>
      </c>
      <c r="C21" s="356"/>
      <c r="D21" s="357"/>
      <c r="E21" s="358"/>
      <c r="F21" s="358"/>
      <c r="G21" s="389"/>
      <c r="H21" s="30"/>
      <c r="I21" s="357"/>
      <c r="J21" s="358"/>
      <c r="K21" s="358"/>
      <c r="L21" s="389"/>
      <c r="M21" s="30"/>
    </row>
    <row r="22" spans="1:13" ht="13.65" customHeight="1">
      <c r="A22" s="13"/>
      <c r="B22" s="248" t="s">
        <v>418</v>
      </c>
      <c r="C22" s="248" t="s">
        <v>37</v>
      </c>
      <c r="D22" s="242">
        <f>296*1.2</f>
        <v>355.2</v>
      </c>
      <c r="E22" s="249">
        <v>90</v>
      </c>
      <c r="F22" s="250"/>
      <c r="G22" s="230">
        <f>D22*E22</f>
        <v>31968</v>
      </c>
      <c r="H22" s="232"/>
      <c r="I22" s="242">
        <f>296*1.2</f>
        <v>355.2</v>
      </c>
      <c r="J22" s="249">
        <v>90</v>
      </c>
      <c r="K22" s="250"/>
      <c r="L22" s="230">
        <f>I22*J22</f>
        <v>31968</v>
      </c>
      <c r="M22" s="232"/>
    </row>
    <row r="23" spans="1:13" ht="13.65" customHeight="1">
      <c r="A23" s="13"/>
      <c r="B23" s="157" t="s">
        <v>419</v>
      </c>
      <c r="C23" s="157" t="s">
        <v>92</v>
      </c>
      <c r="D23" s="231">
        <f>CEILING(D22*0.2,1)</f>
        <v>72</v>
      </c>
      <c r="E23" s="231"/>
      <c r="F23" s="232">
        <v>212</v>
      </c>
      <c r="G23" s="230"/>
      <c r="H23" s="232">
        <f>F23*D23</f>
        <v>15264</v>
      </c>
      <c r="I23" s="231">
        <f>CEILING(I22*0.2,1)</f>
        <v>72</v>
      </c>
      <c r="J23" s="231"/>
      <c r="K23" s="232">
        <v>212</v>
      </c>
      <c r="L23" s="230"/>
      <c r="M23" s="232">
        <f>K23*I23</f>
        <v>15264</v>
      </c>
    </row>
    <row r="24" spans="1:13" ht="13.65" customHeight="1">
      <c r="A24" s="13"/>
      <c r="B24" s="248" t="s">
        <v>418</v>
      </c>
      <c r="C24" s="248" t="s">
        <v>37</v>
      </c>
      <c r="D24" s="242">
        <f>D22</f>
        <v>355.2</v>
      </c>
      <c r="E24" s="249">
        <v>90</v>
      </c>
      <c r="F24" s="250"/>
      <c r="G24" s="230">
        <f>D24*E24</f>
        <v>31968</v>
      </c>
      <c r="H24" s="232"/>
      <c r="I24" s="242">
        <f>I22</f>
        <v>355.2</v>
      </c>
      <c r="J24" s="249">
        <v>90</v>
      </c>
      <c r="K24" s="250"/>
      <c r="L24" s="230">
        <f>I24*J24</f>
        <v>31968</v>
      </c>
      <c r="M24" s="232"/>
    </row>
    <row r="25" spans="1:13" ht="13.65" customHeight="1">
      <c r="A25" s="13"/>
      <c r="B25" s="157" t="s">
        <v>417</v>
      </c>
      <c r="C25" s="157" t="s">
        <v>92</v>
      </c>
      <c r="D25" s="231">
        <f>CEILING(D24*0.2,1)</f>
        <v>72</v>
      </c>
      <c r="E25" s="231"/>
      <c r="F25" s="232">
        <v>240</v>
      </c>
      <c r="G25" s="230"/>
      <c r="H25" s="232">
        <f>F25*D25</f>
        <v>17280</v>
      </c>
      <c r="I25" s="231">
        <f>CEILING(I24*0.2,1)</f>
        <v>72</v>
      </c>
      <c r="J25" s="231"/>
      <c r="K25" s="232">
        <v>240</v>
      </c>
      <c r="L25" s="230"/>
      <c r="M25" s="232">
        <f>K25*I25</f>
        <v>17280</v>
      </c>
    </row>
    <row r="26" spans="1:13" ht="13.65" customHeight="1">
      <c r="A26" s="13"/>
      <c r="B26" s="390"/>
      <c r="C26" s="391"/>
      <c r="D26" s="392"/>
      <c r="E26" s="392"/>
      <c r="F26" s="393"/>
      <c r="G26" s="394"/>
      <c r="H26" s="232"/>
      <c r="I26" s="392"/>
      <c r="J26" s="392"/>
      <c r="K26" s="393"/>
      <c r="L26" s="394"/>
      <c r="M26" s="232"/>
    </row>
    <row r="27" spans="1:13" ht="13.65" customHeight="1">
      <c r="A27" s="13"/>
      <c r="B27" s="150" t="s">
        <v>420</v>
      </c>
      <c r="C27" s="161" t="s">
        <v>37</v>
      </c>
      <c r="D27" s="151">
        <v>300</v>
      </c>
      <c r="E27" s="152">
        <v>25</v>
      </c>
      <c r="F27" s="152"/>
      <c r="G27" s="154">
        <f>D27*E27</f>
        <v>7500</v>
      </c>
      <c r="H27" s="30"/>
      <c r="I27" s="151">
        <v>300</v>
      </c>
      <c r="J27" s="152">
        <v>25</v>
      </c>
      <c r="K27" s="152"/>
      <c r="L27" s="154">
        <f>I27*J27</f>
        <v>7500</v>
      </c>
      <c r="M27" s="30"/>
    </row>
    <row r="28" spans="1:13" ht="13.65" customHeight="1">
      <c r="A28" s="13"/>
      <c r="B28" s="150" t="s">
        <v>421</v>
      </c>
      <c r="C28" s="161" t="s">
        <v>37</v>
      </c>
      <c r="D28" s="151">
        <v>300</v>
      </c>
      <c r="E28" s="152">
        <v>25</v>
      </c>
      <c r="F28" s="152"/>
      <c r="G28" s="154">
        <f>D28*E28</f>
        <v>7500</v>
      </c>
      <c r="H28" s="30"/>
      <c r="I28" s="151">
        <v>300</v>
      </c>
      <c r="J28" s="152">
        <v>25</v>
      </c>
      <c r="K28" s="152"/>
      <c r="L28" s="154">
        <f>I28*J28</f>
        <v>7500</v>
      </c>
      <c r="M28" s="30"/>
    </row>
    <row r="29" spans="1:13" ht="13.65" customHeight="1">
      <c r="A29" s="13"/>
      <c r="B29" s="150" t="s">
        <v>121</v>
      </c>
      <c r="C29" s="161" t="s">
        <v>122</v>
      </c>
      <c r="D29" s="151">
        <v>5</v>
      </c>
      <c r="E29" s="152"/>
      <c r="F29" s="152"/>
      <c r="G29" s="154">
        <v>2000</v>
      </c>
      <c r="H29" s="30"/>
      <c r="I29" s="151">
        <v>5</v>
      </c>
      <c r="J29" s="152"/>
      <c r="K29" s="152"/>
      <c r="L29" s="154">
        <v>2000</v>
      </c>
      <c r="M29" s="30"/>
    </row>
    <row r="30" spans="1:13" ht="13.65" customHeight="1">
      <c r="A30" s="47"/>
      <c r="B30" s="722" t="s">
        <v>64</v>
      </c>
      <c r="C30" s="723"/>
      <c r="D30" s="723"/>
      <c r="E30" s="259"/>
      <c r="F30" s="260"/>
      <c r="G30" s="261">
        <f>SUM(G16:G29)</f>
        <v>192872</v>
      </c>
      <c r="H30" s="262"/>
      <c r="J30" s="259"/>
      <c r="K30" s="260"/>
      <c r="L30" s="261">
        <f>SUM(L16:L29)</f>
        <v>192872</v>
      </c>
      <c r="M30" s="262"/>
    </row>
    <row r="31" spans="1:13" ht="13.65" customHeight="1">
      <c r="A31" s="47"/>
      <c r="B31" s="722" t="s">
        <v>65</v>
      </c>
      <c r="C31" s="723"/>
      <c r="D31" s="723"/>
      <c r="E31" s="259"/>
      <c r="F31" s="260"/>
      <c r="G31" s="261"/>
      <c r="H31" s="262">
        <f>SUM(H16:H30)</f>
        <v>118614</v>
      </c>
      <c r="J31" s="259"/>
      <c r="K31" s="260"/>
      <c r="L31" s="261"/>
      <c r="M31" s="262">
        <f>SUM(M16:M30)</f>
        <v>116544</v>
      </c>
    </row>
    <row r="32" spans="1:13" ht="13.65" customHeight="1">
      <c r="A32" s="47"/>
      <c r="B32" s="722" t="s">
        <v>66</v>
      </c>
      <c r="C32" s="723"/>
      <c r="D32" s="723"/>
      <c r="E32" s="265">
        <v>0.1</v>
      </c>
      <c r="F32" s="260"/>
      <c r="G32" s="260"/>
      <c r="H32" s="259">
        <f>H31*E32</f>
        <v>11861.400000000001</v>
      </c>
      <c r="J32" s="265">
        <v>0.1</v>
      </c>
      <c r="K32" s="260"/>
      <c r="L32" s="260"/>
      <c r="M32" s="259">
        <f>M31*J32</f>
        <v>11654.400000000001</v>
      </c>
    </row>
    <row r="33" spans="1:13" ht="13.65" customHeight="1">
      <c r="A33" s="47"/>
      <c r="B33" s="722" t="s">
        <v>67</v>
      </c>
      <c r="C33" s="723"/>
      <c r="D33" s="723"/>
      <c r="E33" s="265">
        <v>0.1</v>
      </c>
      <c r="F33" s="260"/>
      <c r="G33" s="260">
        <f>G30*E33</f>
        <v>19287.2</v>
      </c>
      <c r="H33" s="259"/>
      <c r="J33" s="265">
        <v>0.1</v>
      </c>
      <c r="K33" s="260"/>
      <c r="L33" s="260">
        <f>L30*J33</f>
        <v>19287.2</v>
      </c>
      <c r="M33" s="259"/>
    </row>
    <row r="34" spans="1:13" ht="13.65" customHeight="1">
      <c r="A34" s="47"/>
      <c r="B34" s="722" t="s">
        <v>68</v>
      </c>
      <c r="C34" s="723"/>
      <c r="D34" s="723"/>
      <c r="E34" s="266">
        <v>0.05</v>
      </c>
      <c r="F34" s="260"/>
      <c r="G34" s="260"/>
      <c r="H34" s="259">
        <f>H31*E34</f>
        <v>5930.7000000000007</v>
      </c>
      <c r="J34" s="266">
        <v>0.05</v>
      </c>
      <c r="K34" s="260"/>
      <c r="L34" s="260"/>
      <c r="M34" s="259">
        <f>M31*J34</f>
        <v>5827.2000000000007</v>
      </c>
    </row>
    <row r="35" spans="1:13" ht="13.65" customHeight="1">
      <c r="A35" s="47"/>
      <c r="B35" s="724" t="s">
        <v>69</v>
      </c>
      <c r="C35" s="725"/>
      <c r="D35" s="725"/>
      <c r="E35" s="725"/>
      <c r="F35" s="725"/>
      <c r="G35" s="725"/>
      <c r="H35" s="267">
        <f>SUM(G30:G34,H30:H34)</f>
        <v>348565.30000000005</v>
      </c>
      <c r="M35" s="267">
        <f>SUM(L30:L34,M30:M34)</f>
        <v>346184.80000000005</v>
      </c>
    </row>
    <row r="36" spans="1:13" ht="13.65" customHeight="1">
      <c r="A36" s="47"/>
      <c r="B36" s="188" t="s">
        <v>213</v>
      </c>
      <c r="C36" s="189"/>
      <c r="D36" s="46"/>
      <c r="E36" s="46"/>
      <c r="F36" s="189"/>
      <c r="G36" s="269">
        <v>0.2</v>
      </c>
      <c r="H36" s="270">
        <f>(H31+H32+H34+G30+G33)/5</f>
        <v>69713.06</v>
      </c>
      <c r="I36" s="46"/>
      <c r="J36" s="46"/>
      <c r="K36" s="189"/>
      <c r="L36" s="269">
        <v>0.2</v>
      </c>
      <c r="M36" s="270">
        <f>(M31+M32+M34+L30+L33)/5</f>
        <v>69236.959999999992</v>
      </c>
    </row>
    <row r="37" spans="1:13" ht="13.65" customHeight="1">
      <c r="A37" s="47"/>
      <c r="B37" s="741" t="s">
        <v>71</v>
      </c>
      <c r="C37" s="742"/>
      <c r="D37" s="742"/>
      <c r="E37" s="742"/>
      <c r="F37" s="742"/>
      <c r="G37" s="742"/>
      <c r="H37" s="271">
        <f>SUM(H35:H36)</f>
        <v>418278.36000000004</v>
      </c>
      <c r="M37" s="271">
        <f>SUM(M35:M36)</f>
        <v>415421.76</v>
      </c>
    </row>
    <row r="38" spans="1:13" ht="13.5" customHeight="1">
      <c r="A38" s="273"/>
      <c r="B38" s="273"/>
      <c r="C38" s="273"/>
      <c r="D38" s="273"/>
      <c r="E38" s="273"/>
      <c r="F38" s="273"/>
      <c r="G38" s="273"/>
      <c r="H38" s="273"/>
      <c r="I38" s="273"/>
      <c r="J38" s="273"/>
      <c r="K38" s="273"/>
      <c r="L38" s="273"/>
      <c r="M38" s="273"/>
    </row>
    <row r="39" spans="1:13" ht="12.75" customHeight="1">
      <c r="A39" s="200"/>
      <c r="B39" s="201" t="s">
        <v>129</v>
      </c>
      <c r="C39" s="202"/>
      <c r="D39" s="82"/>
      <c r="E39" s="82"/>
      <c r="F39" s="6"/>
      <c r="G39" s="6"/>
      <c r="H39" s="6"/>
      <c r="I39" s="82"/>
      <c r="J39" s="82"/>
      <c r="K39" s="6"/>
      <c r="L39" s="6"/>
      <c r="M39" s="6"/>
    </row>
    <row r="40" spans="1:13" ht="13.65" customHeight="1">
      <c r="A40" s="200"/>
      <c r="B40" s="204" t="s">
        <v>130</v>
      </c>
      <c r="C40" s="202"/>
      <c r="D40" s="82"/>
      <c r="E40" s="6"/>
      <c r="F40" s="6"/>
      <c r="G40" s="6"/>
      <c r="H40" s="6"/>
      <c r="I40" s="82"/>
      <c r="J40" s="6"/>
      <c r="K40" s="6"/>
      <c r="L40" s="6"/>
      <c r="M40" s="6"/>
    </row>
    <row r="41" spans="1:13" ht="12.75" customHeight="1">
      <c r="A41" s="200"/>
      <c r="B41" s="204" t="s">
        <v>131</v>
      </c>
      <c r="C41" s="204" t="s">
        <v>132</v>
      </c>
      <c r="D41" s="82"/>
      <c r="E41" s="202"/>
      <c r="F41" s="6"/>
      <c r="G41" s="6"/>
      <c r="H41" s="6"/>
      <c r="I41" s="82"/>
      <c r="J41" s="202"/>
      <c r="K41" s="6"/>
      <c r="L41" s="6"/>
      <c r="M41" s="6"/>
    </row>
    <row r="42" spans="1:13" ht="12.75" customHeight="1">
      <c r="A42" s="200"/>
      <c r="B42" s="207"/>
      <c r="C42" s="202"/>
      <c r="D42" s="82"/>
      <c r="E42" s="202"/>
      <c r="F42" s="6"/>
      <c r="G42" s="6"/>
      <c r="H42" s="6"/>
      <c r="I42" s="82"/>
      <c r="J42" s="202"/>
      <c r="K42" s="6"/>
      <c r="L42" s="6"/>
      <c r="M42" s="6"/>
    </row>
    <row r="43" spans="1:13" ht="12.75" customHeight="1">
      <c r="A43" s="200"/>
      <c r="B43" s="207"/>
      <c r="C43" s="202"/>
      <c r="D43" s="82"/>
      <c r="E43" s="202"/>
      <c r="F43" s="6"/>
      <c r="G43" s="6"/>
      <c r="H43" s="6"/>
      <c r="I43" s="82"/>
      <c r="J43" s="202"/>
      <c r="K43" s="6"/>
      <c r="L43" s="6"/>
      <c r="M43" s="6"/>
    </row>
    <row r="44" spans="1:13" ht="12.75" customHeight="1">
      <c r="A44" s="208"/>
      <c r="B44" s="82"/>
      <c r="C44" s="82"/>
      <c r="D44" s="82"/>
      <c r="E44" s="82"/>
      <c r="F44" s="6"/>
      <c r="G44" s="6"/>
      <c r="H44" s="6"/>
      <c r="I44" s="82"/>
      <c r="J44" s="82"/>
      <c r="K44" s="6"/>
      <c r="L44" s="6"/>
      <c r="M44" s="6"/>
    </row>
    <row r="45" spans="1:13" ht="12.75" customHeight="1">
      <c r="A45" s="208"/>
      <c r="B45" s="201" t="s">
        <v>133</v>
      </c>
      <c r="C45" s="82"/>
      <c r="D45" s="82"/>
      <c r="E45" s="82"/>
      <c r="F45" s="6"/>
      <c r="G45" s="6"/>
      <c r="H45" s="6"/>
      <c r="I45" s="82"/>
      <c r="J45" s="82"/>
      <c r="K45" s="6"/>
      <c r="L45" s="6"/>
      <c r="M45" s="6"/>
    </row>
    <row r="46" spans="1:13" ht="13.65" customHeight="1">
      <c r="A46" s="6"/>
      <c r="B46" s="204" t="s">
        <v>134</v>
      </c>
      <c r="C46" s="209" t="str">
        <f>C41</f>
        <v>_________________________     2021 р.</v>
      </c>
      <c r="D46" s="82"/>
      <c r="E46" s="6"/>
      <c r="F46" s="6"/>
      <c r="G46" s="6"/>
      <c r="H46" s="6"/>
      <c r="I46" s="82"/>
      <c r="J46" s="6"/>
      <c r="K46" s="6"/>
      <c r="L46" s="6"/>
      <c r="M46" s="6"/>
    </row>
    <row r="47" spans="1:13" ht="12.75" customHeight="1">
      <c r="A47" s="6"/>
      <c r="B47" s="202"/>
      <c r="C47" s="202"/>
      <c r="D47" s="82"/>
      <c r="E47" s="202"/>
      <c r="F47" s="274"/>
      <c r="G47" s="6"/>
      <c r="H47" s="6"/>
      <c r="I47" s="82"/>
      <c r="J47" s="202"/>
      <c r="K47" s="274"/>
      <c r="L47" s="6"/>
      <c r="M47" s="6"/>
    </row>
    <row r="48" spans="1:13" ht="13.5" customHeight="1">
      <c r="A48" s="92"/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</row>
    <row r="49" spans="1:13" ht="13.5" customHeight="1">
      <c r="A49" s="92"/>
      <c r="B49" s="92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</row>
    <row r="50" spans="1:13" ht="13.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ht="13.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ht="13.5" customHeight="1">
      <c r="A52" s="92"/>
      <c r="B52" s="92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</row>
    <row r="53" spans="1:13" ht="13.5" customHeight="1">
      <c r="A53" s="92"/>
      <c r="B53" s="92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</row>
    <row r="54" spans="1:13" ht="13.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</row>
    <row r="55" spans="1:13" ht="13.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</row>
    <row r="56" spans="1:13" ht="13.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</row>
    <row r="57" spans="1:13" ht="13.5" customHeight="1">
      <c r="A57" s="92"/>
      <c r="B57" s="92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</row>
    <row r="58" spans="1:13" ht="13.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</row>
    <row r="59" spans="1:13" ht="13.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</row>
    <row r="60" spans="1:13" ht="13.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</row>
    <row r="61" spans="1:13" ht="13.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</row>
    <row r="62" spans="1:13" ht="13.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</row>
    <row r="63" spans="1:13" ht="13.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</row>
    <row r="64" spans="1:13" ht="13.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</row>
    <row r="65" spans="1:13" ht="13.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</row>
    <row r="66" spans="1:13" ht="13.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</row>
    <row r="67" spans="1:13" ht="13.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</row>
    <row r="68" spans="1:13" ht="13.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</row>
    <row r="69" spans="1:13" ht="13.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</row>
    <row r="70" spans="1:13" ht="13.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</row>
    <row r="71" spans="1:13" ht="13.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</row>
    <row r="72" spans="1:13" ht="13.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</row>
    <row r="73" spans="1:13" ht="13.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</row>
    <row r="74" spans="1:13" ht="13.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</row>
    <row r="75" spans="1:13" ht="13.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</row>
    <row r="76" spans="1:13" ht="13.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</row>
    <row r="77" spans="1:13" ht="13.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</row>
    <row r="78" spans="1:13" ht="13.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</row>
    <row r="79" spans="1:13" ht="13.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</row>
    <row r="80" spans="1:13" ht="13.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</row>
    <row r="81" spans="1:13" ht="13.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</row>
    <row r="82" spans="1:13" ht="13.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</row>
    <row r="83" spans="1:13" ht="13.5" customHeight="1">
      <c r="A83" s="92"/>
      <c r="B83" s="92"/>
      <c r="C83" s="92"/>
      <c r="D83" s="92"/>
      <c r="E83" s="92"/>
      <c r="F83" s="92"/>
      <c r="G83" s="92"/>
      <c r="H83" s="92"/>
      <c r="I83" s="92"/>
      <c r="J83" s="92"/>
      <c r="K83" s="92"/>
      <c r="L83" s="92"/>
      <c r="M83" s="92"/>
    </row>
  </sheetData>
  <mergeCells count="15">
    <mergeCell ref="K11:M11"/>
    <mergeCell ref="B35:G35"/>
    <mergeCell ref="B37:G37"/>
    <mergeCell ref="A14:H14"/>
    <mergeCell ref="B30:D30"/>
    <mergeCell ref="B31:D31"/>
    <mergeCell ref="B32:D32"/>
    <mergeCell ref="B33:D33"/>
    <mergeCell ref="B34:D34"/>
    <mergeCell ref="A13:H13"/>
    <mergeCell ref="A4:D4"/>
    <mergeCell ref="A9:D9"/>
    <mergeCell ref="A10:H10"/>
    <mergeCell ref="F11:H11"/>
    <mergeCell ref="A12:H12"/>
  </mergeCell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148"/>
  <sheetViews>
    <sheetView topLeftCell="A82" workbookViewId="0">
      <selection activeCell="H88" sqref="H88"/>
    </sheetView>
  </sheetViews>
  <sheetFormatPr defaultColWidth="10.109375" defaultRowHeight="14.4"/>
  <cols>
    <col min="1" max="1" width="8.109375" style="5" customWidth="1"/>
    <col min="2" max="2" width="38.6640625" style="5" customWidth="1"/>
    <col min="3" max="3" width="10.109375" style="5" customWidth="1"/>
    <col min="4" max="4" width="12.109375" style="5" customWidth="1"/>
    <col min="5" max="6" width="10.109375" style="5" customWidth="1"/>
    <col min="7" max="7" width="11.109375" style="5" customWidth="1"/>
    <col min="8" max="8" width="12.33203125" style="5" customWidth="1"/>
    <col min="9" max="16384" width="10.109375" style="5"/>
  </cols>
  <sheetData>
    <row r="1" spans="1:8" s="409" customFormat="1" ht="16.649999999999999" customHeight="1">
      <c r="A1" s="688" t="s">
        <v>73</v>
      </c>
      <c r="B1" s="688"/>
      <c r="C1" s="688"/>
      <c r="D1" s="688"/>
      <c r="E1" s="688"/>
      <c r="F1" s="238"/>
      <c r="G1" s="238"/>
      <c r="H1" s="238"/>
    </row>
    <row r="2" spans="1:8" s="409" customFormat="1" ht="16.649999999999999" customHeight="1">
      <c r="A2" s="688" t="s">
        <v>74</v>
      </c>
      <c r="B2" s="688"/>
      <c r="C2" s="688"/>
      <c r="D2" s="688"/>
      <c r="E2" s="688"/>
      <c r="F2" s="688"/>
      <c r="G2" s="688"/>
      <c r="H2" s="238"/>
    </row>
    <row r="3" spans="1:8" s="409" customFormat="1" ht="16.649999999999999" customHeight="1">
      <c r="A3" s="431"/>
      <c r="B3" s="431"/>
      <c r="C3" s="422"/>
      <c r="D3" s="422"/>
      <c r="E3" s="422"/>
      <c r="F3" s="238"/>
      <c r="G3" s="238"/>
      <c r="H3" s="238"/>
    </row>
    <row r="4" spans="1:8" s="409" customFormat="1" ht="16.649999999999999" customHeight="1">
      <c r="A4" s="688" t="s">
        <v>75</v>
      </c>
      <c r="B4" s="689"/>
      <c r="C4" s="689"/>
      <c r="E4" s="432"/>
      <c r="F4" s="238"/>
      <c r="G4" s="238"/>
      <c r="H4" s="238"/>
    </row>
    <row r="5" spans="1:8" s="409" customFormat="1" ht="16.649999999999999" customHeight="1">
      <c r="A5" s="688" t="s">
        <v>76</v>
      </c>
      <c r="B5" s="688"/>
      <c r="C5" s="688"/>
      <c r="D5" s="688"/>
      <c r="E5" s="688"/>
      <c r="F5" s="688"/>
      <c r="G5" s="688"/>
      <c r="H5" s="238"/>
    </row>
    <row r="6" spans="1:8" s="409" customFormat="1" ht="53.25" customHeight="1">
      <c r="A6" s="752" t="s">
        <v>500</v>
      </c>
      <c r="B6" s="752"/>
      <c r="C6" s="752"/>
      <c r="D6" s="752"/>
      <c r="E6" s="752"/>
      <c r="F6" s="752"/>
      <c r="G6" s="752"/>
      <c r="H6" s="752"/>
    </row>
    <row r="7" spans="1:8" s="409" customFormat="1" ht="12.75" customHeight="1">
      <c r="A7" s="439"/>
      <c r="B7" s="238"/>
      <c r="C7" s="238"/>
      <c r="D7" s="477"/>
      <c r="E7" s="478"/>
      <c r="F7" s="694"/>
      <c r="G7" s="695"/>
      <c r="H7" s="695"/>
    </row>
    <row r="8" spans="1:8" s="409" customFormat="1" ht="15.75" customHeight="1">
      <c r="A8" s="690" t="s">
        <v>501</v>
      </c>
      <c r="B8" s="691"/>
      <c r="C8" s="691"/>
    </row>
    <row r="9" spans="1:8" s="409" customFormat="1" ht="6" customHeight="1">
      <c r="A9" s="690"/>
      <c r="B9" s="691"/>
      <c r="C9" s="691"/>
    </row>
    <row r="10" spans="1:8" s="409" customFormat="1" ht="15.75" customHeight="1">
      <c r="A10" s="404"/>
      <c r="B10" s="442"/>
      <c r="C10" s="442"/>
      <c r="D10" s="477"/>
      <c r="E10" s="478"/>
      <c r="F10" s="442"/>
      <c r="G10" s="442"/>
      <c r="H10" s="478" t="s">
        <v>502</v>
      </c>
    </row>
    <row r="11" spans="1:8" s="409" customFormat="1" ht="38.25" customHeight="1">
      <c r="A11" s="452" t="s">
        <v>9</v>
      </c>
      <c r="B11" s="452" t="s">
        <v>10</v>
      </c>
      <c r="C11" s="452" t="s">
        <v>11</v>
      </c>
      <c r="D11" s="452" t="s">
        <v>12</v>
      </c>
      <c r="E11" s="452" t="s">
        <v>13</v>
      </c>
      <c r="F11" s="452" t="s">
        <v>14</v>
      </c>
      <c r="G11" s="452" t="s">
        <v>15</v>
      </c>
      <c r="H11" s="452" t="s">
        <v>16</v>
      </c>
    </row>
    <row r="12" spans="1:8" ht="18.75" customHeight="1">
      <c r="A12" s="452"/>
      <c r="B12" s="452" t="s">
        <v>468</v>
      </c>
      <c r="C12" s="452"/>
      <c r="D12" s="452"/>
      <c r="E12" s="452"/>
      <c r="F12" s="452"/>
      <c r="G12" s="452"/>
      <c r="H12" s="452"/>
    </row>
    <row r="13" spans="1:8" s="405" customFormat="1" ht="15" customHeight="1">
      <c r="A13" s="616"/>
      <c r="B13" s="617" t="s">
        <v>464</v>
      </c>
      <c r="C13" s="616" t="s">
        <v>27</v>
      </c>
      <c r="D13" s="616" t="s">
        <v>465</v>
      </c>
      <c r="E13" s="616" t="s">
        <v>491</v>
      </c>
      <c r="F13" s="616"/>
      <c r="G13" s="490">
        <f>D13*E13</f>
        <v>1540</v>
      </c>
      <c r="H13" s="616"/>
    </row>
    <row r="14" spans="1:8" s="405" customFormat="1" ht="15" customHeight="1">
      <c r="A14" s="616"/>
      <c r="B14" s="521" t="s">
        <v>467</v>
      </c>
      <c r="C14" s="522" t="s">
        <v>21</v>
      </c>
      <c r="D14" s="523">
        <v>4</v>
      </c>
      <c r="E14" s="524">
        <v>300</v>
      </c>
      <c r="F14" s="524"/>
      <c r="G14" s="524">
        <f>D14*E14</f>
        <v>1200</v>
      </c>
      <c r="H14" s="525"/>
    </row>
    <row r="15" spans="1:8" s="405" customFormat="1" ht="15" customHeight="1">
      <c r="A15" s="616"/>
      <c r="B15" s="521" t="s">
        <v>175</v>
      </c>
      <c r="C15" s="522" t="s">
        <v>27</v>
      </c>
      <c r="D15" s="523">
        <v>33.200000000000003</v>
      </c>
      <c r="E15" s="524">
        <f>190*1.2</f>
        <v>228</v>
      </c>
      <c r="F15" s="524"/>
      <c r="G15" s="524">
        <f>D15*E15</f>
        <v>7569.6</v>
      </c>
      <c r="H15" s="525"/>
    </row>
    <row r="16" spans="1:8" ht="13.65" customHeight="1">
      <c r="A16" s="481"/>
      <c r="B16" s="526" t="s">
        <v>43</v>
      </c>
      <c r="C16" s="526" t="s">
        <v>37</v>
      </c>
      <c r="D16" s="527">
        <f>D15*0.2*2</f>
        <v>13.280000000000001</v>
      </c>
      <c r="E16" s="528"/>
      <c r="F16" s="528">
        <v>49</v>
      </c>
      <c r="G16" s="529"/>
      <c r="H16" s="525">
        <f>F16*D16</f>
        <v>650.72</v>
      </c>
    </row>
    <row r="17" spans="1:8" ht="13.65" customHeight="1">
      <c r="A17" s="481"/>
      <c r="B17" s="526" t="s">
        <v>51</v>
      </c>
      <c r="C17" s="526" t="s">
        <v>21</v>
      </c>
      <c r="D17" s="527">
        <f>D15*10</f>
        <v>332</v>
      </c>
      <c r="E17" s="528"/>
      <c r="F17" s="528">
        <v>0.23</v>
      </c>
      <c r="G17" s="529"/>
      <c r="H17" s="525">
        <f>F17*D17</f>
        <v>76.36</v>
      </c>
    </row>
    <row r="18" spans="1:8" ht="13.65" customHeight="1">
      <c r="A18" s="481"/>
      <c r="B18" s="526" t="s">
        <v>99</v>
      </c>
      <c r="C18" s="526" t="s">
        <v>21</v>
      </c>
      <c r="D18" s="527">
        <f>D15*10</f>
        <v>332</v>
      </c>
      <c r="E18" s="528"/>
      <c r="F18" s="528">
        <v>0.23</v>
      </c>
      <c r="G18" s="529"/>
      <c r="H18" s="525">
        <f>F18*D18</f>
        <v>76.36</v>
      </c>
    </row>
    <row r="19" spans="1:8" ht="13.65" customHeight="1">
      <c r="A19" s="481"/>
      <c r="B19" s="509" t="s">
        <v>181</v>
      </c>
      <c r="C19" s="510" t="s">
        <v>27</v>
      </c>
      <c r="D19" s="511">
        <f>D21+D23+D29</f>
        <v>99.600000000000009</v>
      </c>
      <c r="E19" s="512">
        <v>22</v>
      </c>
      <c r="F19" s="513"/>
      <c r="G19" s="512">
        <f>ROUND(D19*E19,2)</f>
        <v>2191.1999999999998</v>
      </c>
      <c r="H19" s="512"/>
    </row>
    <row r="20" spans="1:8" ht="26.25" customHeight="1">
      <c r="A20" s="481"/>
      <c r="B20" s="514" t="s">
        <v>113</v>
      </c>
      <c r="C20" s="514" t="s">
        <v>92</v>
      </c>
      <c r="D20" s="515">
        <f>D19*0.2</f>
        <v>19.920000000000002</v>
      </c>
      <c r="E20" s="513"/>
      <c r="F20" s="534">
        <v>20.02</v>
      </c>
      <c r="G20" s="513"/>
      <c r="H20" s="513">
        <f>ROUND(D20*F20,2)</f>
        <v>398.8</v>
      </c>
    </row>
    <row r="21" spans="1:8" ht="13.65" customHeight="1">
      <c r="A21" s="481"/>
      <c r="B21" s="521" t="s">
        <v>379</v>
      </c>
      <c r="C21" s="522" t="s">
        <v>27</v>
      </c>
      <c r="D21" s="523">
        <v>33.200000000000003</v>
      </c>
      <c r="E21" s="524">
        <f>160*1.2</f>
        <v>192</v>
      </c>
      <c r="F21" s="524"/>
      <c r="G21" s="524">
        <f>D21*E21</f>
        <v>6374.4000000000005</v>
      </c>
      <c r="H21" s="525"/>
    </row>
    <row r="22" spans="1:8" ht="26.25" customHeight="1">
      <c r="A22" s="481"/>
      <c r="B22" s="526" t="s">
        <v>179</v>
      </c>
      <c r="C22" s="526" t="s">
        <v>88</v>
      </c>
      <c r="D22" s="527">
        <f>D21*5</f>
        <v>166</v>
      </c>
      <c r="E22" s="528"/>
      <c r="F22" s="528">
        <v>5.5</v>
      </c>
      <c r="G22" s="529"/>
      <c r="H22" s="525">
        <f>F22*D22</f>
        <v>913</v>
      </c>
    </row>
    <row r="23" spans="1:8" ht="13.65" customHeight="1">
      <c r="A23" s="481"/>
      <c r="B23" s="509" t="s">
        <v>182</v>
      </c>
      <c r="C23" s="510" t="s">
        <v>27</v>
      </c>
      <c r="D23" s="511">
        <v>33.200000000000003</v>
      </c>
      <c r="E23" s="512">
        <v>140</v>
      </c>
      <c r="F23" s="513"/>
      <c r="G23" s="512">
        <f>ROUND(D23*E23,2)</f>
        <v>4648</v>
      </c>
      <c r="H23" s="512"/>
    </row>
    <row r="24" spans="1:8" ht="24" customHeight="1">
      <c r="A24" s="481"/>
      <c r="B24" s="514" t="s">
        <v>169</v>
      </c>
      <c r="C24" s="514" t="s">
        <v>88</v>
      </c>
      <c r="D24" s="515">
        <f>D23*2.5</f>
        <v>83</v>
      </c>
      <c r="E24" s="513"/>
      <c r="F24" s="516">
        <v>7.82</v>
      </c>
      <c r="G24" s="513"/>
      <c r="H24" s="513">
        <f>ROUND(D24*F24,2)</f>
        <v>649.05999999999995</v>
      </c>
    </row>
    <row r="25" spans="1:8" ht="13.65" customHeight="1">
      <c r="A25" s="481"/>
      <c r="B25" s="514" t="s">
        <v>170</v>
      </c>
      <c r="C25" s="514" t="s">
        <v>27</v>
      </c>
      <c r="D25" s="535">
        <f>D23*0.1</f>
        <v>3.3200000000000003</v>
      </c>
      <c r="E25" s="536"/>
      <c r="F25" s="516">
        <v>24.5</v>
      </c>
      <c r="G25" s="513"/>
      <c r="H25" s="513">
        <f>ROUND(D25*F25,2)</f>
        <v>81.34</v>
      </c>
    </row>
    <row r="26" spans="1:8" ht="13.65" customHeight="1">
      <c r="A26" s="481"/>
      <c r="B26" s="509" t="s">
        <v>183</v>
      </c>
      <c r="C26" s="510" t="s">
        <v>27</v>
      </c>
      <c r="D26" s="511">
        <v>33.200000000000003</v>
      </c>
      <c r="E26" s="512">
        <v>80</v>
      </c>
      <c r="F26" s="513"/>
      <c r="G26" s="512">
        <f>ROUND(D26*E26,2)</f>
        <v>2656</v>
      </c>
      <c r="H26" s="512"/>
    </row>
    <row r="27" spans="1:8" ht="13.65" customHeight="1">
      <c r="A27" s="481"/>
      <c r="B27" s="514" t="s">
        <v>184</v>
      </c>
      <c r="C27" s="514" t="s">
        <v>37</v>
      </c>
      <c r="D27" s="515">
        <f>1.1*D26</f>
        <v>36.520000000000003</v>
      </c>
      <c r="E27" s="513"/>
      <c r="F27" s="516">
        <v>12.5</v>
      </c>
      <c r="G27" s="513"/>
      <c r="H27" s="513">
        <f>ROUND(D27*F27,2)</f>
        <v>456.5</v>
      </c>
    </row>
    <row r="28" spans="1:8" ht="13.65" customHeight="1">
      <c r="A28" s="481"/>
      <c r="B28" s="514" t="s">
        <v>185</v>
      </c>
      <c r="C28" s="514" t="s">
        <v>88</v>
      </c>
      <c r="D28" s="515">
        <f>0.3*D26</f>
        <v>9.9600000000000009</v>
      </c>
      <c r="E28" s="513"/>
      <c r="F28" s="516">
        <v>41</v>
      </c>
      <c r="G28" s="513"/>
      <c r="H28" s="513">
        <f>ROUND(D28*F28,2)</f>
        <v>408.36</v>
      </c>
    </row>
    <row r="29" spans="1:8" ht="13.65" customHeight="1">
      <c r="A29" s="481"/>
      <c r="B29" s="509" t="s">
        <v>186</v>
      </c>
      <c r="C29" s="510" t="s">
        <v>27</v>
      </c>
      <c r="D29" s="511">
        <f>D26</f>
        <v>33.200000000000003</v>
      </c>
      <c r="E29" s="512">
        <v>140</v>
      </c>
      <c r="F29" s="513"/>
      <c r="G29" s="512">
        <f>ROUND(D29*E29,2)</f>
        <v>4648</v>
      </c>
      <c r="H29" s="512"/>
    </row>
    <row r="30" spans="1:8" ht="13.65" customHeight="1">
      <c r="A30" s="481"/>
      <c r="B30" s="514" t="s">
        <v>187</v>
      </c>
      <c r="C30" s="514" t="s">
        <v>88</v>
      </c>
      <c r="D30" s="515">
        <f>1.5*D29</f>
        <v>49.800000000000004</v>
      </c>
      <c r="E30" s="513"/>
      <c r="F30" s="516">
        <v>20.72</v>
      </c>
      <c r="G30" s="513"/>
      <c r="H30" s="513">
        <f>ROUND(D30*F30,2)</f>
        <v>1031.8599999999999</v>
      </c>
    </row>
    <row r="31" spans="1:8" ht="13.65" customHeight="1">
      <c r="A31" s="481"/>
      <c r="B31" s="486"/>
      <c r="C31" s="487"/>
      <c r="D31" s="577"/>
      <c r="E31" s="578"/>
      <c r="F31" s="578"/>
      <c r="G31" s="579"/>
      <c r="H31" s="562"/>
    </row>
    <row r="32" spans="1:8" ht="18.75" customHeight="1">
      <c r="A32" s="452"/>
      <c r="B32" s="452" t="s">
        <v>469</v>
      </c>
      <c r="C32" s="452"/>
      <c r="D32" s="452"/>
      <c r="E32" s="452"/>
      <c r="F32" s="452"/>
      <c r="G32" s="452"/>
      <c r="H32" s="452"/>
    </row>
    <row r="33" spans="1:8" s="405" customFormat="1" ht="15" customHeight="1">
      <c r="A33" s="616"/>
      <c r="B33" s="521" t="s">
        <v>175</v>
      </c>
      <c r="C33" s="522" t="s">
        <v>21</v>
      </c>
      <c r="D33" s="523">
        <v>10</v>
      </c>
      <c r="E33" s="524">
        <v>228</v>
      </c>
      <c r="F33" s="524"/>
      <c r="G33" s="524">
        <f>D33*E33</f>
        <v>2280</v>
      </c>
      <c r="H33" s="525"/>
    </row>
    <row r="34" spans="1:8" ht="13.65" customHeight="1">
      <c r="A34" s="481"/>
      <c r="B34" s="526" t="s">
        <v>43</v>
      </c>
      <c r="C34" s="526" t="s">
        <v>37</v>
      </c>
      <c r="D34" s="527">
        <f>D33*0.2*2</f>
        <v>4</v>
      </c>
      <c r="E34" s="528"/>
      <c r="F34" s="528">
        <v>49</v>
      </c>
      <c r="G34" s="529"/>
      <c r="H34" s="525">
        <f>F34*D34</f>
        <v>196</v>
      </c>
    </row>
    <row r="35" spans="1:8" ht="13.65" customHeight="1">
      <c r="A35" s="481"/>
      <c r="B35" s="526" t="s">
        <v>51</v>
      </c>
      <c r="C35" s="526" t="s">
        <v>21</v>
      </c>
      <c r="D35" s="527">
        <f>D33*10</f>
        <v>100</v>
      </c>
      <c r="E35" s="528"/>
      <c r="F35" s="528">
        <v>0.23</v>
      </c>
      <c r="G35" s="529"/>
      <c r="H35" s="525">
        <f>F35*D35</f>
        <v>23</v>
      </c>
    </row>
    <row r="36" spans="1:8" ht="13.65" customHeight="1">
      <c r="A36" s="481"/>
      <c r="B36" s="526" t="s">
        <v>99</v>
      </c>
      <c r="C36" s="526" t="s">
        <v>21</v>
      </c>
      <c r="D36" s="527">
        <f>D33*10</f>
        <v>100</v>
      </c>
      <c r="E36" s="528"/>
      <c r="F36" s="528">
        <v>0.23</v>
      </c>
      <c r="G36" s="529"/>
      <c r="H36" s="525">
        <f>F36*D36</f>
        <v>23</v>
      </c>
    </row>
    <row r="37" spans="1:8" ht="25.5" customHeight="1">
      <c r="A37" s="481"/>
      <c r="B37" s="486" t="s">
        <v>158</v>
      </c>
      <c r="C37" s="487" t="s">
        <v>37</v>
      </c>
      <c r="D37" s="488">
        <v>4.45</v>
      </c>
      <c r="E37" s="489">
        <v>340</v>
      </c>
      <c r="F37" s="489"/>
      <c r="G37" s="490">
        <f>D37*E37</f>
        <v>1513</v>
      </c>
      <c r="H37" s="489"/>
    </row>
    <row r="38" spans="1:8" ht="26.25" customHeight="1">
      <c r="A38" s="481"/>
      <c r="B38" s="491" t="s">
        <v>43</v>
      </c>
      <c r="C38" s="491" t="s">
        <v>37</v>
      </c>
      <c r="D38" s="492">
        <f>CEILING(D37*1.05,3)</f>
        <v>6</v>
      </c>
      <c r="E38" s="492"/>
      <c r="F38" s="493">
        <v>49</v>
      </c>
      <c r="G38" s="493"/>
      <c r="H38" s="493">
        <f t="shared" ref="H38:H45" si="0">F38*D38</f>
        <v>294</v>
      </c>
    </row>
    <row r="39" spans="1:8" ht="13.65" customHeight="1">
      <c r="A39" s="481"/>
      <c r="B39" s="491" t="s">
        <v>159</v>
      </c>
      <c r="C39" s="491" t="s">
        <v>46</v>
      </c>
      <c r="D39" s="492">
        <f>CEILING(D37*2.1,3)</f>
        <v>12</v>
      </c>
      <c r="E39" s="508"/>
      <c r="F39" s="493">
        <v>25</v>
      </c>
      <c r="G39" s="493"/>
      <c r="H39" s="493">
        <f t="shared" si="0"/>
        <v>300</v>
      </c>
    </row>
    <row r="40" spans="1:8" ht="26.25" customHeight="1">
      <c r="A40" s="481"/>
      <c r="B40" s="491" t="s">
        <v>160</v>
      </c>
      <c r="C40" s="491" t="s">
        <v>46</v>
      </c>
      <c r="D40" s="492">
        <f>CEILING(D37*3,3)</f>
        <v>15</v>
      </c>
      <c r="E40" s="492"/>
      <c r="F40" s="493">
        <v>38.57</v>
      </c>
      <c r="G40" s="493"/>
      <c r="H40" s="493">
        <f t="shared" si="0"/>
        <v>578.54999999999995</v>
      </c>
    </row>
    <row r="41" spans="1:8" ht="13.65" customHeight="1">
      <c r="A41" s="481"/>
      <c r="B41" s="491" t="s">
        <v>161</v>
      </c>
      <c r="C41" s="491" t="s">
        <v>21</v>
      </c>
      <c r="D41" s="492">
        <v>6</v>
      </c>
      <c r="E41" s="492"/>
      <c r="F41" s="493">
        <v>8.52</v>
      </c>
      <c r="G41" s="493"/>
      <c r="H41" s="493">
        <f t="shared" si="0"/>
        <v>51.12</v>
      </c>
    </row>
    <row r="42" spans="1:8" ht="24" customHeight="1">
      <c r="A42" s="481"/>
      <c r="B42" s="491" t="s">
        <v>98</v>
      </c>
      <c r="C42" s="491" t="s">
        <v>21</v>
      </c>
      <c r="D42" s="492">
        <f>ROUND(D37*4,0)</f>
        <v>18</v>
      </c>
      <c r="E42" s="492"/>
      <c r="F42" s="493">
        <v>0.18</v>
      </c>
      <c r="G42" s="493"/>
      <c r="H42" s="493">
        <f t="shared" si="0"/>
        <v>3.2399999999999998</v>
      </c>
    </row>
    <row r="43" spans="1:8" ht="13.65" customHeight="1">
      <c r="A43" s="481"/>
      <c r="B43" s="491" t="s">
        <v>162</v>
      </c>
      <c r="C43" s="491" t="s">
        <v>21</v>
      </c>
      <c r="D43" s="492">
        <v>6</v>
      </c>
      <c r="E43" s="492"/>
      <c r="F43" s="493">
        <v>22.38</v>
      </c>
      <c r="G43" s="493"/>
      <c r="H43" s="493">
        <f t="shared" si="0"/>
        <v>134.28</v>
      </c>
    </row>
    <row r="44" spans="1:8" ht="13.65" customHeight="1">
      <c r="A44" s="481"/>
      <c r="B44" s="491" t="s">
        <v>51</v>
      </c>
      <c r="C44" s="491" t="s">
        <v>21</v>
      </c>
      <c r="D44" s="492">
        <f>ROUND(D37*23,2)</f>
        <v>102.35</v>
      </c>
      <c r="E44" s="492"/>
      <c r="F44" s="493">
        <v>0.23</v>
      </c>
      <c r="G44" s="493"/>
      <c r="H44" s="493">
        <f t="shared" si="0"/>
        <v>23.540499999999998</v>
      </c>
    </row>
    <row r="45" spans="1:8" ht="13.65" customHeight="1">
      <c r="A45" s="481"/>
      <c r="B45" s="491" t="s">
        <v>163</v>
      </c>
      <c r="C45" s="491" t="s">
        <v>21</v>
      </c>
      <c r="D45" s="492">
        <v>12</v>
      </c>
      <c r="E45" s="492"/>
      <c r="F45" s="493">
        <v>0.5</v>
      </c>
      <c r="G45" s="493"/>
      <c r="H45" s="493">
        <f t="shared" si="0"/>
        <v>6</v>
      </c>
    </row>
    <row r="46" spans="1:8" ht="13.65" customHeight="1">
      <c r="A46" s="481"/>
      <c r="B46" s="509" t="s">
        <v>181</v>
      </c>
      <c r="C46" s="510" t="s">
        <v>37</v>
      </c>
      <c r="D46" s="511">
        <v>13.35</v>
      </c>
      <c r="E46" s="512">
        <v>22</v>
      </c>
      <c r="F46" s="513"/>
      <c r="G46" s="512">
        <f>ROUND(D46*E46,2)</f>
        <v>293.7</v>
      </c>
      <c r="H46" s="512"/>
    </row>
    <row r="47" spans="1:8" ht="26.25" customHeight="1">
      <c r="A47" s="481"/>
      <c r="B47" s="514" t="s">
        <v>113</v>
      </c>
      <c r="C47" s="514" t="s">
        <v>92</v>
      </c>
      <c r="D47" s="515">
        <f>D46*0.2</f>
        <v>2.67</v>
      </c>
      <c r="E47" s="513"/>
      <c r="F47" s="534">
        <v>20.02</v>
      </c>
      <c r="G47" s="513"/>
      <c r="H47" s="513">
        <f>ROUND(D47*F47,2)</f>
        <v>53.45</v>
      </c>
    </row>
    <row r="48" spans="1:8" ht="13.65" customHeight="1">
      <c r="A48" s="481"/>
      <c r="B48" s="509" t="s">
        <v>470</v>
      </c>
      <c r="C48" s="510" t="s">
        <v>37</v>
      </c>
      <c r="D48" s="511">
        <v>4.45</v>
      </c>
      <c r="E48" s="512">
        <v>140</v>
      </c>
      <c r="F48" s="513"/>
      <c r="G48" s="512">
        <f>ROUND(D48*E48,2)</f>
        <v>623</v>
      </c>
      <c r="H48" s="512"/>
    </row>
    <row r="49" spans="1:8" ht="24" customHeight="1">
      <c r="A49" s="481"/>
      <c r="B49" s="514" t="s">
        <v>169</v>
      </c>
      <c r="C49" s="514" t="s">
        <v>88</v>
      </c>
      <c r="D49" s="515">
        <f>D48*2.5</f>
        <v>11.125</v>
      </c>
      <c r="E49" s="513"/>
      <c r="F49" s="516">
        <v>7.82</v>
      </c>
      <c r="G49" s="513"/>
      <c r="H49" s="513">
        <f>ROUND(D49*F49,2)</f>
        <v>87</v>
      </c>
    </row>
    <row r="50" spans="1:8" ht="13.65" customHeight="1">
      <c r="A50" s="481"/>
      <c r="B50" s="514" t="s">
        <v>170</v>
      </c>
      <c r="C50" s="514" t="s">
        <v>27</v>
      </c>
      <c r="D50" s="535">
        <f>D48*0.1</f>
        <v>0.44500000000000006</v>
      </c>
      <c r="E50" s="536"/>
      <c r="F50" s="516">
        <v>24.5</v>
      </c>
      <c r="G50" s="513"/>
      <c r="H50" s="513">
        <f>ROUND(D50*F50,2)</f>
        <v>10.9</v>
      </c>
    </row>
    <row r="51" spans="1:8" ht="13.65" customHeight="1">
      <c r="A51" s="481"/>
      <c r="B51" s="509" t="s">
        <v>183</v>
      </c>
      <c r="C51" s="510" t="s">
        <v>37</v>
      </c>
      <c r="D51" s="511">
        <v>4.45</v>
      </c>
      <c r="E51" s="512">
        <v>80</v>
      </c>
      <c r="F51" s="513"/>
      <c r="G51" s="512">
        <f>ROUND(D51*E51,2)</f>
        <v>356</v>
      </c>
      <c r="H51" s="512"/>
    </row>
    <row r="52" spans="1:8" ht="13.65" customHeight="1">
      <c r="A52" s="481"/>
      <c r="B52" s="514" t="s">
        <v>184</v>
      </c>
      <c r="C52" s="514" t="s">
        <v>37</v>
      </c>
      <c r="D52" s="515">
        <f>1.1*D51</f>
        <v>4.8950000000000005</v>
      </c>
      <c r="E52" s="513"/>
      <c r="F52" s="516">
        <v>12.5</v>
      </c>
      <c r="G52" s="513"/>
      <c r="H52" s="513">
        <f>ROUND(D52*F52,2)</f>
        <v>61.19</v>
      </c>
    </row>
    <row r="53" spans="1:8" ht="13.65" customHeight="1">
      <c r="A53" s="481"/>
      <c r="B53" s="514" t="s">
        <v>185</v>
      </c>
      <c r="C53" s="514" t="s">
        <v>88</v>
      </c>
      <c r="D53" s="515">
        <f>0.3*D51</f>
        <v>1.335</v>
      </c>
      <c r="E53" s="513"/>
      <c r="F53" s="516">
        <v>41</v>
      </c>
      <c r="G53" s="513"/>
      <c r="H53" s="513">
        <f>ROUND(D53*F53,2)</f>
        <v>54.74</v>
      </c>
    </row>
    <row r="54" spans="1:8" ht="13.65" customHeight="1">
      <c r="A54" s="481"/>
      <c r="B54" s="509" t="s">
        <v>471</v>
      </c>
      <c r="C54" s="510" t="s">
        <v>37</v>
      </c>
      <c r="D54" s="511">
        <f>D51</f>
        <v>4.45</v>
      </c>
      <c r="E54" s="512">
        <v>140</v>
      </c>
      <c r="F54" s="513"/>
      <c r="G54" s="512">
        <f>ROUND(D54*E54,2)</f>
        <v>623</v>
      </c>
      <c r="H54" s="512"/>
    </row>
    <row r="55" spans="1:8" ht="13.65" customHeight="1">
      <c r="A55" s="481"/>
      <c r="B55" s="514" t="s">
        <v>187</v>
      </c>
      <c r="C55" s="514" t="s">
        <v>88</v>
      </c>
      <c r="D55" s="515">
        <f>1.5*D54</f>
        <v>6.6750000000000007</v>
      </c>
      <c r="E55" s="513"/>
      <c r="F55" s="516">
        <v>20.72</v>
      </c>
      <c r="G55" s="513"/>
      <c r="H55" s="513">
        <f>ROUND(D55*F55,2)</f>
        <v>138.31</v>
      </c>
    </row>
    <row r="56" spans="1:8" ht="13.65" customHeight="1">
      <c r="A56" s="481"/>
      <c r="B56" s="498" t="s">
        <v>85</v>
      </c>
      <c r="C56" s="496" t="s">
        <v>37</v>
      </c>
      <c r="D56" s="497">
        <v>0.25</v>
      </c>
      <c r="E56" s="497"/>
      <c r="F56" s="497">
        <f t="shared" ref="F56" si="1">1450/1.2</f>
        <v>1208.3333333333335</v>
      </c>
      <c r="G56" s="497"/>
      <c r="H56" s="497">
        <f>D56*F56</f>
        <v>302.08333333333337</v>
      </c>
    </row>
    <row r="57" spans="1:8" ht="13.65" customHeight="1">
      <c r="A57" s="481"/>
      <c r="B57" s="491" t="s">
        <v>459</v>
      </c>
      <c r="C57" s="491" t="s">
        <v>88</v>
      </c>
      <c r="D57" s="492">
        <v>3</v>
      </c>
      <c r="E57" s="492"/>
      <c r="F57" s="493">
        <v>89.96</v>
      </c>
      <c r="G57" s="490"/>
      <c r="H57" s="493">
        <f>F57*D57</f>
        <v>269.88</v>
      </c>
    </row>
    <row r="58" spans="1:8" ht="13.65" customHeight="1">
      <c r="A58" s="481"/>
      <c r="B58" s="491" t="s">
        <v>458</v>
      </c>
      <c r="C58" s="491" t="s">
        <v>21</v>
      </c>
      <c r="D58" s="492">
        <v>2</v>
      </c>
      <c r="E58" s="492"/>
      <c r="F58" s="493">
        <v>42.16</v>
      </c>
      <c r="G58" s="490"/>
      <c r="H58" s="493">
        <f>F58*D58</f>
        <v>84.32</v>
      </c>
    </row>
    <row r="59" spans="1:8" ht="13.65" customHeight="1">
      <c r="A59" s="481"/>
      <c r="B59" s="509" t="s">
        <v>472</v>
      </c>
      <c r="C59" s="510" t="s">
        <v>27</v>
      </c>
      <c r="D59" s="511">
        <v>12</v>
      </c>
      <c r="E59" s="512">
        <v>80</v>
      </c>
      <c r="F59" s="513"/>
      <c r="G59" s="512">
        <f>ROUND(D59*E59,2)</f>
        <v>960</v>
      </c>
      <c r="H59" s="512"/>
    </row>
    <row r="60" spans="1:8" ht="13.65" customHeight="1">
      <c r="A60" s="481"/>
      <c r="B60" s="491"/>
      <c r="C60" s="491"/>
      <c r="D60" s="492"/>
      <c r="E60" s="492"/>
      <c r="F60" s="493"/>
      <c r="G60" s="490"/>
      <c r="H60" s="493"/>
    </row>
    <row r="61" spans="1:8" ht="27.75" customHeight="1">
      <c r="A61" s="452"/>
      <c r="B61" s="452" t="s">
        <v>473</v>
      </c>
      <c r="C61" s="452"/>
      <c r="D61" s="452"/>
      <c r="E61" s="452"/>
      <c r="F61" s="452"/>
      <c r="G61" s="452"/>
      <c r="H61" s="452"/>
    </row>
    <row r="62" spans="1:8" s="405" customFormat="1" ht="30" customHeight="1">
      <c r="A62" s="616"/>
      <c r="B62" s="617" t="s">
        <v>474</v>
      </c>
      <c r="C62" s="616" t="s">
        <v>27</v>
      </c>
      <c r="D62" s="616" t="s">
        <v>475</v>
      </c>
      <c r="E62" s="616" t="s">
        <v>476</v>
      </c>
      <c r="F62" s="616"/>
      <c r="G62" s="490">
        <f>D62*E62</f>
        <v>576</v>
      </c>
      <c r="H62" s="616"/>
    </row>
    <row r="63" spans="1:8" s="405" customFormat="1" ht="30" customHeight="1">
      <c r="A63" s="616"/>
      <c r="B63" s="617" t="s">
        <v>477</v>
      </c>
      <c r="C63" s="616" t="s">
        <v>27</v>
      </c>
      <c r="D63" s="616" t="s">
        <v>475</v>
      </c>
      <c r="E63" s="616" t="s">
        <v>478</v>
      </c>
      <c r="F63" s="616"/>
      <c r="G63" s="490">
        <f>D63*E63</f>
        <v>864</v>
      </c>
      <c r="H63" s="616"/>
    </row>
    <row r="64" spans="1:8" ht="13.65" customHeight="1">
      <c r="A64" s="481"/>
      <c r="B64" s="509" t="s">
        <v>470</v>
      </c>
      <c r="C64" s="616" t="s">
        <v>27</v>
      </c>
      <c r="D64" s="616" t="s">
        <v>475</v>
      </c>
      <c r="E64" s="616" t="s">
        <v>466</v>
      </c>
      <c r="F64" s="513"/>
      <c r="G64" s="490">
        <f t="shared" ref="G64:G66" si="2">D64*E64</f>
        <v>1344</v>
      </c>
      <c r="H64" s="512"/>
    </row>
    <row r="65" spans="1:8" ht="13.65" customHeight="1">
      <c r="A65" s="481"/>
      <c r="B65" s="509" t="s">
        <v>183</v>
      </c>
      <c r="C65" s="616" t="s">
        <v>27</v>
      </c>
      <c r="D65" s="616" t="s">
        <v>475</v>
      </c>
      <c r="E65" s="616" t="s">
        <v>479</v>
      </c>
      <c r="F65" s="513"/>
      <c r="G65" s="490">
        <f t="shared" si="2"/>
        <v>768</v>
      </c>
      <c r="H65" s="512"/>
    </row>
    <row r="66" spans="1:8" ht="13.65" customHeight="1">
      <c r="A66" s="481"/>
      <c r="B66" s="509" t="s">
        <v>471</v>
      </c>
      <c r="C66" s="616" t="s">
        <v>27</v>
      </c>
      <c r="D66" s="616" t="s">
        <v>475</v>
      </c>
      <c r="E66" s="616" t="s">
        <v>466</v>
      </c>
      <c r="F66" s="513"/>
      <c r="G66" s="490">
        <f t="shared" si="2"/>
        <v>1344</v>
      </c>
      <c r="H66" s="512"/>
    </row>
    <row r="67" spans="1:8" ht="13.65" customHeight="1">
      <c r="A67" s="481"/>
      <c r="B67" s="514"/>
      <c r="C67" s="514"/>
      <c r="D67" s="515"/>
      <c r="E67" s="513"/>
      <c r="F67" s="534"/>
      <c r="G67" s="513"/>
      <c r="H67" s="513"/>
    </row>
    <row r="68" spans="1:8" ht="27.75" customHeight="1">
      <c r="A68" s="452"/>
      <c r="B68" s="452" t="s">
        <v>480</v>
      </c>
      <c r="C68" s="452"/>
      <c r="D68" s="452"/>
      <c r="E68" s="452"/>
      <c r="F68" s="452"/>
      <c r="G68" s="452"/>
      <c r="H68" s="452"/>
    </row>
    <row r="69" spans="1:8" ht="13.65" customHeight="1">
      <c r="A69" s="481"/>
      <c r="B69" s="509" t="s">
        <v>181</v>
      </c>
      <c r="C69" s="510" t="s">
        <v>27</v>
      </c>
      <c r="D69" s="511">
        <v>58.6</v>
      </c>
      <c r="E69" s="512">
        <v>22</v>
      </c>
      <c r="F69" s="513"/>
      <c r="G69" s="512">
        <f>ROUND(D69*E69,2)</f>
        <v>1289.2</v>
      </c>
      <c r="H69" s="512"/>
    </row>
    <row r="70" spans="1:8" ht="26.25" customHeight="1">
      <c r="A70" s="481"/>
      <c r="B70" s="514" t="s">
        <v>113</v>
      </c>
      <c r="C70" s="514" t="s">
        <v>92</v>
      </c>
      <c r="D70" s="515">
        <f>D69*0.2</f>
        <v>11.72</v>
      </c>
      <c r="E70" s="513"/>
      <c r="F70" s="534">
        <v>20.02</v>
      </c>
      <c r="G70" s="513"/>
      <c r="H70" s="513">
        <f>ROUND(D70*F70,2)</f>
        <v>234.63</v>
      </c>
    </row>
    <row r="71" spans="1:8" ht="13.65" customHeight="1">
      <c r="A71" s="481"/>
      <c r="B71" s="509" t="s">
        <v>470</v>
      </c>
      <c r="C71" s="510" t="s">
        <v>27</v>
      </c>
      <c r="D71" s="511">
        <v>29.3</v>
      </c>
      <c r="E71" s="512">
        <v>140</v>
      </c>
      <c r="F71" s="513"/>
      <c r="G71" s="512">
        <f>ROUND(D71*E71,2)</f>
        <v>4102</v>
      </c>
      <c r="H71" s="512"/>
    </row>
    <row r="72" spans="1:8" ht="24" customHeight="1">
      <c r="A72" s="481"/>
      <c r="B72" s="514" t="s">
        <v>169</v>
      </c>
      <c r="C72" s="514" t="s">
        <v>88</v>
      </c>
      <c r="D72" s="515">
        <f>D71*2.5</f>
        <v>73.25</v>
      </c>
      <c r="E72" s="513"/>
      <c r="F72" s="516">
        <v>7.82</v>
      </c>
      <c r="G72" s="513"/>
      <c r="H72" s="513">
        <f>ROUND(D72*F72,2)</f>
        <v>572.82000000000005</v>
      </c>
    </row>
    <row r="73" spans="1:8" ht="13.65" customHeight="1">
      <c r="A73" s="481"/>
      <c r="B73" s="514" t="s">
        <v>170</v>
      </c>
      <c r="C73" s="514" t="s">
        <v>27</v>
      </c>
      <c r="D73" s="535">
        <f>D71*0.1</f>
        <v>2.93</v>
      </c>
      <c r="E73" s="536"/>
      <c r="F73" s="516">
        <v>24.5</v>
      </c>
      <c r="G73" s="513"/>
      <c r="H73" s="513">
        <f>ROUND(D73*F73,2)</f>
        <v>71.790000000000006</v>
      </c>
    </row>
    <row r="74" spans="1:8" ht="13.65" customHeight="1">
      <c r="A74" s="481"/>
      <c r="B74" s="509" t="s">
        <v>481</v>
      </c>
      <c r="C74" s="510" t="s">
        <v>27</v>
      </c>
      <c r="D74" s="511">
        <v>29.3</v>
      </c>
      <c r="E74" s="512">
        <v>80</v>
      </c>
      <c r="F74" s="513"/>
      <c r="G74" s="512">
        <f>ROUND(D74*E74,2)</f>
        <v>2344</v>
      </c>
      <c r="H74" s="512"/>
    </row>
    <row r="75" spans="1:8" ht="13.65" customHeight="1">
      <c r="A75" s="481"/>
      <c r="B75" s="514"/>
      <c r="C75" s="514"/>
      <c r="D75" s="515"/>
      <c r="E75" s="513"/>
      <c r="F75" s="534"/>
      <c r="G75" s="513"/>
      <c r="H75" s="513"/>
    </row>
    <row r="76" spans="1:8" ht="16.5" customHeight="1">
      <c r="A76" s="452"/>
      <c r="B76" s="452" t="s">
        <v>53</v>
      </c>
      <c r="C76" s="452"/>
      <c r="D76" s="452"/>
      <c r="E76" s="452"/>
      <c r="F76" s="452"/>
      <c r="G76" s="452"/>
      <c r="H76" s="452"/>
    </row>
    <row r="77" spans="1:8" ht="28.5" customHeight="1">
      <c r="A77" s="481"/>
      <c r="B77" s="509" t="s">
        <v>492</v>
      </c>
      <c r="C77" s="510" t="s">
        <v>21</v>
      </c>
      <c r="D77" s="511">
        <v>2</v>
      </c>
      <c r="E77" s="512">
        <v>1500</v>
      </c>
      <c r="F77" s="513">
        <v>1200</v>
      </c>
      <c r="G77" s="512">
        <f t="shared" ref="G77:G84" si="3">ROUND(D77*E77,2)</f>
        <v>3000</v>
      </c>
      <c r="H77" s="512">
        <f t="shared" ref="H77:H82" si="4">D77*F77</f>
        <v>2400</v>
      </c>
    </row>
    <row r="78" spans="1:8" ht="13.65" customHeight="1">
      <c r="A78" s="481"/>
      <c r="B78" s="509" t="s">
        <v>493</v>
      </c>
      <c r="C78" s="510" t="s">
        <v>21</v>
      </c>
      <c r="D78" s="511">
        <v>8</v>
      </c>
      <c r="E78" s="512">
        <v>250</v>
      </c>
      <c r="F78" s="513">
        <v>25</v>
      </c>
      <c r="G78" s="512">
        <f t="shared" si="3"/>
        <v>2000</v>
      </c>
      <c r="H78" s="512">
        <f t="shared" si="4"/>
        <v>200</v>
      </c>
    </row>
    <row r="79" spans="1:8" ht="13.65" customHeight="1">
      <c r="A79" s="481"/>
      <c r="B79" s="509" t="s">
        <v>494</v>
      </c>
      <c r="C79" s="510" t="s">
        <v>21</v>
      </c>
      <c r="D79" s="511">
        <v>1</v>
      </c>
      <c r="E79" s="512">
        <v>1200</v>
      </c>
      <c r="F79" s="513">
        <v>212</v>
      </c>
      <c r="G79" s="512">
        <f t="shared" si="3"/>
        <v>1200</v>
      </c>
      <c r="H79" s="512">
        <f t="shared" si="4"/>
        <v>212</v>
      </c>
    </row>
    <row r="80" spans="1:8" ht="28.5" customHeight="1">
      <c r="A80" s="481"/>
      <c r="B80" s="509" t="s">
        <v>495</v>
      </c>
      <c r="C80" s="510" t="s">
        <v>327</v>
      </c>
      <c r="D80" s="511">
        <v>1</v>
      </c>
      <c r="E80" s="512">
        <v>1600</v>
      </c>
      <c r="F80" s="513">
        <v>265</v>
      </c>
      <c r="G80" s="512">
        <f t="shared" si="3"/>
        <v>1600</v>
      </c>
      <c r="H80" s="512">
        <f t="shared" si="4"/>
        <v>265</v>
      </c>
    </row>
    <row r="81" spans="1:8" ht="28.5" customHeight="1">
      <c r="A81" s="481"/>
      <c r="B81" s="509" t="s">
        <v>496</v>
      </c>
      <c r="C81" s="510" t="s">
        <v>327</v>
      </c>
      <c r="D81" s="511">
        <v>6</v>
      </c>
      <c r="E81" s="512">
        <v>1800</v>
      </c>
      <c r="F81" s="513">
        <v>148</v>
      </c>
      <c r="G81" s="512">
        <f t="shared" si="3"/>
        <v>10800</v>
      </c>
      <c r="H81" s="512">
        <f t="shared" si="4"/>
        <v>888</v>
      </c>
    </row>
    <row r="82" spans="1:8" ht="28.5" customHeight="1">
      <c r="A82" s="481"/>
      <c r="B82" s="509" t="s">
        <v>497</v>
      </c>
      <c r="C82" s="510" t="s">
        <v>37</v>
      </c>
      <c r="D82" s="511">
        <v>65.400000000000006</v>
      </c>
      <c r="E82" s="512">
        <v>120</v>
      </c>
      <c r="F82" s="513">
        <v>23</v>
      </c>
      <c r="G82" s="512">
        <f t="shared" si="3"/>
        <v>7848</v>
      </c>
      <c r="H82" s="512">
        <f t="shared" si="4"/>
        <v>1504.2</v>
      </c>
    </row>
    <row r="83" spans="1:8" ht="28.5" customHeight="1">
      <c r="A83" s="481"/>
      <c r="B83" s="509" t="s">
        <v>498</v>
      </c>
      <c r="C83" s="510" t="s">
        <v>21</v>
      </c>
      <c r="D83" s="511">
        <v>200</v>
      </c>
      <c r="E83" s="512">
        <v>3</v>
      </c>
      <c r="F83" s="513"/>
      <c r="G83" s="512">
        <f t="shared" si="3"/>
        <v>600</v>
      </c>
      <c r="H83" s="512"/>
    </row>
    <row r="84" spans="1:8" ht="13.65" customHeight="1">
      <c r="A84" s="481"/>
      <c r="B84" s="509" t="s">
        <v>482</v>
      </c>
      <c r="C84" s="510" t="s">
        <v>21</v>
      </c>
      <c r="D84" s="511">
        <v>2</v>
      </c>
      <c r="E84" s="512">
        <v>450</v>
      </c>
      <c r="F84" s="513"/>
      <c r="G84" s="512">
        <f t="shared" si="3"/>
        <v>900</v>
      </c>
      <c r="H84" s="512"/>
    </row>
    <row r="85" spans="1:8" ht="13.65" customHeight="1">
      <c r="A85" s="481"/>
      <c r="B85" s="514" t="s">
        <v>483</v>
      </c>
      <c r="C85" s="514" t="s">
        <v>21</v>
      </c>
      <c r="D85" s="535">
        <v>2</v>
      </c>
      <c r="E85" s="536"/>
      <c r="F85" s="516">
        <v>679.34</v>
      </c>
      <c r="G85" s="513"/>
      <c r="H85" s="513">
        <f>ROUND(D85*F85,2)</f>
        <v>1358.68</v>
      </c>
    </row>
    <row r="86" spans="1:8" ht="13.65" customHeight="1">
      <c r="A86" s="481"/>
      <c r="B86" s="509" t="s">
        <v>484</v>
      </c>
      <c r="C86" s="510" t="s">
        <v>21</v>
      </c>
      <c r="D86" s="511">
        <v>2</v>
      </c>
      <c r="E86" s="512">
        <v>120</v>
      </c>
      <c r="F86" s="513"/>
      <c r="G86" s="512">
        <f>ROUND(D86*E86,2)</f>
        <v>240</v>
      </c>
      <c r="H86" s="512"/>
    </row>
    <row r="87" spans="1:8" ht="13.65" customHeight="1">
      <c r="A87" s="481"/>
      <c r="B87" s="509" t="s">
        <v>485</v>
      </c>
      <c r="C87" s="510" t="s">
        <v>27</v>
      </c>
      <c r="D87" s="511">
        <v>1.8</v>
      </c>
      <c r="E87" s="512">
        <v>325</v>
      </c>
      <c r="F87" s="513"/>
      <c r="G87" s="512">
        <f>ROUND(D87*E87,2)</f>
        <v>585</v>
      </c>
      <c r="H87" s="512"/>
    </row>
    <row r="88" spans="1:8" ht="13.65" customHeight="1">
      <c r="A88" s="481"/>
      <c r="B88" s="509" t="s">
        <v>486</v>
      </c>
      <c r="C88" s="510" t="s">
        <v>27</v>
      </c>
      <c r="D88" s="511">
        <v>1.8</v>
      </c>
      <c r="E88" s="512">
        <v>140</v>
      </c>
      <c r="F88" s="513"/>
      <c r="G88" s="512">
        <f>ROUND(D88*E88,2)</f>
        <v>252</v>
      </c>
      <c r="H88" s="512"/>
    </row>
    <row r="89" spans="1:8" ht="24" customHeight="1">
      <c r="A89" s="481"/>
      <c r="B89" s="514" t="s">
        <v>169</v>
      </c>
      <c r="C89" s="514" t="s">
        <v>88</v>
      </c>
      <c r="D89" s="515">
        <f>D88*2.5</f>
        <v>4.5</v>
      </c>
      <c r="E89" s="513"/>
      <c r="F89" s="516">
        <v>7.82</v>
      </c>
      <c r="G89" s="513"/>
      <c r="H89" s="513">
        <f>ROUND(D89*F89,2)</f>
        <v>35.19</v>
      </c>
    </row>
    <row r="90" spans="1:8" ht="13.65" customHeight="1">
      <c r="A90" s="481"/>
      <c r="B90" s="514" t="s">
        <v>170</v>
      </c>
      <c r="C90" s="514" t="s">
        <v>27</v>
      </c>
      <c r="D90" s="535">
        <f>D88*0.1</f>
        <v>0.18000000000000002</v>
      </c>
      <c r="E90" s="536"/>
      <c r="F90" s="516">
        <v>24.5</v>
      </c>
      <c r="G90" s="513"/>
      <c r="H90" s="513">
        <f>ROUND(D90*F90,2)</f>
        <v>4.41</v>
      </c>
    </row>
    <row r="91" spans="1:8" ht="26.25" customHeight="1">
      <c r="A91" s="481"/>
      <c r="B91" s="509" t="s">
        <v>487</v>
      </c>
      <c r="C91" s="510" t="s">
        <v>37</v>
      </c>
      <c r="D91" s="511">
        <v>64.98</v>
      </c>
      <c r="E91" s="512">
        <v>90</v>
      </c>
      <c r="F91" s="513"/>
      <c r="G91" s="512">
        <f>ROUND(D91*E91,2)</f>
        <v>5848.2</v>
      </c>
      <c r="H91" s="512"/>
    </row>
    <row r="92" spans="1:8" ht="17.25" customHeight="1">
      <c r="A92" s="481"/>
      <c r="B92" s="514" t="s">
        <v>488</v>
      </c>
      <c r="C92" s="514" t="s">
        <v>92</v>
      </c>
      <c r="D92" s="515">
        <f>D91/1.5</f>
        <v>43.32</v>
      </c>
      <c r="E92" s="513"/>
      <c r="F92" s="516">
        <v>102</v>
      </c>
      <c r="G92" s="513"/>
      <c r="H92" s="513">
        <f>ROUND(D92*F92,2)</f>
        <v>4418.6400000000003</v>
      </c>
    </row>
    <row r="93" spans="1:8" ht="51" customHeight="1">
      <c r="A93" s="481"/>
      <c r="B93" s="509" t="s">
        <v>499</v>
      </c>
      <c r="C93" s="510" t="s">
        <v>126</v>
      </c>
      <c r="D93" s="511">
        <v>37</v>
      </c>
      <c r="E93" s="512">
        <v>750</v>
      </c>
      <c r="F93" s="513"/>
      <c r="G93" s="512">
        <f>ROUND(D93*E93,2)</f>
        <v>27750</v>
      </c>
      <c r="H93" s="512"/>
    </row>
    <row r="94" spans="1:8" ht="26.25" customHeight="1">
      <c r="A94" s="481"/>
      <c r="B94" s="509" t="s">
        <v>489</v>
      </c>
      <c r="C94" s="510" t="s">
        <v>21</v>
      </c>
      <c r="D94" s="511">
        <v>8</v>
      </c>
      <c r="E94" s="512">
        <v>90</v>
      </c>
      <c r="F94" s="513"/>
      <c r="G94" s="512">
        <f>ROUND(D94*E94,2)</f>
        <v>720</v>
      </c>
      <c r="H94" s="512"/>
    </row>
    <row r="95" spans="1:8" ht="13.65" customHeight="1">
      <c r="A95" s="481"/>
      <c r="B95" s="491" t="s">
        <v>490</v>
      </c>
      <c r="C95" s="491" t="s">
        <v>327</v>
      </c>
      <c r="D95" s="492">
        <v>1</v>
      </c>
      <c r="E95" s="492"/>
      <c r="F95" s="493">
        <v>750</v>
      </c>
      <c r="G95" s="490"/>
      <c r="H95" s="513">
        <f>ROUND(D95*F95,2)</f>
        <v>750</v>
      </c>
    </row>
    <row r="96" spans="1:8" ht="13.65" customHeight="1">
      <c r="A96" s="618"/>
      <c r="B96" s="682" t="s">
        <v>64</v>
      </c>
      <c r="C96" s="683"/>
      <c r="D96" s="683"/>
      <c r="E96" s="461"/>
      <c r="F96" s="462"/>
      <c r="G96" s="463">
        <f>SUM(G15:G95)</f>
        <v>110710.3</v>
      </c>
      <c r="H96" s="464"/>
    </row>
    <row r="97" spans="1:8" ht="13.65" customHeight="1">
      <c r="A97" s="618"/>
      <c r="B97" s="682" t="s">
        <v>65</v>
      </c>
      <c r="C97" s="683"/>
      <c r="D97" s="683"/>
      <c r="E97" s="461"/>
      <c r="F97" s="462"/>
      <c r="G97" s="463"/>
      <c r="H97" s="464">
        <f>SUM(H15:H96)</f>
        <v>20352.323833333336</v>
      </c>
    </row>
    <row r="98" spans="1:8" ht="13.65" customHeight="1">
      <c r="A98" s="618"/>
      <c r="B98" s="682" t="s">
        <v>66</v>
      </c>
      <c r="C98" s="683"/>
      <c r="D98" s="683"/>
      <c r="E98" s="467">
        <v>0.1</v>
      </c>
      <c r="F98" s="462"/>
      <c r="G98" s="462"/>
      <c r="H98" s="461">
        <f>H97*E98</f>
        <v>2035.2323833333337</v>
      </c>
    </row>
    <row r="99" spans="1:8" ht="13.65" customHeight="1">
      <c r="A99" s="618"/>
      <c r="B99" s="682" t="s">
        <v>67</v>
      </c>
      <c r="C99" s="683"/>
      <c r="D99" s="683"/>
      <c r="E99" s="467">
        <v>0.1</v>
      </c>
      <c r="F99" s="462"/>
      <c r="G99" s="462">
        <f>G96*E99</f>
        <v>11071.03</v>
      </c>
      <c r="H99" s="461"/>
    </row>
    <row r="100" spans="1:8" ht="13.65" customHeight="1">
      <c r="A100" s="618"/>
      <c r="B100" s="682" t="s">
        <v>68</v>
      </c>
      <c r="C100" s="683"/>
      <c r="D100" s="683"/>
      <c r="E100" s="468">
        <v>0.05</v>
      </c>
      <c r="F100" s="462"/>
      <c r="G100" s="462"/>
      <c r="H100" s="461">
        <f>H97*E100</f>
        <v>1017.6161916666669</v>
      </c>
    </row>
    <row r="101" spans="1:8" ht="13.65" customHeight="1">
      <c r="A101" s="618"/>
      <c r="B101" s="684" t="s">
        <v>69</v>
      </c>
      <c r="C101" s="685"/>
      <c r="D101" s="685"/>
      <c r="E101" s="685"/>
      <c r="F101" s="685"/>
      <c r="G101" s="685"/>
      <c r="H101" s="469">
        <f>SUM(G96:G100,H96:H100)</f>
        <v>145186.50240833333</v>
      </c>
    </row>
    <row r="102" spans="1:8" ht="13.65" customHeight="1">
      <c r="A102" s="618"/>
      <c r="B102" s="619" t="s">
        <v>128</v>
      </c>
      <c r="C102" s="620"/>
      <c r="D102" s="621"/>
      <c r="E102" s="621"/>
      <c r="F102" s="622"/>
      <c r="G102" s="623"/>
      <c r="H102" s="624">
        <f>H101*0.2</f>
        <v>29037.300481666665</v>
      </c>
    </row>
    <row r="103" spans="1:8" s="409" customFormat="1" ht="13.5" customHeight="1">
      <c r="A103" s="618"/>
      <c r="B103" s="680" t="s">
        <v>71</v>
      </c>
      <c r="C103" s="681"/>
      <c r="D103" s="681"/>
      <c r="E103" s="681"/>
      <c r="F103" s="681"/>
      <c r="G103" s="681"/>
      <c r="H103" s="476">
        <f>SUM(H101:H102)</f>
        <v>174223.80288999999</v>
      </c>
    </row>
    <row r="104" spans="1:8" s="409" customFormat="1" ht="12.75" customHeight="1">
      <c r="A104" s="411"/>
      <c r="B104" s="412" t="s">
        <v>129</v>
      </c>
      <c r="C104" s="413"/>
      <c r="D104" s="422"/>
      <c r="E104" s="422"/>
      <c r="F104" s="238"/>
      <c r="G104" s="238"/>
      <c r="H104" s="238"/>
    </row>
    <row r="105" spans="1:8" s="409" customFormat="1" ht="13.65" customHeight="1">
      <c r="A105" s="411"/>
      <c r="B105" s="416" t="s">
        <v>130</v>
      </c>
      <c r="C105" s="413"/>
      <c r="D105" s="422"/>
      <c r="E105" s="238"/>
      <c r="F105" s="238"/>
      <c r="G105" s="238"/>
      <c r="H105" s="238"/>
    </row>
    <row r="106" spans="1:8" s="409" customFormat="1" ht="12.75" customHeight="1">
      <c r="A106" s="411"/>
      <c r="B106" s="416" t="s">
        <v>131</v>
      </c>
      <c r="C106" s="416" t="s">
        <v>132</v>
      </c>
      <c r="D106" s="422"/>
      <c r="E106" s="413"/>
      <c r="F106" s="238"/>
      <c r="G106" s="238"/>
      <c r="H106" s="238"/>
    </row>
    <row r="107" spans="1:8" s="409" customFormat="1" ht="12.75" customHeight="1">
      <c r="A107" s="411"/>
      <c r="B107" s="419"/>
      <c r="C107" s="413"/>
      <c r="D107" s="422"/>
      <c r="E107" s="413"/>
      <c r="F107" s="238"/>
      <c r="G107" s="238"/>
      <c r="H107" s="238"/>
    </row>
    <row r="108" spans="1:8" s="409" customFormat="1" ht="12.75" customHeight="1">
      <c r="A108" s="411"/>
      <c r="B108" s="419"/>
      <c r="C108" s="413"/>
      <c r="D108" s="422"/>
      <c r="E108" s="413"/>
      <c r="F108" s="238"/>
      <c r="G108" s="238"/>
      <c r="H108" s="238"/>
    </row>
    <row r="109" spans="1:8" s="409" customFormat="1" ht="12.75" customHeight="1">
      <c r="A109" s="421"/>
      <c r="B109" s="422"/>
      <c r="C109" s="422"/>
      <c r="D109" s="422"/>
      <c r="E109" s="422"/>
      <c r="F109" s="238"/>
      <c r="G109" s="238"/>
      <c r="H109" s="238"/>
    </row>
    <row r="110" spans="1:8" s="409" customFormat="1" ht="12.75" customHeight="1">
      <c r="A110" s="421"/>
      <c r="B110" s="412" t="s">
        <v>133</v>
      </c>
      <c r="C110" s="422"/>
      <c r="D110" s="422"/>
      <c r="E110" s="422"/>
      <c r="F110" s="238"/>
      <c r="G110" s="238"/>
      <c r="H110" s="238"/>
    </row>
    <row r="111" spans="1:8" s="409" customFormat="1" ht="13.65" customHeight="1">
      <c r="A111" s="238"/>
      <c r="B111" s="416" t="s">
        <v>134</v>
      </c>
      <c r="C111" s="423" t="str">
        <f>C106</f>
        <v>_________________________     2021 р.</v>
      </c>
      <c r="D111" s="422"/>
      <c r="E111" s="238"/>
      <c r="F111" s="238"/>
      <c r="G111" s="238"/>
      <c r="H111" s="238"/>
    </row>
    <row r="112" spans="1:8" s="409" customFormat="1" ht="12.75" customHeight="1">
      <c r="A112" s="238"/>
      <c r="B112" s="413"/>
      <c r="C112" s="413"/>
      <c r="D112" s="422"/>
      <c r="E112" s="413"/>
      <c r="F112" s="480"/>
      <c r="G112" s="238"/>
      <c r="H112" s="238"/>
    </row>
    <row r="113" spans="1:8" s="409" customFormat="1" ht="13.5" customHeight="1">
      <c r="A113" s="424"/>
      <c r="B113" s="424"/>
      <c r="C113" s="424"/>
      <c r="D113" s="424"/>
      <c r="E113" s="424"/>
      <c r="F113" s="424"/>
      <c r="G113" s="424"/>
      <c r="H113" s="424"/>
    </row>
    <row r="114" spans="1:8" s="409" customFormat="1" ht="13.5" customHeight="1">
      <c r="A114" s="424"/>
      <c r="B114" s="424"/>
      <c r="C114" s="424"/>
      <c r="D114" s="424"/>
      <c r="E114" s="424"/>
      <c r="F114" s="424"/>
      <c r="G114" s="424"/>
      <c r="H114" s="424"/>
    </row>
    <row r="115" spans="1:8" s="409" customFormat="1" ht="13.5" customHeight="1">
      <c r="A115" s="238"/>
      <c r="B115" s="238"/>
      <c r="C115" s="238"/>
      <c r="D115" s="238"/>
      <c r="E115" s="238"/>
      <c r="F115" s="238"/>
      <c r="G115" s="238"/>
      <c r="H115" s="238"/>
    </row>
    <row r="116" spans="1:8" s="409" customFormat="1" ht="13.5" customHeight="1">
      <c r="A116" s="238"/>
      <c r="B116" s="238"/>
      <c r="C116" s="238"/>
      <c r="D116" s="238"/>
      <c r="E116" s="238"/>
      <c r="F116" s="238"/>
      <c r="G116" s="238"/>
      <c r="H116" s="238"/>
    </row>
    <row r="117" spans="1:8" s="409" customFormat="1" ht="13.5" customHeight="1">
      <c r="A117" s="424"/>
      <c r="B117" s="424"/>
      <c r="C117" s="424"/>
      <c r="D117" s="424"/>
      <c r="E117" s="424"/>
      <c r="F117" s="424"/>
      <c r="G117" s="424"/>
      <c r="H117" s="424"/>
    </row>
    <row r="118" spans="1:8" s="409" customFormat="1" ht="13.5" customHeight="1">
      <c r="A118" s="424"/>
      <c r="B118" s="424"/>
      <c r="C118" s="424"/>
      <c r="D118" s="424"/>
      <c r="E118" s="424"/>
      <c r="F118" s="424"/>
      <c r="G118" s="424"/>
      <c r="H118" s="424"/>
    </row>
    <row r="119" spans="1:8" s="409" customFormat="1" ht="13.5" customHeight="1">
      <c r="A119" s="238"/>
      <c r="B119" s="238"/>
      <c r="C119" s="238"/>
      <c r="D119" s="238"/>
      <c r="E119" s="238"/>
      <c r="F119" s="238"/>
      <c r="G119" s="238"/>
      <c r="H119" s="238"/>
    </row>
    <row r="120" spans="1:8" s="409" customFormat="1" ht="13.5" customHeight="1">
      <c r="A120" s="238"/>
      <c r="B120" s="238"/>
      <c r="C120" s="238"/>
      <c r="D120" s="238"/>
      <c r="E120" s="238"/>
      <c r="F120" s="238"/>
      <c r="G120" s="238"/>
      <c r="H120" s="238"/>
    </row>
    <row r="121" spans="1:8" s="409" customFormat="1" ht="13.5" customHeight="1">
      <c r="A121" s="238"/>
      <c r="B121" s="238"/>
      <c r="C121" s="238"/>
      <c r="D121" s="238"/>
      <c r="E121" s="238"/>
      <c r="F121" s="238"/>
      <c r="G121" s="238"/>
      <c r="H121" s="238"/>
    </row>
    <row r="122" spans="1:8" s="409" customFormat="1" ht="13.5" customHeight="1">
      <c r="A122" s="424"/>
      <c r="B122" s="424"/>
      <c r="C122" s="424"/>
      <c r="D122" s="424"/>
      <c r="E122" s="424"/>
      <c r="F122" s="424"/>
      <c r="G122" s="424"/>
      <c r="H122" s="424"/>
    </row>
    <row r="123" spans="1:8" s="409" customFormat="1" ht="13.5" customHeight="1">
      <c r="A123" s="410"/>
      <c r="B123" s="410"/>
      <c r="C123" s="410"/>
      <c r="D123" s="410"/>
      <c r="E123" s="410"/>
      <c r="F123" s="410"/>
      <c r="G123" s="410"/>
      <c r="H123" s="410"/>
    </row>
    <row r="124" spans="1:8" ht="13.5" customHeight="1">
      <c r="A124" s="6"/>
      <c r="B124" s="6"/>
      <c r="C124" s="6"/>
      <c r="D124" s="6"/>
      <c r="E124" s="6"/>
      <c r="F124" s="6"/>
      <c r="G124" s="6"/>
      <c r="H124" s="6"/>
    </row>
    <row r="125" spans="1:8" ht="13.5" customHeight="1">
      <c r="A125" s="6"/>
      <c r="B125" s="6"/>
      <c r="C125" s="6"/>
      <c r="D125" s="6"/>
      <c r="E125" s="6"/>
      <c r="F125" s="6"/>
      <c r="G125" s="6"/>
      <c r="H125" s="6"/>
    </row>
    <row r="126" spans="1:8" ht="13.5" customHeight="1">
      <c r="A126" s="6"/>
      <c r="B126" s="6"/>
      <c r="C126" s="6"/>
      <c r="D126" s="6"/>
      <c r="E126" s="6"/>
      <c r="F126" s="6"/>
      <c r="G126" s="6"/>
      <c r="H126" s="6"/>
    </row>
    <row r="127" spans="1:8" ht="13.5" customHeight="1">
      <c r="A127" s="6"/>
      <c r="B127" s="6"/>
      <c r="C127" s="6"/>
      <c r="D127" s="6"/>
      <c r="E127" s="6"/>
      <c r="F127" s="6"/>
      <c r="G127" s="6"/>
      <c r="H127" s="6"/>
    </row>
    <row r="128" spans="1:8" ht="13.5" customHeight="1">
      <c r="A128" s="6"/>
      <c r="B128" s="6"/>
      <c r="C128" s="6"/>
      <c r="D128" s="6"/>
      <c r="E128" s="6"/>
      <c r="F128" s="6"/>
      <c r="G128" s="6"/>
      <c r="H128" s="6"/>
    </row>
    <row r="129" spans="1:8" ht="13.5" customHeight="1">
      <c r="A129" s="6"/>
      <c r="B129" s="6"/>
      <c r="C129" s="6"/>
      <c r="D129" s="6"/>
      <c r="E129" s="6"/>
      <c r="F129" s="6"/>
      <c r="G129" s="6"/>
      <c r="H129" s="6"/>
    </row>
    <row r="130" spans="1:8" ht="13.5" customHeight="1">
      <c r="A130" s="6"/>
      <c r="B130" s="6"/>
      <c r="C130" s="6"/>
      <c r="D130" s="6"/>
      <c r="E130" s="6"/>
      <c r="F130" s="6"/>
      <c r="G130" s="6"/>
      <c r="H130" s="6"/>
    </row>
    <row r="131" spans="1:8" ht="13.5" customHeight="1">
      <c r="A131" s="6"/>
      <c r="B131" s="6"/>
      <c r="C131" s="6"/>
      <c r="D131" s="6"/>
      <c r="E131" s="6"/>
      <c r="F131" s="6"/>
      <c r="G131" s="6"/>
      <c r="H131" s="6"/>
    </row>
    <row r="132" spans="1:8" ht="13.5" customHeight="1">
      <c r="A132" s="6"/>
      <c r="B132" s="6"/>
      <c r="C132" s="6"/>
      <c r="D132" s="6"/>
      <c r="E132" s="6"/>
      <c r="F132" s="6"/>
      <c r="G132" s="6"/>
      <c r="H132" s="6"/>
    </row>
    <row r="133" spans="1:8" ht="13.5" customHeight="1">
      <c r="A133" s="6"/>
      <c r="B133" s="6"/>
      <c r="C133" s="6"/>
      <c r="D133" s="6"/>
      <c r="E133" s="6"/>
      <c r="F133" s="6"/>
      <c r="G133" s="6"/>
      <c r="H133" s="6"/>
    </row>
    <row r="134" spans="1:8" ht="13.5" customHeight="1">
      <c r="A134" s="6"/>
      <c r="B134" s="6"/>
      <c r="C134" s="6"/>
      <c r="D134" s="6"/>
      <c r="E134" s="6"/>
      <c r="F134" s="6"/>
      <c r="G134" s="6"/>
      <c r="H134" s="6"/>
    </row>
    <row r="135" spans="1:8" ht="13.5" customHeight="1">
      <c r="A135" s="6"/>
      <c r="B135" s="6"/>
      <c r="C135" s="6"/>
      <c r="D135" s="6"/>
      <c r="E135" s="6"/>
      <c r="F135" s="6"/>
      <c r="G135" s="6"/>
      <c r="H135" s="6"/>
    </row>
    <row r="136" spans="1:8" ht="13.5" customHeight="1">
      <c r="A136" s="6"/>
      <c r="B136" s="6"/>
      <c r="C136" s="6"/>
      <c r="D136" s="6"/>
      <c r="E136" s="6"/>
      <c r="F136" s="6"/>
      <c r="G136" s="6"/>
      <c r="H136" s="6"/>
    </row>
    <row r="137" spans="1:8" ht="13.5" customHeight="1">
      <c r="A137" s="6"/>
      <c r="B137" s="6"/>
      <c r="C137" s="6"/>
      <c r="D137" s="6"/>
      <c r="E137" s="6"/>
      <c r="F137" s="6"/>
      <c r="G137" s="6"/>
      <c r="H137" s="6"/>
    </row>
    <row r="138" spans="1:8" ht="13.5" customHeight="1">
      <c r="A138" s="6"/>
      <c r="B138" s="6"/>
      <c r="C138" s="6"/>
      <c r="D138" s="6"/>
      <c r="E138" s="6"/>
      <c r="F138" s="6"/>
      <c r="G138" s="6"/>
      <c r="H138" s="6"/>
    </row>
    <row r="139" spans="1:8" ht="13.5" customHeight="1">
      <c r="A139" s="6"/>
      <c r="B139" s="6"/>
      <c r="C139" s="6"/>
      <c r="D139" s="6"/>
      <c r="E139" s="6"/>
      <c r="F139" s="6"/>
      <c r="G139" s="6"/>
      <c r="H139" s="6"/>
    </row>
    <row r="140" spans="1:8" ht="13.5" customHeight="1">
      <c r="A140" s="6"/>
      <c r="B140" s="6"/>
      <c r="C140" s="6"/>
      <c r="D140" s="6"/>
      <c r="E140" s="6"/>
      <c r="F140" s="6"/>
      <c r="G140" s="6"/>
      <c r="H140" s="6"/>
    </row>
    <row r="141" spans="1:8" ht="13.5" customHeight="1">
      <c r="A141" s="6"/>
      <c r="B141" s="6"/>
      <c r="C141" s="6"/>
      <c r="D141" s="6"/>
      <c r="E141" s="6"/>
      <c r="F141" s="6"/>
      <c r="G141" s="6"/>
      <c r="H141" s="6"/>
    </row>
    <row r="142" spans="1:8" ht="13.5" customHeight="1">
      <c r="A142" s="6"/>
      <c r="B142" s="6"/>
      <c r="C142" s="6"/>
      <c r="D142" s="6"/>
      <c r="E142" s="6"/>
      <c r="F142" s="6"/>
      <c r="G142" s="6"/>
      <c r="H142" s="6"/>
    </row>
    <row r="143" spans="1:8" ht="13.5" customHeight="1">
      <c r="A143" s="6"/>
      <c r="B143" s="6"/>
      <c r="C143" s="6"/>
      <c r="D143" s="6"/>
      <c r="E143" s="6"/>
      <c r="F143" s="6"/>
      <c r="G143" s="6"/>
      <c r="H143" s="6"/>
    </row>
    <row r="144" spans="1:8" ht="13.5" customHeight="1">
      <c r="A144" s="6"/>
      <c r="B144" s="6"/>
      <c r="C144" s="6"/>
      <c r="D144" s="6"/>
      <c r="E144" s="6"/>
      <c r="F144" s="6"/>
      <c r="G144" s="6"/>
      <c r="H144" s="6"/>
    </row>
    <row r="145" spans="1:8" ht="13.5" customHeight="1">
      <c r="A145" s="6"/>
      <c r="B145" s="6"/>
      <c r="C145" s="6"/>
      <c r="D145" s="6"/>
      <c r="E145" s="6"/>
      <c r="F145" s="6"/>
      <c r="G145" s="6"/>
      <c r="H145" s="6"/>
    </row>
    <row r="146" spans="1:8" ht="13.5" customHeight="1">
      <c r="A146" s="6"/>
      <c r="B146" s="6"/>
      <c r="C146" s="6"/>
      <c r="D146" s="6"/>
      <c r="E146" s="6"/>
      <c r="F146" s="6"/>
      <c r="G146" s="6"/>
      <c r="H146" s="6"/>
    </row>
    <row r="147" spans="1:8" ht="13.5" customHeight="1">
      <c r="A147" s="6"/>
      <c r="B147" s="6"/>
      <c r="C147" s="6"/>
      <c r="D147" s="6"/>
      <c r="E147" s="6"/>
      <c r="F147" s="6"/>
      <c r="G147" s="6"/>
      <c r="H147" s="6"/>
    </row>
    <row r="148" spans="1:8" ht="13.5" customHeight="1">
      <c r="A148" s="92"/>
      <c r="B148" s="92"/>
      <c r="C148" s="92"/>
      <c r="D148" s="92"/>
      <c r="E148" s="92"/>
      <c r="F148" s="92"/>
      <c r="G148" s="92"/>
      <c r="H148" s="92"/>
    </row>
  </sheetData>
  <mergeCells count="15">
    <mergeCell ref="B103:G103"/>
    <mergeCell ref="A6:H6"/>
    <mergeCell ref="B96:D96"/>
    <mergeCell ref="B97:D97"/>
    <mergeCell ref="B98:D98"/>
    <mergeCell ref="B99:D99"/>
    <mergeCell ref="B100:D100"/>
    <mergeCell ref="F7:H7"/>
    <mergeCell ref="A8:C8"/>
    <mergeCell ref="A9:C9"/>
    <mergeCell ref="A1:E1"/>
    <mergeCell ref="A2:G2"/>
    <mergeCell ref="A4:C4"/>
    <mergeCell ref="A5:G5"/>
    <mergeCell ref="B101:G101"/>
  </mergeCells>
  <pageMargins left="0.70866141732283472" right="0.70866141732283472" top="0.74803149606299213" bottom="0.74803149606299213" header="0.31496062992125984" footer="0.31496062992125984"/>
  <pageSetup paperSize="9" scale="62" fitToHeight="2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74"/>
  <sheetViews>
    <sheetView showGridLines="0" topLeftCell="A5" workbookViewId="0"/>
  </sheetViews>
  <sheetFormatPr defaultColWidth="8.88671875" defaultRowHeight="15" customHeight="1"/>
  <cols>
    <col min="1" max="1" width="9.109375" style="5" customWidth="1"/>
    <col min="2" max="2" width="40.88671875" style="5" customWidth="1"/>
    <col min="3" max="3" width="9.109375" style="5" customWidth="1"/>
    <col min="4" max="4" width="10.6640625" style="5" customWidth="1"/>
    <col min="5" max="5" width="11" style="5" customWidth="1"/>
    <col min="6" max="6" width="11.109375" style="5" customWidth="1"/>
    <col min="7" max="7" width="11.88671875" style="5" customWidth="1"/>
    <col min="8" max="8" width="12.88671875" style="5" customWidth="1"/>
    <col min="9" max="9" width="10.6640625" style="5" customWidth="1"/>
    <col min="10" max="10" width="11" style="5" customWidth="1"/>
    <col min="11" max="11" width="11.109375" style="5" customWidth="1"/>
    <col min="12" max="12" width="11.88671875" style="5" customWidth="1"/>
    <col min="13" max="13" width="12.88671875" style="5" customWidth="1"/>
    <col min="14" max="14" width="8.88671875" style="5" customWidth="1"/>
    <col min="15" max="16384" width="8.88671875" style="5"/>
  </cols>
  <sheetData>
    <row r="1" spans="1:13" ht="16.649999999999999" customHeight="1">
      <c r="A1" s="80" t="s">
        <v>73</v>
      </c>
      <c r="B1" s="81"/>
      <c r="C1" s="82"/>
      <c r="D1" s="83"/>
      <c r="E1" s="84"/>
      <c r="F1" s="85"/>
      <c r="G1" s="85"/>
      <c r="H1" s="85"/>
      <c r="I1" s="83"/>
      <c r="J1" s="84"/>
      <c r="K1" s="85"/>
      <c r="L1" s="85"/>
      <c r="M1" s="85"/>
    </row>
    <row r="2" spans="1:13" ht="16.649999999999999" customHeight="1">
      <c r="A2" s="80" t="s">
        <v>74</v>
      </c>
      <c r="B2" s="81"/>
      <c r="C2" s="82"/>
      <c r="D2" s="83"/>
      <c r="E2" s="83"/>
      <c r="F2" s="85"/>
      <c r="G2" s="85"/>
      <c r="H2" s="85"/>
      <c r="I2" s="83"/>
      <c r="J2" s="83"/>
      <c r="K2" s="85"/>
      <c r="L2" s="85"/>
      <c r="M2" s="85"/>
    </row>
    <row r="3" spans="1:13" ht="16.649999999999999" customHeight="1">
      <c r="A3" s="81"/>
      <c r="B3" s="81"/>
      <c r="C3" s="82"/>
      <c r="D3" s="83"/>
      <c r="E3" s="83"/>
      <c r="F3" s="85"/>
      <c r="G3" s="85"/>
      <c r="H3" s="85"/>
      <c r="I3" s="83"/>
      <c r="J3" s="83"/>
      <c r="K3" s="85"/>
      <c r="L3" s="85"/>
      <c r="M3" s="85"/>
    </row>
    <row r="4" spans="1:13" ht="16.649999999999999" customHeight="1">
      <c r="A4" s="734" t="s">
        <v>75</v>
      </c>
      <c r="B4" s="735"/>
      <c r="C4" s="735"/>
      <c r="D4" s="735"/>
      <c r="E4" s="86"/>
      <c r="F4" s="85"/>
      <c r="G4" s="85"/>
      <c r="H4" s="85"/>
      <c r="I4" s="6"/>
      <c r="J4" s="86"/>
      <c r="K4" s="85"/>
      <c r="L4" s="85"/>
      <c r="M4" s="85"/>
    </row>
    <row r="5" spans="1:13" ht="16.649999999999999" customHeight="1">
      <c r="A5" s="80" t="s">
        <v>76</v>
      </c>
      <c r="B5" s="87"/>
      <c r="C5" s="88"/>
      <c r="D5" s="86"/>
      <c r="E5" s="86"/>
      <c r="F5" s="85"/>
      <c r="G5" s="85"/>
      <c r="H5" s="85"/>
      <c r="I5" s="86"/>
      <c r="J5" s="86"/>
      <c r="K5" s="85"/>
      <c r="L5" s="85"/>
      <c r="M5" s="85"/>
    </row>
    <row r="6" spans="1:13" ht="15.6" customHeight="1">
      <c r="A6" s="81"/>
      <c r="B6" s="87"/>
      <c r="C6" s="88"/>
      <c r="D6" s="86"/>
      <c r="E6" s="86"/>
      <c r="F6" s="85"/>
      <c r="G6" s="85"/>
      <c r="H6" s="85"/>
      <c r="I6" s="86"/>
      <c r="J6" s="86"/>
      <c r="K6" s="85"/>
      <c r="L6" s="85"/>
      <c r="M6" s="85"/>
    </row>
    <row r="7" spans="1:13" ht="16.649999999999999" customHeight="1">
      <c r="A7" s="734" t="s">
        <v>77</v>
      </c>
      <c r="B7" s="735"/>
      <c r="C7" s="735"/>
      <c r="D7" s="735"/>
      <c r="E7" s="83"/>
      <c r="F7" s="85"/>
      <c r="G7" s="85"/>
      <c r="H7" s="85"/>
      <c r="I7" s="6"/>
      <c r="J7" s="83"/>
      <c r="K7" s="85"/>
      <c r="L7" s="85"/>
      <c r="M7" s="85"/>
    </row>
    <row r="8" spans="1:13" ht="12.75" customHeight="1">
      <c r="A8" s="89"/>
      <c r="B8" s="6"/>
      <c r="C8" s="6"/>
      <c r="D8" s="90"/>
      <c r="E8" s="91"/>
      <c r="F8" s="720" t="s">
        <v>314</v>
      </c>
      <c r="G8" s="721"/>
      <c r="H8" s="721"/>
      <c r="I8" s="90"/>
      <c r="J8" s="91"/>
      <c r="K8" s="720" t="s">
        <v>314</v>
      </c>
      <c r="L8" s="721"/>
      <c r="M8" s="721"/>
    </row>
    <row r="9" spans="1:13" ht="15.75" customHeight="1">
      <c r="A9" s="667" t="s">
        <v>426</v>
      </c>
      <c r="B9" s="668"/>
      <c r="C9" s="668"/>
      <c r="D9" s="668"/>
      <c r="E9" s="668"/>
      <c r="F9" s="668"/>
      <c r="G9" s="668"/>
      <c r="H9" s="668"/>
      <c r="I9" s="668"/>
      <c r="J9" s="668"/>
      <c r="K9" s="92"/>
      <c r="L9" s="92"/>
      <c r="M9" s="92"/>
    </row>
    <row r="10" spans="1:13" ht="15.75" customHeight="1">
      <c r="A10" s="667" t="s">
        <v>424</v>
      </c>
      <c r="B10" s="668"/>
      <c r="C10" s="668"/>
      <c r="D10" s="668"/>
      <c r="E10" s="668"/>
      <c r="F10" s="668"/>
      <c r="G10" s="668"/>
      <c r="H10" s="668"/>
      <c r="I10" s="92"/>
      <c r="J10" s="92"/>
      <c r="K10" s="92"/>
      <c r="L10" s="92"/>
      <c r="M10" s="92"/>
    </row>
    <row r="11" spans="1:13" ht="15.75" customHeight="1">
      <c r="A11" s="667" t="s">
        <v>79</v>
      </c>
      <c r="B11" s="668"/>
      <c r="C11" s="668"/>
      <c r="D11" s="668"/>
      <c r="E11" s="668"/>
      <c r="F11" s="668"/>
      <c r="G11" s="668"/>
      <c r="H11" s="668"/>
      <c r="I11" s="92"/>
      <c r="J11" s="92"/>
      <c r="K11" s="92"/>
      <c r="L11" s="92"/>
      <c r="M11" s="92"/>
    </row>
    <row r="12" spans="1:13" ht="15.75" customHeight="1">
      <c r="A12" s="94"/>
      <c r="B12" s="95"/>
      <c r="C12" s="95"/>
      <c r="D12" s="96"/>
      <c r="E12" s="97"/>
      <c r="F12" s="98"/>
      <c r="G12" s="98"/>
      <c r="H12" s="97"/>
      <c r="I12" s="718" t="s">
        <v>427</v>
      </c>
      <c r="J12" s="719"/>
      <c r="K12" s="719"/>
      <c r="L12" s="719"/>
      <c r="M12" s="719"/>
    </row>
    <row r="13" spans="1:13" ht="36" customHeight="1">
      <c r="A13" s="99" t="s">
        <v>9</v>
      </c>
      <c r="B13" s="100" t="s">
        <v>10</v>
      </c>
      <c r="C13" s="100" t="s">
        <v>11</v>
      </c>
      <c r="D13" s="101" t="s">
        <v>12</v>
      </c>
      <c r="E13" s="101" t="s">
        <v>13</v>
      </c>
      <c r="F13" s="101" t="s">
        <v>14</v>
      </c>
      <c r="G13" s="101" t="s">
        <v>15</v>
      </c>
      <c r="H13" s="101" t="s">
        <v>16</v>
      </c>
      <c r="I13" s="101" t="s">
        <v>12</v>
      </c>
      <c r="J13" s="101" t="s">
        <v>13</v>
      </c>
      <c r="K13" s="101" t="s">
        <v>14</v>
      </c>
      <c r="L13" s="101" t="s">
        <v>15</v>
      </c>
      <c r="M13" s="102" t="s">
        <v>16</v>
      </c>
    </row>
    <row r="14" spans="1:13" ht="25.5" customHeight="1">
      <c r="A14" s="13" t="s">
        <v>365</v>
      </c>
      <c r="B14" s="150" t="s">
        <v>428</v>
      </c>
      <c r="C14" s="161" t="s">
        <v>37</v>
      </c>
      <c r="D14" s="228">
        <v>250</v>
      </c>
      <c r="E14" s="229"/>
      <c r="F14" s="229"/>
      <c r="G14" s="230">
        <f>D14*E14</f>
        <v>0</v>
      </c>
      <c r="H14" s="229"/>
      <c r="I14" s="228">
        <v>340</v>
      </c>
      <c r="J14" s="229"/>
      <c r="K14" s="229"/>
      <c r="L14" s="230">
        <f>I14*J14</f>
        <v>0</v>
      </c>
      <c r="M14" s="229"/>
    </row>
    <row r="15" spans="1:13" ht="13.65" customHeight="1">
      <c r="A15" s="115" t="s">
        <v>367</v>
      </c>
      <c r="B15" s="150" t="s">
        <v>337</v>
      </c>
      <c r="C15" s="161" t="s">
        <v>57</v>
      </c>
      <c r="D15" s="151">
        <v>10</v>
      </c>
      <c r="E15" s="152"/>
      <c r="F15" s="152"/>
      <c r="G15" s="154">
        <f>D15*E15</f>
        <v>0</v>
      </c>
      <c r="H15" s="30"/>
      <c r="I15" s="151">
        <v>10</v>
      </c>
      <c r="J15" s="152"/>
      <c r="K15" s="152"/>
      <c r="L15" s="154">
        <f>I15*J15</f>
        <v>0</v>
      </c>
      <c r="M15" s="164"/>
    </row>
    <row r="16" spans="1:13" ht="13.65" customHeight="1">
      <c r="A16" s="395"/>
      <c r="B16" s="348" t="s">
        <v>58</v>
      </c>
      <c r="C16" s="349" t="s">
        <v>21</v>
      </c>
      <c r="D16" s="350">
        <f>D15*40</f>
        <v>400</v>
      </c>
      <c r="E16" s="351"/>
      <c r="F16" s="351">
        <v>6.5</v>
      </c>
      <c r="G16" s="352"/>
      <c r="H16" s="353">
        <f>D16*F16</f>
        <v>2600</v>
      </c>
      <c r="I16" s="350">
        <f>I15*40</f>
        <v>400</v>
      </c>
      <c r="J16" s="351"/>
      <c r="K16" s="351">
        <v>6.5</v>
      </c>
      <c r="L16" s="352"/>
      <c r="M16" s="354">
        <f>I16*K16</f>
        <v>2600</v>
      </c>
    </row>
    <row r="17" spans="1:13" ht="13.65" customHeight="1">
      <c r="A17" s="115" t="s">
        <v>368</v>
      </c>
      <c r="B17" s="150" t="s">
        <v>369</v>
      </c>
      <c r="C17" s="161" t="s">
        <v>57</v>
      </c>
      <c r="D17" s="151">
        <v>10</v>
      </c>
      <c r="E17" s="152"/>
      <c r="F17" s="152"/>
      <c r="G17" s="154">
        <f>D17*E17</f>
        <v>0</v>
      </c>
      <c r="H17" s="30"/>
      <c r="I17" s="151">
        <v>10</v>
      </c>
      <c r="J17" s="152"/>
      <c r="K17" s="152"/>
      <c r="L17" s="154">
        <f>I17*J17</f>
        <v>0</v>
      </c>
      <c r="M17" s="164"/>
    </row>
    <row r="18" spans="1:13" ht="13.65" customHeight="1">
      <c r="A18" s="115" t="s">
        <v>429</v>
      </c>
      <c r="B18" s="150" t="s">
        <v>370</v>
      </c>
      <c r="C18" s="161" t="s">
        <v>371</v>
      </c>
      <c r="D18" s="151">
        <v>20</v>
      </c>
      <c r="E18" s="152">
        <v>750</v>
      </c>
      <c r="F18" s="152"/>
      <c r="G18" s="154">
        <f>D18*E18</f>
        <v>15000</v>
      </c>
      <c r="H18" s="30"/>
      <c r="I18" s="151">
        <v>25</v>
      </c>
      <c r="J18" s="152">
        <v>750</v>
      </c>
      <c r="K18" s="152"/>
      <c r="L18" s="154">
        <f>I18*J18</f>
        <v>18750</v>
      </c>
      <c r="M18" s="164"/>
    </row>
    <row r="19" spans="1:13" ht="13.65" customHeight="1">
      <c r="A19" s="115" t="s">
        <v>430</v>
      </c>
      <c r="B19" s="150" t="s">
        <v>431</v>
      </c>
      <c r="C19" s="161" t="s">
        <v>124</v>
      </c>
      <c r="D19" s="151">
        <v>1.5</v>
      </c>
      <c r="E19" s="152">
        <v>1600</v>
      </c>
      <c r="F19" s="152"/>
      <c r="G19" s="154">
        <f>D19*E19</f>
        <v>2400</v>
      </c>
      <c r="H19" s="30"/>
      <c r="I19" s="151">
        <v>1.5</v>
      </c>
      <c r="J19" s="152">
        <v>1600</v>
      </c>
      <c r="K19" s="152"/>
      <c r="L19" s="154">
        <f>I19*J19</f>
        <v>2400</v>
      </c>
      <c r="M19" s="164"/>
    </row>
    <row r="20" spans="1:13" ht="13.65" customHeight="1">
      <c r="A20" s="115"/>
      <c r="B20" s="396" t="s">
        <v>432</v>
      </c>
      <c r="C20" s="166" t="s">
        <v>21</v>
      </c>
      <c r="D20" s="133">
        <v>20</v>
      </c>
      <c r="E20" s="167"/>
      <c r="F20" s="167">
        <v>23.4</v>
      </c>
      <c r="G20" s="168"/>
      <c r="H20" s="353">
        <f>D20*F20</f>
        <v>468</v>
      </c>
      <c r="I20" s="133">
        <v>20</v>
      </c>
      <c r="J20" s="167"/>
      <c r="K20" s="167">
        <v>23.4</v>
      </c>
      <c r="L20" s="168"/>
      <c r="M20" s="354">
        <f>I20*K20</f>
        <v>468</v>
      </c>
    </row>
    <row r="21" spans="1:13" ht="13.65" customHeight="1">
      <c r="A21" s="174"/>
      <c r="B21" s="722" t="s">
        <v>64</v>
      </c>
      <c r="C21" s="723"/>
      <c r="D21" s="723"/>
      <c r="E21" s="175"/>
      <c r="F21" s="176"/>
      <c r="G21" s="177">
        <f>SUM(G13:G20)</f>
        <v>17400</v>
      </c>
      <c r="H21" s="178"/>
      <c r="I21" s="179"/>
      <c r="J21" s="175"/>
      <c r="K21" s="176"/>
      <c r="L21" s="177">
        <f>SUM(L13:L20)</f>
        <v>21150</v>
      </c>
      <c r="M21" s="178"/>
    </row>
    <row r="22" spans="1:13" ht="13.65" customHeight="1">
      <c r="A22" s="174"/>
      <c r="B22" s="722" t="s">
        <v>65</v>
      </c>
      <c r="C22" s="723"/>
      <c r="D22" s="723"/>
      <c r="E22" s="175"/>
      <c r="F22" s="176"/>
      <c r="G22" s="177"/>
      <c r="H22" s="178">
        <f>SUM(H13:H21)</f>
        <v>3068</v>
      </c>
      <c r="I22" s="180"/>
      <c r="J22" s="175"/>
      <c r="K22" s="176"/>
      <c r="L22" s="177"/>
      <c r="M22" s="178">
        <f>SUM(M13:M21)</f>
        <v>3068</v>
      </c>
    </row>
    <row r="23" spans="1:13" ht="13.65" customHeight="1">
      <c r="A23" s="174"/>
      <c r="B23" s="722" t="s">
        <v>66</v>
      </c>
      <c r="C23" s="723"/>
      <c r="D23" s="723"/>
      <c r="E23" s="181">
        <v>0.1</v>
      </c>
      <c r="F23" s="176"/>
      <c r="G23" s="176"/>
      <c r="H23" s="182">
        <f>H22*E23</f>
        <v>306.8</v>
      </c>
      <c r="I23" s="180"/>
      <c r="J23" s="181">
        <v>0.1</v>
      </c>
      <c r="K23" s="176"/>
      <c r="L23" s="176"/>
      <c r="M23" s="182">
        <f>M22*J23</f>
        <v>306.8</v>
      </c>
    </row>
    <row r="24" spans="1:13" ht="13.65" customHeight="1">
      <c r="A24" s="174"/>
      <c r="B24" s="722" t="s">
        <v>67</v>
      </c>
      <c r="C24" s="723"/>
      <c r="D24" s="723"/>
      <c r="E24" s="181">
        <v>0.1</v>
      </c>
      <c r="F24" s="176"/>
      <c r="G24" s="176">
        <f>G21*E24</f>
        <v>1740</v>
      </c>
      <c r="H24" s="182"/>
      <c r="I24" s="180"/>
      <c r="J24" s="181">
        <v>0.1</v>
      </c>
      <c r="K24" s="176"/>
      <c r="L24" s="176">
        <f>L21*J24</f>
        <v>2115</v>
      </c>
      <c r="M24" s="182"/>
    </row>
    <row r="25" spans="1:13" ht="13.65" customHeight="1">
      <c r="A25" s="174"/>
      <c r="B25" s="722" t="s">
        <v>68</v>
      </c>
      <c r="C25" s="723"/>
      <c r="D25" s="723"/>
      <c r="E25" s="183">
        <v>0.05</v>
      </c>
      <c r="F25" s="176"/>
      <c r="G25" s="176"/>
      <c r="H25" s="182">
        <f>H22*E25</f>
        <v>153.4</v>
      </c>
      <c r="I25" s="180"/>
      <c r="J25" s="183">
        <v>0.05</v>
      </c>
      <c r="K25" s="176"/>
      <c r="L25" s="176"/>
      <c r="M25" s="182">
        <f>M22*J25</f>
        <v>153.4</v>
      </c>
    </row>
    <row r="26" spans="1:13" ht="13.65" customHeight="1">
      <c r="A26" s="174"/>
      <c r="B26" s="724" t="s">
        <v>69</v>
      </c>
      <c r="C26" s="725"/>
      <c r="D26" s="725"/>
      <c r="E26" s="725"/>
      <c r="F26" s="725"/>
      <c r="G26" s="725"/>
      <c r="H26" s="184">
        <f>SUM(G21:G25,H21:H25)</f>
        <v>22668.2</v>
      </c>
      <c r="I26" s="185"/>
      <c r="J26" s="186"/>
      <c r="K26" s="186"/>
      <c r="L26" s="187"/>
      <c r="M26" s="184">
        <f>SUM(L21:L25,M21:M25)</f>
        <v>26793.200000000001</v>
      </c>
    </row>
    <row r="27" spans="1:13" ht="13.65" customHeight="1">
      <c r="A27" s="174"/>
      <c r="B27" s="188" t="s">
        <v>128</v>
      </c>
      <c r="C27" s="189"/>
      <c r="D27" s="129"/>
      <c r="E27" s="129"/>
      <c r="F27" s="190"/>
      <c r="G27" s="191"/>
      <c r="H27" s="192">
        <f>H26*0.2</f>
        <v>4533.6400000000003</v>
      </c>
      <c r="I27" s="129"/>
      <c r="J27" s="129"/>
      <c r="K27" s="190"/>
      <c r="L27" s="191"/>
      <c r="M27" s="193">
        <f>M26*0.2</f>
        <v>5358.64</v>
      </c>
    </row>
    <row r="28" spans="1:13" ht="15.75" customHeight="1">
      <c r="A28" s="194"/>
      <c r="B28" s="726" t="s">
        <v>71</v>
      </c>
      <c r="C28" s="727"/>
      <c r="D28" s="727"/>
      <c r="E28" s="727"/>
      <c r="F28" s="727"/>
      <c r="G28" s="727"/>
      <c r="H28" s="195">
        <f>SUM(H26:H27)</f>
        <v>27201.84</v>
      </c>
      <c r="I28" s="196"/>
      <c r="J28" s="197"/>
      <c r="K28" s="197"/>
      <c r="L28" s="198"/>
      <c r="M28" s="195">
        <f>SUM(M26:M27)</f>
        <v>32151.84</v>
      </c>
    </row>
    <row r="29" spans="1:13" ht="14.1" customHeight="1">
      <c r="A29" s="199"/>
      <c r="B29" s="199"/>
      <c r="C29" s="199"/>
      <c r="D29" s="199"/>
      <c r="E29" s="199"/>
      <c r="F29" s="199"/>
      <c r="G29" s="199"/>
      <c r="H29" s="199"/>
      <c r="I29" s="6"/>
      <c r="J29" s="6"/>
      <c r="K29" s="6"/>
      <c r="L29" s="6"/>
      <c r="M29" s="199"/>
    </row>
    <row r="30" spans="1:13" ht="12.75" customHeight="1">
      <c r="A30" s="200"/>
      <c r="B30" s="201" t="s">
        <v>129</v>
      </c>
      <c r="C30" s="202"/>
      <c r="D30" s="83"/>
      <c r="E30" s="83"/>
      <c r="F30" s="203"/>
      <c r="G30" s="203"/>
      <c r="H30" s="203"/>
      <c r="I30" s="83"/>
      <c r="J30" s="83"/>
      <c r="K30" s="203"/>
      <c r="L30" s="203"/>
      <c r="M30" s="203"/>
    </row>
    <row r="31" spans="1:13" ht="12.75" customHeight="1">
      <c r="A31" s="200"/>
      <c r="B31" s="204" t="s">
        <v>130</v>
      </c>
      <c r="C31" s="202"/>
      <c r="D31" s="83"/>
      <c r="E31" s="205"/>
      <c r="F31" s="203"/>
      <c r="G31" s="203"/>
      <c r="H31" s="203"/>
      <c r="I31" s="83"/>
      <c r="J31" s="205"/>
      <c r="K31" s="203"/>
      <c r="L31" s="203"/>
      <c r="M31" s="203"/>
    </row>
    <row r="32" spans="1:13" ht="12.75" customHeight="1">
      <c r="A32" s="200"/>
      <c r="B32" s="204" t="s">
        <v>131</v>
      </c>
      <c r="C32" s="204" t="s">
        <v>132</v>
      </c>
      <c r="D32" s="83"/>
      <c r="E32" s="206"/>
      <c r="F32" s="203"/>
      <c r="G32" s="203"/>
      <c r="H32" s="203"/>
      <c r="I32" s="83"/>
      <c r="J32" s="206"/>
      <c r="K32" s="203"/>
      <c r="L32" s="203"/>
      <c r="M32" s="203"/>
    </row>
    <row r="33" spans="1:13" ht="13.2" customHeight="1">
      <c r="A33" s="200"/>
      <c r="B33" s="207"/>
      <c r="C33" s="202"/>
      <c r="D33" s="83"/>
      <c r="E33" s="206"/>
      <c r="F33" s="203"/>
      <c r="G33" s="203"/>
      <c r="H33" s="203"/>
      <c r="I33" s="83"/>
      <c r="J33" s="206"/>
      <c r="K33" s="203"/>
      <c r="L33" s="203"/>
      <c r="M33" s="203"/>
    </row>
    <row r="34" spans="1:13" ht="13.2" customHeight="1">
      <c r="A34" s="200"/>
      <c r="B34" s="207"/>
      <c r="C34" s="202"/>
      <c r="D34" s="83"/>
      <c r="E34" s="206"/>
      <c r="F34" s="85"/>
      <c r="G34" s="85"/>
      <c r="H34" s="85"/>
      <c r="I34" s="83"/>
      <c r="J34" s="206"/>
      <c r="K34" s="85"/>
      <c r="L34" s="85"/>
      <c r="M34" s="85"/>
    </row>
    <row r="35" spans="1:13" ht="13.2" customHeight="1">
      <c r="A35" s="208"/>
      <c r="B35" s="82"/>
      <c r="C35" s="82"/>
      <c r="D35" s="83"/>
      <c r="E35" s="83"/>
      <c r="F35" s="85"/>
      <c r="G35" s="85"/>
      <c r="H35" s="85"/>
      <c r="I35" s="83"/>
      <c r="J35" s="83"/>
      <c r="K35" s="85"/>
      <c r="L35" s="85"/>
      <c r="M35" s="85"/>
    </row>
    <row r="36" spans="1:13" ht="12.75" customHeight="1">
      <c r="A36" s="208"/>
      <c r="B36" s="201" t="s">
        <v>133</v>
      </c>
      <c r="C36" s="82"/>
      <c r="D36" s="83"/>
      <c r="E36" s="83"/>
      <c r="F36" s="85"/>
      <c r="G36" s="85"/>
      <c r="H36" s="85"/>
      <c r="I36" s="83"/>
      <c r="J36" s="83"/>
      <c r="K36" s="85"/>
      <c r="L36" s="85"/>
      <c r="M36" s="85"/>
    </row>
    <row r="37" spans="1:13" ht="12.75" customHeight="1">
      <c r="A37" s="6"/>
      <c r="B37" s="204" t="s">
        <v>134</v>
      </c>
      <c r="C37" s="209" t="str">
        <f>C32</f>
        <v>_________________________     2021 р.</v>
      </c>
      <c r="D37" s="83"/>
      <c r="E37" s="205"/>
      <c r="F37" s="85"/>
      <c r="G37" s="85"/>
      <c r="H37" s="85"/>
      <c r="I37" s="83"/>
      <c r="J37" s="205"/>
      <c r="K37" s="85"/>
      <c r="L37" s="85"/>
      <c r="M37" s="85"/>
    </row>
    <row r="38" spans="1:13" ht="13.2" customHeight="1">
      <c r="A38" s="6"/>
      <c r="B38" s="202"/>
      <c r="C38" s="202"/>
      <c r="D38" s="83"/>
      <c r="E38" s="206"/>
      <c r="F38" s="85"/>
      <c r="G38" s="85"/>
      <c r="H38" s="85"/>
      <c r="I38" s="83"/>
      <c r="J38" s="206"/>
      <c r="K38" s="85"/>
      <c r="L38" s="85"/>
      <c r="M38" s="85"/>
    </row>
    <row r="39" spans="1:13" ht="14.4" customHeight="1">
      <c r="A39" s="92"/>
      <c r="B39" s="92"/>
      <c r="C39" s="92"/>
      <c r="D39" s="92"/>
      <c r="E39" s="92"/>
      <c r="F39" s="92"/>
      <c r="G39" s="92"/>
      <c r="H39" s="93"/>
      <c r="I39" s="92"/>
      <c r="J39" s="92"/>
      <c r="K39" s="92"/>
      <c r="L39" s="92"/>
      <c r="M39" s="93"/>
    </row>
    <row r="40" spans="1:13" ht="14.4" customHeight="1">
      <c r="A40" s="92"/>
      <c r="B40" s="92"/>
      <c r="C40" s="92"/>
      <c r="D40" s="92"/>
      <c r="E40" s="92"/>
      <c r="F40" s="92"/>
      <c r="G40" s="92"/>
      <c r="H40" s="93"/>
      <c r="I40" s="92"/>
      <c r="J40" s="92"/>
      <c r="K40" s="92"/>
      <c r="L40" s="92"/>
      <c r="M40" s="93"/>
    </row>
    <row r="41" spans="1:13" ht="13.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ht="13.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ht="13.5" customHeight="1">
      <c r="A43" s="92"/>
      <c r="B43" s="92"/>
      <c r="C43" s="92"/>
      <c r="D43" s="92"/>
      <c r="E43" s="92"/>
      <c r="F43" s="92"/>
      <c r="G43" s="92"/>
      <c r="H43" s="93"/>
      <c r="I43" s="92"/>
      <c r="J43" s="92"/>
      <c r="K43" s="92"/>
      <c r="L43" s="92"/>
      <c r="M43" s="93"/>
    </row>
    <row r="44" spans="1:13" ht="13.5" customHeight="1">
      <c r="A44" s="92"/>
      <c r="B44" s="92"/>
      <c r="C44" s="92"/>
      <c r="D44" s="92"/>
      <c r="E44" s="92"/>
      <c r="F44" s="92"/>
      <c r="G44" s="92"/>
      <c r="H44" s="93"/>
      <c r="I44" s="92"/>
      <c r="J44" s="92"/>
      <c r="K44" s="92"/>
      <c r="L44" s="92"/>
      <c r="M44" s="93"/>
    </row>
    <row r="45" spans="1:13" ht="13.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ht="13.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ht="13.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ht="13.5" customHeight="1">
      <c r="A48" s="92"/>
      <c r="B48" s="92"/>
      <c r="C48" s="92"/>
      <c r="D48" s="92"/>
      <c r="E48" s="92"/>
      <c r="F48" s="92"/>
      <c r="G48" s="92"/>
      <c r="H48" s="93"/>
      <c r="I48" s="92"/>
      <c r="J48" s="92"/>
      <c r="K48" s="92"/>
      <c r="L48" s="92"/>
      <c r="M48" s="93"/>
    </row>
    <row r="49" spans="1:13" ht="13.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ht="13.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ht="13.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ht="13.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</row>
    <row r="53" spans="1:13" ht="13.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</row>
    <row r="54" spans="1:13" ht="13.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</row>
    <row r="55" spans="1:13" ht="13.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</row>
    <row r="56" spans="1:13" ht="13.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</row>
    <row r="57" spans="1:13" ht="13.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</row>
    <row r="58" spans="1:13" ht="13.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</row>
    <row r="59" spans="1:13" ht="13.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</row>
    <row r="60" spans="1:13" ht="13.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</row>
    <row r="61" spans="1:13" ht="13.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</row>
    <row r="62" spans="1:13" ht="13.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</row>
    <row r="63" spans="1:13" ht="13.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</row>
    <row r="64" spans="1:13" ht="13.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</row>
    <row r="65" spans="1:13" ht="13.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</row>
    <row r="66" spans="1:13" ht="13.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</row>
    <row r="67" spans="1:13" ht="13.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</row>
    <row r="68" spans="1:13" ht="13.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</row>
    <row r="69" spans="1:13" ht="13.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</row>
    <row r="70" spans="1:13" ht="13.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</row>
    <row r="71" spans="1:13" ht="13.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</row>
    <row r="72" spans="1:13" ht="13.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</row>
    <row r="73" spans="1:13" ht="13.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</row>
    <row r="74" spans="1:13" ht="13.5" customHeight="1">
      <c r="A74" s="92"/>
      <c r="B74" s="92"/>
      <c r="C74" s="92"/>
      <c r="D74" s="92"/>
      <c r="E74" s="92"/>
      <c r="F74" s="92"/>
      <c r="G74" s="92"/>
      <c r="H74" s="93"/>
      <c r="I74" s="92"/>
      <c r="J74" s="92"/>
      <c r="K74" s="92"/>
      <c r="L74" s="92"/>
      <c r="M74" s="93"/>
    </row>
  </sheetData>
  <mergeCells count="15">
    <mergeCell ref="A4:D4"/>
    <mergeCell ref="A7:D7"/>
    <mergeCell ref="F8:H8"/>
    <mergeCell ref="A10:H10"/>
    <mergeCell ref="B24:D24"/>
    <mergeCell ref="B25:D25"/>
    <mergeCell ref="B26:G26"/>
    <mergeCell ref="B28:G28"/>
    <mergeCell ref="K8:M8"/>
    <mergeCell ref="I12:M12"/>
    <mergeCell ref="A9:J9"/>
    <mergeCell ref="A11:H11"/>
    <mergeCell ref="B21:D21"/>
    <mergeCell ref="B22:D22"/>
    <mergeCell ref="B23:D23"/>
  </mergeCell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110"/>
  <sheetViews>
    <sheetView showGridLines="0" workbookViewId="0">
      <selection sqref="A1:D1"/>
    </sheetView>
  </sheetViews>
  <sheetFormatPr defaultColWidth="8.88671875" defaultRowHeight="15" customHeight="1"/>
  <cols>
    <col min="1" max="1" width="9.109375" style="5" customWidth="1"/>
    <col min="2" max="2" width="40.88671875" style="5" customWidth="1"/>
    <col min="3" max="3" width="9.109375" style="5" customWidth="1"/>
    <col min="4" max="4" width="10.6640625" style="5" customWidth="1"/>
    <col min="5" max="5" width="11" style="5" customWidth="1"/>
    <col min="6" max="6" width="11.109375" style="5" customWidth="1"/>
    <col min="7" max="7" width="11.88671875" style="5" customWidth="1"/>
    <col min="8" max="8" width="12.88671875" style="5" customWidth="1"/>
    <col min="9" max="9" width="8.88671875" style="5" customWidth="1"/>
    <col min="10" max="16384" width="8.88671875" style="5"/>
  </cols>
  <sheetData>
    <row r="1" spans="1:8" ht="16.649999999999999" customHeight="1">
      <c r="A1" s="734" t="s">
        <v>434</v>
      </c>
      <c r="B1" s="735"/>
      <c r="C1" s="735"/>
      <c r="D1" s="735"/>
      <c r="E1" s="83"/>
      <c r="F1" s="85"/>
      <c r="G1" s="85"/>
      <c r="H1" s="85"/>
    </row>
    <row r="2" spans="1:8" ht="15.75" customHeight="1">
      <c r="A2" s="667" t="s">
        <v>435</v>
      </c>
      <c r="B2" s="668"/>
      <c r="C2" s="668"/>
      <c r="D2" s="668"/>
      <c r="E2" s="668"/>
      <c r="F2" s="668"/>
      <c r="G2" s="668"/>
      <c r="H2" s="668"/>
    </row>
    <row r="3" spans="1:8" ht="15.75" customHeight="1">
      <c r="A3" s="94"/>
      <c r="B3" s="95"/>
      <c r="C3" s="95"/>
      <c r="D3" s="96"/>
      <c r="E3" s="97"/>
      <c r="F3" s="98"/>
      <c r="G3" s="98"/>
      <c r="H3" s="97"/>
    </row>
    <row r="4" spans="1:8" ht="36" customHeight="1">
      <c r="A4" s="99" t="s">
        <v>9</v>
      </c>
      <c r="B4" s="100" t="s">
        <v>10</v>
      </c>
      <c r="C4" s="100" t="s">
        <v>11</v>
      </c>
      <c r="D4" s="101" t="s">
        <v>12</v>
      </c>
      <c r="E4" s="101" t="s">
        <v>13</v>
      </c>
      <c r="F4" s="101" t="s">
        <v>14</v>
      </c>
      <c r="G4" s="101" t="s">
        <v>15</v>
      </c>
      <c r="H4" s="102" t="s">
        <v>16</v>
      </c>
    </row>
    <row r="5" spans="1:8" ht="15.75" customHeight="1">
      <c r="A5" s="103"/>
      <c r="B5" s="104" t="s">
        <v>436</v>
      </c>
      <c r="C5" s="105"/>
      <c r="D5" s="106"/>
      <c r="E5" s="107"/>
      <c r="F5" s="108"/>
      <c r="G5" s="108"/>
      <c r="H5" s="109"/>
    </row>
    <row r="6" spans="1:8" ht="31.5" customHeight="1">
      <c r="A6" s="345"/>
      <c r="B6" s="110" t="s">
        <v>83</v>
      </c>
      <c r="C6" s="111" t="s">
        <v>40</v>
      </c>
      <c r="D6" s="106">
        <v>3.2</v>
      </c>
      <c r="E6" s="107">
        <f>28000*1.2</f>
        <v>33600</v>
      </c>
      <c r="F6" s="108"/>
      <c r="G6" s="108">
        <f>D6*E6</f>
        <v>107520</v>
      </c>
      <c r="H6" s="109"/>
    </row>
    <row r="7" spans="1:8" ht="15.75" customHeight="1">
      <c r="A7" s="345"/>
      <c r="B7" s="113" t="s">
        <v>84</v>
      </c>
      <c r="C7" s="111" t="s">
        <v>40</v>
      </c>
      <c r="D7" s="106">
        <v>3.4</v>
      </c>
      <c r="E7" s="107"/>
      <c r="F7" s="108">
        <v>36124</v>
      </c>
      <c r="G7" s="108"/>
      <c r="H7" s="109">
        <f>D7*F7</f>
        <v>122821.59999999999</v>
      </c>
    </row>
    <row r="8" spans="1:8" ht="15.75" customHeight="1">
      <c r="A8" s="345"/>
      <c r="B8" s="113" t="s">
        <v>85</v>
      </c>
      <c r="C8" s="111" t="s">
        <v>37</v>
      </c>
      <c r="D8" s="106">
        <v>2.5</v>
      </c>
      <c r="E8" s="107"/>
      <c r="F8" s="108">
        <f>1450/1.2</f>
        <v>1208.3333333333335</v>
      </c>
      <c r="G8" s="108"/>
      <c r="H8" s="109">
        <f>D8*F8</f>
        <v>3020.8333333333339</v>
      </c>
    </row>
    <row r="9" spans="1:8" ht="15.75" customHeight="1">
      <c r="A9" s="345"/>
      <c r="B9" s="113" t="s">
        <v>86</v>
      </c>
      <c r="C9" s="111" t="s">
        <v>21</v>
      </c>
      <c r="D9" s="106">
        <f>7*8+1*4</f>
        <v>60</v>
      </c>
      <c r="E9" s="107"/>
      <c r="F9" s="108">
        <v>42.96</v>
      </c>
      <c r="G9" s="108"/>
      <c r="H9" s="109">
        <f>D9*F9</f>
        <v>2577.6</v>
      </c>
    </row>
    <row r="10" spans="1:8" ht="15.75" customHeight="1">
      <c r="A10" s="345"/>
      <c r="B10" s="113" t="s">
        <v>87</v>
      </c>
      <c r="C10" s="111" t="s">
        <v>88</v>
      </c>
      <c r="D10" s="106">
        <v>15</v>
      </c>
      <c r="E10" s="107"/>
      <c r="F10" s="108">
        <v>89.19</v>
      </c>
      <c r="G10" s="108"/>
      <c r="H10" s="109">
        <f>D10*F10</f>
        <v>1337.85</v>
      </c>
    </row>
    <row r="11" spans="1:8" ht="15.75" customHeight="1">
      <c r="A11" s="345"/>
      <c r="B11" s="113" t="s">
        <v>89</v>
      </c>
      <c r="C11" s="111" t="s">
        <v>21</v>
      </c>
      <c r="D11" s="106">
        <v>15</v>
      </c>
      <c r="E11" s="107"/>
      <c r="F11" s="108">
        <v>42.16</v>
      </c>
      <c r="G11" s="108"/>
      <c r="H11" s="109">
        <f>D11*F11</f>
        <v>632.4</v>
      </c>
    </row>
    <row r="12" spans="1:8" ht="15.75" customHeight="1">
      <c r="A12" s="345"/>
      <c r="B12" s="114" t="s">
        <v>322</v>
      </c>
      <c r="C12" s="111" t="s">
        <v>37</v>
      </c>
      <c r="D12" s="106">
        <v>98</v>
      </c>
      <c r="E12" s="107">
        <v>80</v>
      </c>
      <c r="F12" s="108"/>
      <c r="G12" s="108">
        <f>D12*E12</f>
        <v>7840</v>
      </c>
      <c r="H12" s="109"/>
    </row>
    <row r="13" spans="1:8" ht="15.75" customHeight="1">
      <c r="A13" s="345"/>
      <c r="B13" s="113" t="s">
        <v>91</v>
      </c>
      <c r="C13" s="111" t="s">
        <v>92</v>
      </c>
      <c r="D13" s="106">
        <f>D12*0.2</f>
        <v>19.600000000000001</v>
      </c>
      <c r="E13" s="107"/>
      <c r="F13" s="108">
        <v>56</v>
      </c>
      <c r="G13" s="108"/>
      <c r="H13" s="109">
        <f>D13*F13</f>
        <v>1097.6000000000001</v>
      </c>
    </row>
    <row r="14" spans="1:8" ht="15.75" customHeight="1">
      <c r="A14" s="345"/>
      <c r="B14" s="113" t="s">
        <v>93</v>
      </c>
      <c r="C14" s="111" t="s">
        <v>92</v>
      </c>
      <c r="D14" s="106">
        <v>4</v>
      </c>
      <c r="E14" s="107"/>
      <c r="F14" s="108">
        <v>54</v>
      </c>
      <c r="G14" s="108"/>
      <c r="H14" s="109">
        <f>D14*F14</f>
        <v>216</v>
      </c>
    </row>
    <row r="15" spans="1:8" ht="14.4" customHeight="1">
      <c r="A15" s="115"/>
      <c r="B15" s="368"/>
      <c r="C15" s="369"/>
      <c r="D15" s="370"/>
      <c r="E15" s="371"/>
      <c r="F15" s="371"/>
      <c r="G15" s="371"/>
      <c r="H15" s="360"/>
    </row>
    <row r="16" spans="1:8" ht="15.75" customHeight="1">
      <c r="A16" s="103"/>
      <c r="B16" s="104" t="s">
        <v>94</v>
      </c>
      <c r="C16" s="105"/>
      <c r="D16" s="106"/>
      <c r="E16" s="107"/>
      <c r="F16" s="108"/>
      <c r="G16" s="108"/>
      <c r="H16" s="109"/>
    </row>
    <row r="17" spans="1:8" ht="25.5" customHeight="1">
      <c r="A17" s="115"/>
      <c r="B17" s="44" t="s">
        <v>95</v>
      </c>
      <c r="C17" s="43" t="s">
        <v>37</v>
      </c>
      <c r="D17" s="128">
        <v>415</v>
      </c>
      <c r="E17" s="129">
        <f>320+40*2</f>
        <v>400</v>
      </c>
      <c r="F17" s="129"/>
      <c r="G17" s="129">
        <f>D17*E17</f>
        <v>166000</v>
      </c>
      <c r="H17" s="132"/>
    </row>
    <row r="18" spans="1:8" ht="25.5" customHeight="1">
      <c r="A18" s="115"/>
      <c r="B18" s="48" t="s">
        <v>43</v>
      </c>
      <c r="C18" s="48" t="s">
        <v>37</v>
      </c>
      <c r="D18" s="133">
        <f>D17*2.05*2</f>
        <v>1701.4999999999998</v>
      </c>
      <c r="E18" s="134"/>
      <c r="F18" s="134">
        <v>49</v>
      </c>
      <c r="G18" s="135"/>
      <c r="H18" s="132">
        <f t="shared" ref="H18:H26" si="0">F18*D18</f>
        <v>83373.499999999985</v>
      </c>
    </row>
    <row r="19" spans="1:8" ht="13.65" customHeight="1">
      <c r="A19" s="115"/>
      <c r="B19" s="48" t="s">
        <v>96</v>
      </c>
      <c r="C19" s="48" t="s">
        <v>46</v>
      </c>
      <c r="D19" s="133">
        <f>D17*1.4</f>
        <v>581</v>
      </c>
      <c r="E19" s="134"/>
      <c r="F19" s="134">
        <v>56.51</v>
      </c>
      <c r="G19" s="135"/>
      <c r="H19" s="132">
        <f t="shared" si="0"/>
        <v>32832.31</v>
      </c>
    </row>
    <row r="20" spans="1:8" ht="13.65" customHeight="1">
      <c r="A20" s="115"/>
      <c r="B20" s="48" t="s">
        <v>47</v>
      </c>
      <c r="C20" s="48" t="s">
        <v>46</v>
      </c>
      <c r="D20" s="133">
        <f>D17*3.2</f>
        <v>1328</v>
      </c>
      <c r="E20" s="134"/>
      <c r="F20" s="134">
        <v>63.16</v>
      </c>
      <c r="G20" s="135"/>
      <c r="H20" s="132">
        <f t="shared" si="0"/>
        <v>83876.479999999996</v>
      </c>
    </row>
    <row r="21" spans="1:8" ht="13.65" customHeight="1">
      <c r="A21" s="115"/>
      <c r="B21" s="48" t="s">
        <v>97</v>
      </c>
      <c r="C21" s="48" t="s">
        <v>46</v>
      </c>
      <c r="D21" s="133">
        <f>D19/2*1.1</f>
        <v>319.55</v>
      </c>
      <c r="E21" s="134"/>
      <c r="F21" s="134">
        <v>4.2</v>
      </c>
      <c r="G21" s="135"/>
      <c r="H21" s="132">
        <f t="shared" si="0"/>
        <v>1342.1100000000001</v>
      </c>
    </row>
    <row r="22" spans="1:8" ht="13.65" customHeight="1">
      <c r="A22" s="115"/>
      <c r="B22" s="48" t="s">
        <v>49</v>
      </c>
      <c r="C22" s="48" t="s">
        <v>21</v>
      </c>
      <c r="D22" s="133">
        <v>404</v>
      </c>
      <c r="E22" s="134"/>
      <c r="F22" s="134">
        <v>0.28999999999999998</v>
      </c>
      <c r="G22" s="135"/>
      <c r="H22" s="132">
        <f t="shared" si="0"/>
        <v>117.16</v>
      </c>
    </row>
    <row r="23" spans="1:8" ht="13.65" customHeight="1">
      <c r="A23" s="115"/>
      <c r="B23" s="48" t="s">
        <v>98</v>
      </c>
      <c r="C23" s="48" t="s">
        <v>21</v>
      </c>
      <c r="D23" s="133">
        <v>1453</v>
      </c>
      <c r="E23" s="134"/>
      <c r="F23" s="134">
        <v>0.09</v>
      </c>
      <c r="G23" s="135"/>
      <c r="H23" s="132">
        <f t="shared" si="0"/>
        <v>130.76999999999998</v>
      </c>
    </row>
    <row r="24" spans="1:8" ht="13.65" customHeight="1">
      <c r="A24" s="115"/>
      <c r="B24" s="48" t="s">
        <v>51</v>
      </c>
      <c r="C24" s="48" t="s">
        <v>21</v>
      </c>
      <c r="D24" s="133">
        <f>D17*20</f>
        <v>8300</v>
      </c>
      <c r="E24" s="134"/>
      <c r="F24" s="134">
        <v>0.23</v>
      </c>
      <c r="G24" s="135"/>
      <c r="H24" s="132">
        <f t="shared" si="0"/>
        <v>1909</v>
      </c>
    </row>
    <row r="25" spans="1:8" ht="13.65" customHeight="1">
      <c r="A25" s="115"/>
      <c r="B25" s="48" t="s">
        <v>99</v>
      </c>
      <c r="C25" s="48" t="s">
        <v>21</v>
      </c>
      <c r="D25" s="133">
        <f>D17*20</f>
        <v>8300</v>
      </c>
      <c r="E25" s="134"/>
      <c r="F25" s="134">
        <v>0.23</v>
      </c>
      <c r="G25" s="135"/>
      <c r="H25" s="132">
        <f t="shared" si="0"/>
        <v>1909</v>
      </c>
    </row>
    <row r="26" spans="1:8" ht="13.65" customHeight="1">
      <c r="A26" s="115"/>
      <c r="B26" s="48" t="s">
        <v>52</v>
      </c>
      <c r="C26" s="48" t="s">
        <v>21</v>
      </c>
      <c r="D26" s="133">
        <v>28</v>
      </c>
      <c r="E26" s="134"/>
      <c r="F26" s="134">
        <v>5.94</v>
      </c>
      <c r="G26" s="135"/>
      <c r="H26" s="132">
        <f t="shared" si="0"/>
        <v>166.32000000000002</v>
      </c>
    </row>
    <row r="27" spans="1:8" ht="13.65" customHeight="1">
      <c r="A27" s="115"/>
      <c r="B27" s="44" t="s">
        <v>101</v>
      </c>
      <c r="C27" s="43" t="s">
        <v>37</v>
      </c>
      <c r="D27" s="45">
        <v>186</v>
      </c>
      <c r="E27" s="46">
        <v>200</v>
      </c>
      <c r="F27" s="46"/>
      <c r="G27" s="46">
        <f>D27*E27</f>
        <v>37200</v>
      </c>
      <c r="H27" s="51"/>
    </row>
    <row r="28" spans="1:8" ht="13.65" customHeight="1">
      <c r="A28" s="115"/>
      <c r="B28" s="48" t="s">
        <v>102</v>
      </c>
      <c r="C28" s="48" t="s">
        <v>37</v>
      </c>
      <c r="D28" s="50">
        <f>D27*1.1</f>
        <v>204.60000000000002</v>
      </c>
      <c r="E28" s="50"/>
      <c r="F28" s="50">
        <v>44.01</v>
      </c>
      <c r="G28" s="252"/>
      <c r="H28" s="51">
        <f>F28*D28</f>
        <v>9004.4459999999999</v>
      </c>
    </row>
    <row r="29" spans="1:8" ht="13.65" customHeight="1">
      <c r="A29" s="115"/>
      <c r="B29" s="48" t="s">
        <v>49</v>
      </c>
      <c r="C29" s="48" t="s">
        <v>21</v>
      </c>
      <c r="D29" s="50">
        <f>ROUND(D27*5,2)</f>
        <v>930</v>
      </c>
      <c r="E29" s="50"/>
      <c r="F29" s="50">
        <v>0.84</v>
      </c>
      <c r="G29" s="252"/>
      <c r="H29" s="51">
        <f>F29*D29</f>
        <v>781.19999999999993</v>
      </c>
    </row>
    <row r="30" spans="1:8" ht="13.65" customHeight="1">
      <c r="A30" s="115"/>
      <c r="B30" s="48" t="s">
        <v>180</v>
      </c>
      <c r="C30" s="48" t="s">
        <v>88</v>
      </c>
      <c r="D30" s="50">
        <f>D27*5</f>
        <v>930</v>
      </c>
      <c r="E30" s="50"/>
      <c r="F30" s="50">
        <v>5.94</v>
      </c>
      <c r="G30" s="252"/>
      <c r="H30" s="51">
        <f>F30*D30</f>
        <v>5524.2000000000007</v>
      </c>
    </row>
    <row r="31" spans="1:8" ht="13.65" customHeight="1">
      <c r="A31" s="115"/>
      <c r="B31" s="139" t="s">
        <v>106</v>
      </c>
      <c r="C31" s="140" t="s">
        <v>37</v>
      </c>
      <c r="D31" s="141">
        <v>385</v>
      </c>
      <c r="E31" s="142">
        <v>70</v>
      </c>
      <c r="F31" s="142"/>
      <c r="G31" s="142">
        <f>D31*E31</f>
        <v>26950</v>
      </c>
      <c r="H31" s="132"/>
    </row>
    <row r="32" spans="1:8" ht="13.65" customHeight="1">
      <c r="A32" s="115"/>
      <c r="B32" s="144" t="s">
        <v>107</v>
      </c>
      <c r="C32" s="144" t="s">
        <v>37</v>
      </c>
      <c r="D32" s="145">
        <v>385</v>
      </c>
      <c r="E32" s="145"/>
      <c r="F32" s="145">
        <v>55.6</v>
      </c>
      <c r="G32" s="146"/>
      <c r="H32" s="132">
        <f>F32*D32</f>
        <v>21406</v>
      </c>
    </row>
    <row r="33" spans="1:8" ht="25.5" customHeight="1">
      <c r="A33" s="115"/>
      <c r="B33" s="44" t="s">
        <v>108</v>
      </c>
      <c r="C33" s="43" t="s">
        <v>37</v>
      </c>
      <c r="D33" s="138">
        <v>95.89</v>
      </c>
      <c r="E33" s="129">
        <v>40</v>
      </c>
      <c r="F33" s="129"/>
      <c r="G33" s="129">
        <f>D33*E33</f>
        <v>3835.6</v>
      </c>
      <c r="H33" s="132"/>
    </row>
    <row r="34" spans="1:8" ht="13.65" customHeight="1">
      <c r="A34" s="115"/>
      <c r="B34" s="48" t="s">
        <v>102</v>
      </c>
      <c r="C34" s="48" t="s">
        <v>37</v>
      </c>
      <c r="D34" s="134">
        <f>D33*1.1</f>
        <v>105.47900000000001</v>
      </c>
      <c r="E34" s="134"/>
      <c r="F34" s="134">
        <v>49</v>
      </c>
      <c r="G34" s="135"/>
      <c r="H34" s="132">
        <f>F34*D34</f>
        <v>5168.4710000000005</v>
      </c>
    </row>
    <row r="35" spans="1:8" ht="13.65" customHeight="1">
      <c r="A35" s="115"/>
      <c r="B35" s="48" t="s">
        <v>99</v>
      </c>
      <c r="C35" s="48" t="s">
        <v>21</v>
      </c>
      <c r="D35" s="148">
        <f>D33*20</f>
        <v>1917.8</v>
      </c>
      <c r="E35" s="134"/>
      <c r="F35" s="134">
        <v>0.23</v>
      </c>
      <c r="G35" s="135"/>
      <c r="H35" s="132">
        <f>F35*D35</f>
        <v>441.09399999999999</v>
      </c>
    </row>
    <row r="36" spans="1:8" ht="13.65" customHeight="1">
      <c r="A36" s="115"/>
      <c r="B36" s="44" t="s">
        <v>109</v>
      </c>
      <c r="C36" s="43" t="s">
        <v>37</v>
      </c>
      <c r="D36" s="138">
        <f>D33+D27+D17*2</f>
        <v>1111.8899999999999</v>
      </c>
      <c r="E36" s="129">
        <v>30</v>
      </c>
      <c r="F36" s="129"/>
      <c r="G36" s="129">
        <f>D36*E36</f>
        <v>33356.699999999997</v>
      </c>
      <c r="H36" s="132"/>
    </row>
    <row r="37" spans="1:8" ht="13.65" customHeight="1">
      <c r="A37" s="115"/>
      <c r="B37" s="48" t="s">
        <v>110</v>
      </c>
      <c r="C37" s="48" t="s">
        <v>46</v>
      </c>
      <c r="D37" s="149">
        <f>D36*1.1</f>
        <v>1223.079</v>
      </c>
      <c r="E37" s="134"/>
      <c r="F37" s="134">
        <v>1.5</v>
      </c>
      <c r="G37" s="135"/>
      <c r="H37" s="132">
        <f>F37*D37</f>
        <v>1834.6185</v>
      </c>
    </row>
    <row r="38" spans="1:8" ht="13.65" customHeight="1">
      <c r="A38" s="115"/>
      <c r="B38" s="48" t="s">
        <v>111</v>
      </c>
      <c r="C38" s="48" t="s">
        <v>88</v>
      </c>
      <c r="D38" s="149">
        <f>D36*0.3</f>
        <v>333.56699999999995</v>
      </c>
      <c r="E38" s="134"/>
      <c r="F38" s="134">
        <v>6</v>
      </c>
      <c r="G38" s="135"/>
      <c r="H38" s="132">
        <f>F38*D38</f>
        <v>2001.4019999999996</v>
      </c>
    </row>
    <row r="39" spans="1:8" ht="14.4" customHeight="1">
      <c r="A39" s="115"/>
      <c r="B39" s="163"/>
      <c r="C39" s="163"/>
      <c r="D39" s="29"/>
      <c r="E39" s="30"/>
      <c r="F39" s="30"/>
      <c r="G39" s="30"/>
      <c r="H39" s="164"/>
    </row>
    <row r="40" spans="1:8" ht="13.65" customHeight="1">
      <c r="A40" s="115"/>
      <c r="B40" s="150" t="s">
        <v>420</v>
      </c>
      <c r="C40" s="161" t="s">
        <v>37</v>
      </c>
      <c r="D40" s="151">
        <v>250</v>
      </c>
      <c r="E40" s="152">
        <v>25</v>
      </c>
      <c r="F40" s="152"/>
      <c r="G40" s="154">
        <f>D40*E40</f>
        <v>6250</v>
      </c>
      <c r="H40" s="164"/>
    </row>
    <row r="41" spans="1:8" ht="13.65" customHeight="1">
      <c r="A41" s="115"/>
      <c r="B41" s="150" t="s">
        <v>421</v>
      </c>
      <c r="C41" s="161" t="s">
        <v>37</v>
      </c>
      <c r="D41" s="151">
        <v>250</v>
      </c>
      <c r="E41" s="152">
        <v>25</v>
      </c>
      <c r="F41" s="152"/>
      <c r="G41" s="154">
        <f>D41*E41</f>
        <v>6250</v>
      </c>
      <c r="H41" s="164"/>
    </row>
    <row r="42" spans="1:8" ht="13.65" customHeight="1">
      <c r="A42" s="115"/>
      <c r="B42" s="150" t="s">
        <v>121</v>
      </c>
      <c r="C42" s="161" t="s">
        <v>122</v>
      </c>
      <c r="D42" s="151">
        <v>14</v>
      </c>
      <c r="E42" s="152"/>
      <c r="F42" s="152"/>
      <c r="G42" s="154">
        <v>5200</v>
      </c>
      <c r="H42" s="164"/>
    </row>
    <row r="43" spans="1:8" ht="13.65" customHeight="1">
      <c r="A43" s="115"/>
      <c r="B43" s="150" t="s">
        <v>123</v>
      </c>
      <c r="C43" s="161" t="s">
        <v>124</v>
      </c>
      <c r="D43" s="151">
        <v>2</v>
      </c>
      <c r="E43" s="152">
        <v>1200</v>
      </c>
      <c r="F43" s="152"/>
      <c r="G43" s="154">
        <f>D43*E43</f>
        <v>2400</v>
      </c>
      <c r="H43" s="164"/>
    </row>
    <row r="44" spans="1:8" ht="13.65" customHeight="1">
      <c r="A44" s="115"/>
      <c r="B44" s="165" t="s">
        <v>125</v>
      </c>
      <c r="C44" s="166" t="s">
        <v>126</v>
      </c>
      <c r="D44" s="133">
        <v>50</v>
      </c>
      <c r="E44" s="167">
        <v>750</v>
      </c>
      <c r="F44" s="167"/>
      <c r="G44" s="168">
        <f>D44*E44</f>
        <v>37500</v>
      </c>
      <c r="H44" s="164"/>
    </row>
    <row r="45" spans="1:8" ht="13.65" customHeight="1">
      <c r="A45" s="169"/>
      <c r="B45" s="44" t="s">
        <v>127</v>
      </c>
      <c r="C45" s="170"/>
      <c r="D45" s="171"/>
      <c r="E45" s="172"/>
      <c r="F45" s="172"/>
      <c r="G45" s="172"/>
      <c r="H45" s="173"/>
    </row>
    <row r="46" spans="1:8" ht="13.65" customHeight="1">
      <c r="A46" s="174"/>
      <c r="B46" s="722" t="s">
        <v>64</v>
      </c>
      <c r="C46" s="723"/>
      <c r="D46" s="723"/>
      <c r="E46" s="175"/>
      <c r="F46" s="176"/>
      <c r="G46" s="177">
        <f>SUM(G4:G45)</f>
        <v>440302.3</v>
      </c>
      <c r="H46" s="178"/>
    </row>
    <row r="47" spans="1:8" ht="13.65" customHeight="1">
      <c r="A47" s="174"/>
      <c r="B47" s="722" t="s">
        <v>65</v>
      </c>
      <c r="C47" s="723"/>
      <c r="D47" s="723"/>
      <c r="E47" s="175"/>
      <c r="F47" s="176"/>
      <c r="G47" s="177"/>
      <c r="H47" s="178">
        <f>SUM(H4:H46)</f>
        <v>383521.96483333327</v>
      </c>
    </row>
    <row r="48" spans="1:8" ht="13.65" customHeight="1">
      <c r="A48" s="174"/>
      <c r="B48" s="722" t="s">
        <v>66</v>
      </c>
      <c r="C48" s="723"/>
      <c r="D48" s="723"/>
      <c r="E48" s="181">
        <v>0.1</v>
      </c>
      <c r="F48" s="176"/>
      <c r="G48" s="176"/>
      <c r="H48" s="182">
        <f>H47*E48</f>
        <v>38352.196483333326</v>
      </c>
    </row>
    <row r="49" spans="1:8" ht="13.65" customHeight="1">
      <c r="A49" s="174"/>
      <c r="B49" s="722" t="s">
        <v>67</v>
      </c>
      <c r="C49" s="723"/>
      <c r="D49" s="723"/>
      <c r="E49" s="181">
        <v>0.1</v>
      </c>
      <c r="F49" s="176"/>
      <c r="G49" s="176">
        <f>G46*E49</f>
        <v>44030.23</v>
      </c>
      <c r="H49" s="182"/>
    </row>
    <row r="50" spans="1:8" ht="13.65" customHeight="1">
      <c r="A50" s="174"/>
      <c r="B50" s="722" t="s">
        <v>68</v>
      </c>
      <c r="C50" s="723"/>
      <c r="D50" s="723"/>
      <c r="E50" s="183">
        <v>0.05</v>
      </c>
      <c r="F50" s="176"/>
      <c r="G50" s="176"/>
      <c r="H50" s="182">
        <f>H47*E50</f>
        <v>19176.098241666663</v>
      </c>
    </row>
    <row r="51" spans="1:8" ht="13.65" customHeight="1">
      <c r="A51" s="174"/>
      <c r="B51" s="724" t="s">
        <v>69</v>
      </c>
      <c r="C51" s="725"/>
      <c r="D51" s="725"/>
      <c r="E51" s="725"/>
      <c r="F51" s="725"/>
      <c r="G51" s="725"/>
      <c r="H51" s="184">
        <f>SUM(G46:G50,H46:H50)</f>
        <v>925382.78955833323</v>
      </c>
    </row>
    <row r="52" spans="1:8" ht="13.65" customHeight="1">
      <c r="A52" s="174"/>
      <c r="B52" s="188" t="s">
        <v>128</v>
      </c>
      <c r="C52" s="189"/>
      <c r="D52" s="129"/>
      <c r="E52" s="129"/>
      <c r="F52" s="190"/>
      <c r="G52" s="191"/>
      <c r="H52" s="193">
        <f>H51*0.2</f>
        <v>185076.55791166666</v>
      </c>
    </row>
    <row r="53" spans="1:8" ht="15.75" customHeight="1">
      <c r="A53" s="194"/>
      <c r="B53" s="726" t="s">
        <v>71</v>
      </c>
      <c r="C53" s="727"/>
      <c r="D53" s="727"/>
      <c r="E53" s="727"/>
      <c r="F53" s="727"/>
      <c r="G53" s="727"/>
      <c r="H53" s="195">
        <f>SUM(H51:H52)</f>
        <v>1110459.3474699999</v>
      </c>
    </row>
    <row r="54" spans="1:8" ht="14.1" customHeight="1">
      <c r="A54" s="199"/>
      <c r="B54" s="199"/>
      <c r="C54" s="199"/>
      <c r="D54" s="199"/>
      <c r="E54" s="199"/>
      <c r="F54" s="199"/>
      <c r="G54" s="199"/>
      <c r="H54" s="199"/>
    </row>
    <row r="55" spans="1:8" ht="13.5" customHeight="1">
      <c r="A55" s="397"/>
      <c r="B55" s="397"/>
      <c r="C55" s="397"/>
      <c r="D55" s="397"/>
      <c r="E55" s="397"/>
      <c r="F55" s="397"/>
      <c r="G55" s="397"/>
      <c r="H55" s="397"/>
    </row>
    <row r="56" spans="1:8" ht="15.75" customHeight="1">
      <c r="A56" s="398"/>
      <c r="B56" s="399" t="s">
        <v>437</v>
      </c>
      <c r="C56" s="398"/>
      <c r="D56" s="398"/>
      <c r="E56" s="398"/>
      <c r="F56" s="398"/>
      <c r="G56" s="398"/>
      <c r="H56" s="400"/>
    </row>
    <row r="57" spans="1:8" ht="15.75" customHeight="1">
      <c r="A57" s="398"/>
      <c r="B57" s="399" t="s">
        <v>438</v>
      </c>
      <c r="C57" s="398"/>
      <c r="D57" s="398"/>
      <c r="E57" s="398"/>
      <c r="F57" s="398"/>
      <c r="G57" s="398"/>
      <c r="H57" s="401">
        <f>(H47+H48+H50)*1.2</f>
        <v>529260.31146999984</v>
      </c>
    </row>
    <row r="58" spans="1:8" ht="31.5" customHeight="1">
      <c r="A58" s="398"/>
      <c r="B58" s="399" t="s">
        <v>439</v>
      </c>
      <c r="C58" s="398"/>
      <c r="D58" s="398"/>
      <c r="E58" s="398"/>
      <c r="F58" s="398"/>
      <c r="G58" s="398"/>
      <c r="H58" s="402">
        <f>(G40+G42+G43+G44)*1.2</f>
        <v>61620</v>
      </c>
    </row>
    <row r="59" spans="1:8" ht="15.75" customHeight="1">
      <c r="A59" s="398"/>
      <c r="B59" s="399" t="s">
        <v>440</v>
      </c>
      <c r="C59" s="398"/>
      <c r="D59" s="398"/>
      <c r="E59" s="398"/>
      <c r="F59" s="398"/>
      <c r="G59" s="398"/>
      <c r="H59" s="401">
        <f>G46*0.3*1.2</f>
        <v>158508.82800000001</v>
      </c>
    </row>
    <row r="60" spans="1:8" ht="15.75" customHeight="1">
      <c r="A60" s="398"/>
      <c r="B60" s="399" t="s">
        <v>441</v>
      </c>
      <c r="C60" s="398"/>
      <c r="D60" s="398"/>
      <c r="E60" s="398"/>
      <c r="F60" s="398"/>
      <c r="G60" s="398"/>
      <c r="H60" s="401">
        <f>G46*0.4*1.2</f>
        <v>211345.10400000002</v>
      </c>
    </row>
    <row r="61" spans="1:8" ht="31.5" customHeight="1">
      <c r="A61" s="398"/>
      <c r="B61" s="399" t="s">
        <v>442</v>
      </c>
      <c r="C61" s="398"/>
      <c r="D61" s="398"/>
      <c r="E61" s="398"/>
      <c r="F61" s="398"/>
      <c r="G61" s="398"/>
      <c r="H61" s="401">
        <f>H53-H57-H58-H59-H60</f>
        <v>149725.10400000008</v>
      </c>
    </row>
    <row r="62" spans="1:8" ht="13.5" customHeight="1">
      <c r="A62" s="273"/>
      <c r="B62" s="273"/>
      <c r="C62" s="273"/>
      <c r="D62" s="273"/>
      <c r="E62" s="273"/>
      <c r="F62" s="273"/>
      <c r="G62" s="273"/>
      <c r="H62" s="273"/>
    </row>
    <row r="63" spans="1:8" ht="13.5" customHeight="1">
      <c r="A63" s="6"/>
      <c r="B63" s="6"/>
      <c r="C63" s="6"/>
      <c r="D63" s="6"/>
      <c r="E63" s="6"/>
      <c r="F63" s="6"/>
      <c r="G63" s="6"/>
      <c r="H63" s="6"/>
    </row>
    <row r="64" spans="1:8" ht="13.5" customHeight="1">
      <c r="A64" s="6"/>
      <c r="B64" s="6"/>
      <c r="C64" s="6"/>
      <c r="D64" s="6"/>
      <c r="E64" s="6"/>
      <c r="F64" s="6"/>
      <c r="G64" s="6"/>
      <c r="H64" s="6"/>
    </row>
    <row r="65" spans="1:8" ht="13.5" customHeight="1">
      <c r="A65" s="6"/>
      <c r="B65" s="6"/>
      <c r="C65" s="6"/>
      <c r="D65" s="6"/>
      <c r="E65" s="6"/>
      <c r="F65" s="6"/>
      <c r="G65" s="6"/>
      <c r="H65" s="6"/>
    </row>
    <row r="66" spans="1:8" ht="12.75" customHeight="1">
      <c r="A66" s="200"/>
      <c r="B66" s="201" t="s">
        <v>129</v>
      </c>
      <c r="C66" s="202"/>
      <c r="D66" s="83"/>
      <c r="E66" s="83"/>
      <c r="F66" s="203"/>
      <c r="G66" s="203"/>
      <c r="H66" s="203"/>
    </row>
    <row r="67" spans="1:8" ht="12.75" customHeight="1">
      <c r="A67" s="200"/>
      <c r="B67" s="204" t="s">
        <v>130</v>
      </c>
      <c r="C67" s="202"/>
      <c r="D67" s="83"/>
      <c r="E67" s="205"/>
      <c r="F67" s="203"/>
      <c r="G67" s="203"/>
      <c r="H67" s="203"/>
    </row>
    <row r="68" spans="1:8" ht="12.75" customHeight="1">
      <c r="A68" s="200"/>
      <c r="B68" s="204" t="s">
        <v>131</v>
      </c>
      <c r="C68" s="204" t="s">
        <v>132</v>
      </c>
      <c r="D68" s="83"/>
      <c r="E68" s="206"/>
      <c r="F68" s="203"/>
      <c r="G68" s="203"/>
      <c r="H68" s="203"/>
    </row>
    <row r="69" spans="1:8" ht="13.2" customHeight="1">
      <c r="A69" s="200"/>
      <c r="B69" s="207"/>
      <c r="C69" s="202"/>
      <c r="D69" s="83"/>
      <c r="E69" s="206"/>
      <c r="F69" s="203"/>
      <c r="G69" s="203"/>
      <c r="H69" s="203"/>
    </row>
    <row r="70" spans="1:8" ht="13.2" customHeight="1">
      <c r="A70" s="200"/>
      <c r="B70" s="207"/>
      <c r="C70" s="202"/>
      <c r="D70" s="83"/>
      <c r="E70" s="206"/>
      <c r="F70" s="85"/>
      <c r="G70" s="85"/>
      <c r="H70" s="85"/>
    </row>
    <row r="71" spans="1:8" ht="13.2" customHeight="1">
      <c r="A71" s="208"/>
      <c r="B71" s="82"/>
      <c r="C71" s="82"/>
      <c r="D71" s="83"/>
      <c r="E71" s="83"/>
      <c r="F71" s="85"/>
      <c r="G71" s="85"/>
      <c r="H71" s="85"/>
    </row>
    <row r="72" spans="1:8" ht="12.75" customHeight="1">
      <c r="A72" s="208"/>
      <c r="B72" s="201" t="s">
        <v>133</v>
      </c>
      <c r="C72" s="82"/>
      <c r="D72" s="83"/>
      <c r="E72" s="83"/>
      <c r="F72" s="85"/>
      <c r="G72" s="85"/>
      <c r="H72" s="85"/>
    </row>
    <row r="73" spans="1:8" ht="12.75" customHeight="1">
      <c r="A73" s="6"/>
      <c r="B73" s="204" t="s">
        <v>134</v>
      </c>
      <c r="C73" s="209" t="str">
        <f>C68</f>
        <v>_________________________     2021 р.</v>
      </c>
      <c r="D73" s="83"/>
      <c r="E73" s="205"/>
      <c r="F73" s="85"/>
      <c r="G73" s="85"/>
      <c r="H73" s="85"/>
    </row>
    <row r="74" spans="1:8" ht="13.2" customHeight="1">
      <c r="A74" s="6"/>
      <c r="B74" s="202"/>
      <c r="C74" s="202"/>
      <c r="D74" s="83"/>
      <c r="E74" s="206"/>
      <c r="F74" s="85"/>
      <c r="G74" s="85"/>
      <c r="H74" s="85"/>
    </row>
    <row r="75" spans="1:8" ht="14.4" customHeight="1">
      <c r="A75" s="92"/>
      <c r="B75" s="92"/>
      <c r="C75" s="92"/>
      <c r="D75" s="92"/>
      <c r="E75" s="92"/>
      <c r="F75" s="92"/>
      <c r="G75" s="92"/>
      <c r="H75" s="93"/>
    </row>
    <row r="76" spans="1:8" ht="14.4" customHeight="1">
      <c r="A76" s="92"/>
      <c r="B76" s="92"/>
      <c r="C76" s="92"/>
      <c r="D76" s="92"/>
      <c r="E76" s="92"/>
      <c r="F76" s="92"/>
      <c r="G76" s="92"/>
      <c r="H76" s="93"/>
    </row>
    <row r="77" spans="1:8" ht="13.5" customHeight="1">
      <c r="A77" s="6"/>
      <c r="B77" s="6"/>
      <c r="C77" s="6"/>
      <c r="D77" s="6"/>
      <c r="E77" s="6"/>
      <c r="F77" s="6"/>
      <c r="G77" s="6"/>
      <c r="H77" s="6"/>
    </row>
    <row r="78" spans="1:8" ht="13.5" customHeight="1">
      <c r="A78" s="6"/>
      <c r="B78" s="6"/>
      <c r="C78" s="6"/>
      <c r="D78" s="6"/>
      <c r="E78" s="6"/>
      <c r="F78" s="6"/>
      <c r="G78" s="6"/>
      <c r="H78" s="6"/>
    </row>
    <row r="79" spans="1:8" ht="14.4" customHeight="1">
      <c r="A79" s="92"/>
      <c r="B79" s="92"/>
      <c r="C79" s="92"/>
      <c r="D79" s="92"/>
      <c r="E79" s="92"/>
      <c r="F79" s="92"/>
      <c r="G79" s="92"/>
      <c r="H79" s="93"/>
    </row>
    <row r="80" spans="1:8" ht="14.4" customHeight="1">
      <c r="A80" s="92"/>
      <c r="B80" s="92"/>
      <c r="C80" s="92"/>
      <c r="D80" s="92"/>
      <c r="E80" s="92"/>
      <c r="F80" s="92"/>
      <c r="G80" s="92"/>
      <c r="H80" s="93"/>
    </row>
    <row r="81" spans="1:8" ht="13.5" customHeight="1">
      <c r="A81" s="6"/>
      <c r="B81" s="6"/>
      <c r="C81" s="6"/>
      <c r="D81" s="6"/>
      <c r="E81" s="6"/>
      <c r="F81" s="6"/>
      <c r="G81" s="6"/>
      <c r="H81" s="6"/>
    </row>
    <row r="82" spans="1:8" ht="13.5" customHeight="1">
      <c r="A82" s="6"/>
      <c r="B82" s="6"/>
      <c r="C82" s="6"/>
      <c r="D82" s="6"/>
      <c r="E82" s="6"/>
      <c r="F82" s="6"/>
      <c r="G82" s="6"/>
      <c r="H82" s="6"/>
    </row>
    <row r="83" spans="1:8" ht="13.5" customHeight="1">
      <c r="A83" s="6"/>
      <c r="B83" s="6"/>
      <c r="C83" s="6"/>
      <c r="D83" s="6"/>
      <c r="E83" s="6"/>
      <c r="F83" s="6"/>
      <c r="G83" s="6"/>
      <c r="H83" s="6"/>
    </row>
    <row r="84" spans="1:8" ht="14.4" customHeight="1">
      <c r="A84" s="92"/>
      <c r="B84" s="92"/>
      <c r="C84" s="92"/>
      <c r="D84" s="92"/>
      <c r="E84" s="92"/>
      <c r="F84" s="92"/>
      <c r="G84" s="92"/>
      <c r="H84" s="93"/>
    </row>
    <row r="85" spans="1:8" ht="13.5" customHeight="1">
      <c r="A85" s="6"/>
      <c r="B85" s="6"/>
      <c r="C85" s="6"/>
      <c r="D85" s="6"/>
      <c r="E85" s="6"/>
      <c r="F85" s="6"/>
      <c r="G85" s="6"/>
      <c r="H85" s="6"/>
    </row>
    <row r="86" spans="1:8" ht="13.5" customHeight="1">
      <c r="A86" s="6"/>
      <c r="B86" s="6"/>
      <c r="C86" s="6"/>
      <c r="D86" s="6"/>
      <c r="E86" s="6"/>
      <c r="F86" s="6"/>
      <c r="G86" s="6"/>
      <c r="H86" s="6"/>
    </row>
    <row r="87" spans="1:8" ht="13.5" customHeight="1">
      <c r="A87" s="6"/>
      <c r="B87" s="6"/>
      <c r="C87" s="6"/>
      <c r="D87" s="6"/>
      <c r="E87" s="6"/>
      <c r="F87" s="6"/>
      <c r="G87" s="6"/>
      <c r="H87" s="6"/>
    </row>
    <row r="88" spans="1:8" ht="13.5" customHeight="1">
      <c r="A88" s="6"/>
      <c r="B88" s="6"/>
      <c r="C88" s="6"/>
      <c r="D88" s="6"/>
      <c r="E88" s="6"/>
      <c r="F88" s="6"/>
      <c r="G88" s="6"/>
      <c r="H88" s="6"/>
    </row>
    <row r="89" spans="1:8" ht="13.5" customHeight="1">
      <c r="A89" s="6"/>
      <c r="B89" s="6"/>
      <c r="C89" s="6"/>
      <c r="D89" s="6"/>
      <c r="E89" s="6"/>
      <c r="F89" s="6"/>
      <c r="G89" s="6"/>
      <c r="H89" s="6"/>
    </row>
    <row r="90" spans="1:8" ht="13.5" customHeight="1">
      <c r="A90" s="6"/>
      <c r="B90" s="6"/>
      <c r="C90" s="6"/>
      <c r="D90" s="6"/>
      <c r="E90" s="6"/>
      <c r="F90" s="6"/>
      <c r="G90" s="6"/>
      <c r="H90" s="6"/>
    </row>
    <row r="91" spans="1:8" ht="13.5" customHeight="1">
      <c r="A91" s="6"/>
      <c r="B91" s="6"/>
      <c r="C91" s="6"/>
      <c r="D91" s="6"/>
      <c r="E91" s="6"/>
      <c r="F91" s="6"/>
      <c r="G91" s="6"/>
      <c r="H91" s="6"/>
    </row>
    <row r="92" spans="1:8" ht="13.5" customHeight="1">
      <c r="A92" s="6"/>
      <c r="B92" s="6"/>
      <c r="C92" s="6"/>
      <c r="D92" s="6"/>
      <c r="E92" s="6"/>
      <c r="F92" s="6"/>
      <c r="G92" s="6"/>
      <c r="H92" s="6"/>
    </row>
    <row r="93" spans="1:8" ht="13.5" customHeight="1">
      <c r="A93" s="6"/>
      <c r="B93" s="6"/>
      <c r="C93" s="6"/>
      <c r="D93" s="6"/>
      <c r="E93" s="6"/>
      <c r="F93" s="6"/>
      <c r="G93" s="6"/>
      <c r="H93" s="6"/>
    </row>
    <row r="94" spans="1:8" ht="13.5" customHeight="1">
      <c r="A94" s="6"/>
      <c r="B94" s="6"/>
      <c r="C94" s="6"/>
      <c r="D94" s="6"/>
      <c r="E94" s="6"/>
      <c r="F94" s="6"/>
      <c r="G94" s="6"/>
      <c r="H94" s="6"/>
    </row>
    <row r="95" spans="1:8" ht="13.5" customHeight="1">
      <c r="A95" s="6"/>
      <c r="B95" s="6"/>
      <c r="C95" s="6"/>
      <c r="D95" s="6"/>
      <c r="E95" s="6"/>
      <c r="F95" s="6"/>
      <c r="G95" s="6"/>
      <c r="H95" s="6"/>
    </row>
    <row r="96" spans="1:8" ht="13.5" customHeight="1">
      <c r="A96" s="6"/>
      <c r="B96" s="6"/>
      <c r="C96" s="6"/>
      <c r="D96" s="6"/>
      <c r="E96" s="6"/>
      <c r="F96" s="6"/>
      <c r="G96" s="6"/>
      <c r="H96" s="6"/>
    </row>
    <row r="97" spans="1:8" ht="13.5" customHeight="1">
      <c r="A97" s="6"/>
      <c r="B97" s="6"/>
      <c r="C97" s="6"/>
      <c r="D97" s="6"/>
      <c r="E97" s="6"/>
      <c r="F97" s="6"/>
      <c r="G97" s="6"/>
      <c r="H97" s="6"/>
    </row>
    <row r="98" spans="1:8" ht="13.5" customHeight="1">
      <c r="A98" s="6"/>
      <c r="B98" s="6"/>
      <c r="C98" s="6"/>
      <c r="D98" s="6"/>
      <c r="E98" s="6"/>
      <c r="F98" s="6"/>
      <c r="G98" s="6"/>
      <c r="H98" s="6"/>
    </row>
    <row r="99" spans="1:8" ht="13.5" customHeight="1">
      <c r="A99" s="6"/>
      <c r="B99" s="6"/>
      <c r="C99" s="6"/>
      <c r="D99" s="6"/>
      <c r="E99" s="6"/>
      <c r="F99" s="6"/>
      <c r="G99" s="6"/>
      <c r="H99" s="6"/>
    </row>
    <row r="100" spans="1:8" ht="13.5" customHeight="1">
      <c r="A100" s="6"/>
      <c r="B100" s="6"/>
      <c r="C100" s="6"/>
      <c r="D100" s="6"/>
      <c r="E100" s="6"/>
      <c r="F100" s="6"/>
      <c r="G100" s="6"/>
      <c r="H100" s="6"/>
    </row>
    <row r="101" spans="1:8" ht="13.5" customHeight="1">
      <c r="A101" s="6"/>
      <c r="B101" s="6"/>
      <c r="C101" s="6"/>
      <c r="D101" s="6"/>
      <c r="E101" s="6"/>
      <c r="F101" s="6"/>
      <c r="G101" s="6"/>
      <c r="H101" s="6"/>
    </row>
    <row r="102" spans="1:8" ht="13.5" customHeight="1">
      <c r="A102" s="6"/>
      <c r="B102" s="6"/>
      <c r="C102" s="6"/>
      <c r="D102" s="6"/>
      <c r="E102" s="6"/>
      <c r="F102" s="6"/>
      <c r="G102" s="6"/>
      <c r="H102" s="6"/>
    </row>
    <row r="103" spans="1:8" ht="13.5" customHeight="1">
      <c r="A103" s="6"/>
      <c r="B103" s="6"/>
      <c r="C103" s="6"/>
      <c r="D103" s="6"/>
      <c r="E103" s="6"/>
      <c r="F103" s="6"/>
      <c r="G103" s="6"/>
      <c r="H103" s="6"/>
    </row>
    <row r="104" spans="1:8" ht="13.5" customHeight="1">
      <c r="A104" s="6"/>
      <c r="B104" s="6"/>
      <c r="C104" s="6"/>
      <c r="D104" s="6"/>
      <c r="E104" s="6"/>
      <c r="F104" s="6"/>
      <c r="G104" s="6"/>
      <c r="H104" s="6"/>
    </row>
    <row r="105" spans="1:8" ht="13.5" customHeight="1">
      <c r="A105" s="6"/>
      <c r="B105" s="6"/>
      <c r="C105" s="6"/>
      <c r="D105" s="6"/>
      <c r="E105" s="6"/>
      <c r="F105" s="6"/>
      <c r="G105" s="6"/>
      <c r="H105" s="6"/>
    </row>
    <row r="106" spans="1:8" ht="13.5" customHeight="1">
      <c r="A106" s="6"/>
      <c r="B106" s="6"/>
      <c r="C106" s="6"/>
      <c r="D106" s="6"/>
      <c r="E106" s="6"/>
      <c r="F106" s="6"/>
      <c r="G106" s="6"/>
      <c r="H106" s="6"/>
    </row>
    <row r="107" spans="1:8" ht="13.5" customHeight="1">
      <c r="A107" s="6"/>
      <c r="B107" s="6"/>
      <c r="C107" s="6"/>
      <c r="D107" s="6"/>
      <c r="E107" s="6"/>
      <c r="F107" s="6"/>
      <c r="G107" s="6"/>
      <c r="H107" s="6"/>
    </row>
    <row r="108" spans="1:8" ht="13.5" customHeight="1">
      <c r="A108" s="6"/>
      <c r="B108" s="6"/>
      <c r="C108" s="6"/>
      <c r="D108" s="6"/>
      <c r="E108" s="6"/>
      <c r="F108" s="6"/>
      <c r="G108" s="6"/>
      <c r="H108" s="6"/>
    </row>
    <row r="109" spans="1:8" ht="13.5" customHeight="1">
      <c r="A109" s="6"/>
      <c r="B109" s="6"/>
      <c r="C109" s="6"/>
      <c r="D109" s="6"/>
      <c r="E109" s="6"/>
      <c r="F109" s="6"/>
      <c r="G109" s="6"/>
      <c r="H109" s="6"/>
    </row>
    <row r="110" spans="1:8" ht="13.5" customHeight="1">
      <c r="A110" s="92"/>
      <c r="B110" s="92"/>
      <c r="C110" s="92"/>
      <c r="D110" s="92"/>
      <c r="E110" s="92"/>
      <c r="F110" s="92"/>
      <c r="G110" s="92"/>
      <c r="H110" s="93"/>
    </row>
  </sheetData>
  <mergeCells count="9">
    <mergeCell ref="A1:D1"/>
    <mergeCell ref="A2:H2"/>
    <mergeCell ref="B51:G51"/>
    <mergeCell ref="B53:G53"/>
    <mergeCell ref="B46:D46"/>
    <mergeCell ref="B47:D47"/>
    <mergeCell ref="B48:D48"/>
    <mergeCell ref="B49:D49"/>
    <mergeCell ref="B50:D50"/>
  </mergeCell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F31"/>
  <sheetViews>
    <sheetView tabSelected="1" zoomScaleNormal="100" workbookViewId="0">
      <selection activeCell="E7" sqref="E7"/>
    </sheetView>
  </sheetViews>
  <sheetFormatPr defaultColWidth="9.109375" defaultRowHeight="13.8"/>
  <cols>
    <col min="1" max="1" width="6.88671875" style="636" customWidth="1"/>
    <col min="2" max="2" width="48.21875" style="636" customWidth="1"/>
    <col min="3" max="3" width="9.109375" style="636"/>
    <col min="4" max="4" width="10.33203125" style="636" customWidth="1"/>
    <col min="5" max="5" width="9.109375" style="636" customWidth="1"/>
    <col min="6" max="6" width="12.109375" style="636" customWidth="1"/>
    <col min="7" max="7" width="9.109375" style="636" customWidth="1"/>
    <col min="8" max="12" width="9.109375" style="636"/>
    <col min="13" max="13" width="10.33203125" style="636" bestFit="1" customWidth="1"/>
    <col min="14" max="16384" width="9.109375" style="636"/>
  </cols>
  <sheetData>
    <row r="2" spans="1:6" s="635" customFormat="1" ht="15.75" customHeight="1">
      <c r="A2" s="753" t="s">
        <v>527</v>
      </c>
      <c r="B2" s="754"/>
      <c r="C2" s="754"/>
      <c r="D2" s="754"/>
      <c r="E2" s="754"/>
      <c r="F2" s="754"/>
    </row>
    <row r="3" spans="1:6" s="635" customFormat="1" ht="15.75" customHeight="1">
      <c r="A3" s="753" t="s">
        <v>529</v>
      </c>
      <c r="B3" s="754"/>
      <c r="C3" s="754"/>
      <c r="D3" s="754"/>
      <c r="E3" s="754"/>
      <c r="F3" s="754"/>
    </row>
    <row r="4" spans="1:6" ht="15.75" customHeight="1" thickBot="1"/>
    <row r="5" spans="1:6" ht="41.4">
      <c r="A5" s="646" t="s">
        <v>9</v>
      </c>
      <c r="B5" s="647" t="s">
        <v>10</v>
      </c>
      <c r="C5" s="647" t="s">
        <v>11</v>
      </c>
      <c r="D5" s="647" t="s">
        <v>12</v>
      </c>
      <c r="E5" s="647" t="s">
        <v>13</v>
      </c>
      <c r="F5" s="647" t="s">
        <v>15</v>
      </c>
    </row>
    <row r="6" spans="1:6">
      <c r="A6" s="645"/>
      <c r="B6" s="637" t="s">
        <v>528</v>
      </c>
      <c r="C6" s="638" t="s">
        <v>508</v>
      </c>
      <c r="D6" s="639">
        <v>59.2</v>
      </c>
      <c r="E6" s="639">
        <v>120</v>
      </c>
      <c r="F6" s="639">
        <f>D6*E6</f>
        <v>7104</v>
      </c>
    </row>
    <row r="7" spans="1:6">
      <c r="A7" s="645"/>
      <c r="B7" s="632" t="s">
        <v>520</v>
      </c>
      <c r="C7" s="633" t="s">
        <v>509</v>
      </c>
      <c r="D7" s="634">
        <v>32</v>
      </c>
      <c r="E7" s="634">
        <v>170</v>
      </c>
      <c r="F7" s="626">
        <f>D7*E7</f>
        <v>5440</v>
      </c>
    </row>
    <row r="8" spans="1:6">
      <c r="A8" s="645"/>
      <c r="B8" s="632" t="s">
        <v>521</v>
      </c>
      <c r="C8" s="633" t="s">
        <v>509</v>
      </c>
      <c r="D8" s="634">
        <v>32</v>
      </c>
      <c r="E8" s="634">
        <v>400</v>
      </c>
      <c r="F8" s="626">
        <f>D8*E8</f>
        <v>12800</v>
      </c>
    </row>
    <row r="9" spans="1:6">
      <c r="A9" s="645"/>
      <c r="B9" s="627" t="s">
        <v>522</v>
      </c>
      <c r="C9" s="628" t="s">
        <v>21</v>
      </c>
      <c r="D9" s="629">
        <v>650</v>
      </c>
      <c r="E9" s="629">
        <v>90</v>
      </c>
      <c r="F9" s="626">
        <f t="shared" ref="F9" si="0">D9*E9</f>
        <v>58500</v>
      </c>
    </row>
    <row r="10" spans="1:6">
      <c r="A10" s="645"/>
      <c r="B10" s="632" t="s">
        <v>510</v>
      </c>
      <c r="C10" s="633" t="s">
        <v>37</v>
      </c>
      <c r="D10" s="634">
        <v>248</v>
      </c>
      <c r="E10" s="634">
        <v>140</v>
      </c>
      <c r="F10" s="626">
        <f t="shared" ref="F10:F11" si="1">D10*E10</f>
        <v>34720</v>
      </c>
    </row>
    <row r="11" spans="1:6">
      <c r="A11" s="645"/>
      <c r="B11" s="632" t="s">
        <v>514</v>
      </c>
      <c r="C11" s="633" t="s">
        <v>37</v>
      </c>
      <c r="D11" s="634">
        <v>246</v>
      </c>
      <c r="E11" s="634">
        <v>500</v>
      </c>
      <c r="F11" s="626">
        <f t="shared" si="1"/>
        <v>123000</v>
      </c>
    </row>
    <row r="12" spans="1:6">
      <c r="A12" s="645"/>
      <c r="B12" s="632" t="s">
        <v>511</v>
      </c>
      <c r="C12" s="633" t="s">
        <v>508</v>
      </c>
      <c r="D12" s="634">
        <v>31</v>
      </c>
      <c r="E12" s="634">
        <v>170</v>
      </c>
      <c r="F12" s="626">
        <f>D12*E12</f>
        <v>5270</v>
      </c>
    </row>
    <row r="13" spans="1:6">
      <c r="A13" s="645"/>
      <c r="B13" s="632" t="s">
        <v>524</v>
      </c>
      <c r="C13" s="633" t="s">
        <v>508</v>
      </c>
      <c r="D13" s="634">
        <v>46</v>
      </c>
      <c r="E13" s="634">
        <v>115</v>
      </c>
      <c r="F13" s="626">
        <f t="shared" ref="F13" si="2">D13*E13</f>
        <v>5290</v>
      </c>
    </row>
    <row r="14" spans="1:6">
      <c r="A14" s="645"/>
      <c r="B14" s="632" t="s">
        <v>512</v>
      </c>
      <c r="C14" s="633" t="s">
        <v>508</v>
      </c>
      <c r="D14" s="634">
        <v>46</v>
      </c>
      <c r="E14" s="634">
        <v>170</v>
      </c>
      <c r="F14" s="626">
        <f>D14*E14</f>
        <v>7820</v>
      </c>
    </row>
    <row r="15" spans="1:6">
      <c r="A15" s="645"/>
      <c r="B15" s="627" t="s">
        <v>523</v>
      </c>
      <c r="C15" s="628" t="s">
        <v>21</v>
      </c>
      <c r="D15" s="629">
        <v>180</v>
      </c>
      <c r="E15" s="629">
        <v>70</v>
      </c>
      <c r="F15" s="626">
        <f t="shared" ref="F15" si="3">D15*E15</f>
        <v>12600</v>
      </c>
    </row>
    <row r="16" spans="1:6">
      <c r="A16" s="645"/>
      <c r="B16" s="627" t="s">
        <v>517</v>
      </c>
      <c r="C16" s="628" t="s">
        <v>21</v>
      </c>
      <c r="D16" s="629">
        <v>4</v>
      </c>
      <c r="E16" s="629">
        <v>500</v>
      </c>
      <c r="F16" s="626">
        <f t="shared" ref="F16" si="4">D16*E16</f>
        <v>2000</v>
      </c>
    </row>
    <row r="17" spans="1:6">
      <c r="A17" s="645"/>
      <c r="B17" s="632" t="s">
        <v>513</v>
      </c>
      <c r="C17" s="633" t="s">
        <v>21</v>
      </c>
      <c r="D17" s="634">
        <v>4</v>
      </c>
      <c r="E17" s="634">
        <v>1150</v>
      </c>
      <c r="F17" s="626">
        <f t="shared" ref="F17:F23" si="5">D17*E17</f>
        <v>4600</v>
      </c>
    </row>
    <row r="18" spans="1:6">
      <c r="A18" s="645"/>
      <c r="B18" s="632" t="s">
        <v>525</v>
      </c>
      <c r="C18" s="633" t="s">
        <v>21</v>
      </c>
      <c r="D18" s="634">
        <v>18</v>
      </c>
      <c r="E18" s="634">
        <v>700</v>
      </c>
      <c r="F18" s="626">
        <f t="shared" si="5"/>
        <v>12600</v>
      </c>
    </row>
    <row r="19" spans="1:6">
      <c r="A19" s="645"/>
      <c r="B19" s="630" t="s">
        <v>515</v>
      </c>
      <c r="C19" s="631" t="s">
        <v>508</v>
      </c>
      <c r="D19" s="625">
        <v>70.94</v>
      </c>
      <c r="E19" s="625">
        <v>450</v>
      </c>
      <c r="F19" s="626">
        <f t="shared" si="5"/>
        <v>31923</v>
      </c>
    </row>
    <row r="20" spans="1:6">
      <c r="A20" s="645"/>
      <c r="B20" s="630" t="s">
        <v>516</v>
      </c>
      <c r="C20" s="631" t="s">
        <v>508</v>
      </c>
      <c r="D20" s="625">
        <v>70.34</v>
      </c>
      <c r="E20" s="625">
        <v>450</v>
      </c>
      <c r="F20" s="626">
        <f t="shared" si="5"/>
        <v>31653</v>
      </c>
    </row>
    <row r="21" spans="1:6">
      <c r="A21" s="645"/>
      <c r="B21" s="627" t="s">
        <v>526</v>
      </c>
      <c r="C21" s="628" t="s">
        <v>508</v>
      </c>
      <c r="D21" s="629">
        <v>70.34</v>
      </c>
      <c r="E21" s="629">
        <v>350</v>
      </c>
      <c r="F21" s="626">
        <f t="shared" si="5"/>
        <v>24619</v>
      </c>
    </row>
    <row r="22" spans="1:6">
      <c r="A22" s="645"/>
      <c r="B22" s="632" t="s">
        <v>519</v>
      </c>
      <c r="C22" s="633" t="s">
        <v>21</v>
      </c>
      <c r="D22" s="634">
        <v>14</v>
      </c>
      <c r="E22" s="634">
        <v>170</v>
      </c>
      <c r="F22" s="626">
        <f t="shared" si="5"/>
        <v>2380</v>
      </c>
    </row>
    <row r="23" spans="1:6">
      <c r="A23" s="645"/>
      <c r="B23" s="632" t="s">
        <v>518</v>
      </c>
      <c r="C23" s="633" t="s">
        <v>21</v>
      </c>
      <c r="D23" s="634">
        <v>8</v>
      </c>
      <c r="E23" s="634">
        <v>400</v>
      </c>
      <c r="F23" s="626">
        <f t="shared" si="5"/>
        <v>3200</v>
      </c>
    </row>
    <row r="24" spans="1:6" ht="27.6">
      <c r="A24" s="645"/>
      <c r="B24" s="651" t="s">
        <v>530</v>
      </c>
      <c r="C24" s="652" t="s">
        <v>508</v>
      </c>
      <c r="D24" s="653">
        <v>90.15</v>
      </c>
      <c r="E24" s="653">
        <v>200</v>
      </c>
      <c r="F24" s="626">
        <f>D24*E24</f>
        <v>18030</v>
      </c>
    </row>
    <row r="25" spans="1:6">
      <c r="A25" s="645"/>
      <c r="B25" s="654" t="s">
        <v>531</v>
      </c>
      <c r="C25" s="655" t="s">
        <v>508</v>
      </c>
      <c r="D25" s="656">
        <v>71</v>
      </c>
      <c r="E25" s="656">
        <v>450</v>
      </c>
      <c r="F25" s="626">
        <f t="shared" ref="F25:F28" si="6">D25*E25</f>
        <v>31950</v>
      </c>
    </row>
    <row r="26" spans="1:6">
      <c r="A26" s="645"/>
      <c r="B26" s="657" t="s">
        <v>525</v>
      </c>
      <c r="C26" s="658" t="s">
        <v>21</v>
      </c>
      <c r="D26" s="659">
        <v>6</v>
      </c>
      <c r="E26" s="659">
        <v>700</v>
      </c>
      <c r="F26" s="626">
        <f t="shared" si="6"/>
        <v>4200</v>
      </c>
    </row>
    <row r="27" spans="1:6">
      <c r="A27" s="645"/>
      <c r="B27" s="651" t="s">
        <v>532</v>
      </c>
      <c r="C27" s="652" t="s">
        <v>21</v>
      </c>
      <c r="D27" s="653">
        <v>6</v>
      </c>
      <c r="E27" s="653">
        <v>1150</v>
      </c>
      <c r="F27" s="626">
        <f t="shared" si="6"/>
        <v>6900</v>
      </c>
    </row>
    <row r="28" spans="1:6" s="661" customFormat="1" ht="27.6">
      <c r="A28" s="660"/>
      <c r="B28" s="630" t="s">
        <v>533</v>
      </c>
      <c r="C28" s="631" t="s">
        <v>21</v>
      </c>
      <c r="D28" s="625">
        <v>1</v>
      </c>
      <c r="E28" s="625">
        <v>20</v>
      </c>
      <c r="F28" s="625">
        <f t="shared" si="6"/>
        <v>20</v>
      </c>
    </row>
    <row r="29" spans="1:6">
      <c r="A29" s="645"/>
      <c r="B29" s="632"/>
      <c r="C29" s="633"/>
      <c r="D29" s="634"/>
      <c r="E29" s="634"/>
      <c r="F29" s="626"/>
    </row>
    <row r="30" spans="1:6">
      <c r="A30" s="648"/>
      <c r="B30" s="755" t="s">
        <v>64</v>
      </c>
      <c r="C30" s="756"/>
      <c r="D30" s="756"/>
      <c r="E30" s="649"/>
      <c r="F30" s="650">
        <f>SUM(F6:F29)</f>
        <v>446619</v>
      </c>
    </row>
    <row r="31" spans="1:6">
      <c r="A31" s="643"/>
      <c r="B31" s="640" t="s">
        <v>507</v>
      </c>
      <c r="C31" s="644"/>
      <c r="D31" s="641"/>
      <c r="E31" s="642"/>
      <c r="F31" s="641"/>
    </row>
  </sheetData>
  <mergeCells count="3">
    <mergeCell ref="A3:F3"/>
    <mergeCell ref="B30:D30"/>
    <mergeCell ref="A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5"/>
  <sheetViews>
    <sheetView showGridLines="0" workbookViewId="0">
      <selection sqref="A1:H1"/>
    </sheetView>
  </sheetViews>
  <sheetFormatPr defaultColWidth="9.109375" defaultRowHeight="15" customHeight="1"/>
  <cols>
    <col min="1" max="1" width="7.33203125" style="5" customWidth="1"/>
    <col min="2" max="2" width="36.44140625" style="5" customWidth="1"/>
    <col min="3" max="3" width="6.6640625" style="5" customWidth="1"/>
    <col min="4" max="4" width="9.109375" style="5" customWidth="1"/>
    <col min="5" max="5" width="10.6640625" style="5" customWidth="1"/>
    <col min="6" max="6" width="10.44140625" style="5" customWidth="1"/>
    <col min="7" max="8" width="14.33203125" style="5" customWidth="1"/>
    <col min="9" max="9" width="21.88671875" style="5" customWidth="1"/>
    <col min="10" max="10" width="10.44140625" style="5" customWidth="1"/>
    <col min="11" max="11" width="9.109375" style="5" customWidth="1"/>
    <col min="12" max="16384" width="9.109375" style="5"/>
  </cols>
  <sheetData>
    <row r="1" spans="1:10" ht="15.75" customHeight="1">
      <c r="A1" s="667" t="s">
        <v>6</v>
      </c>
      <c r="B1" s="668"/>
      <c r="C1" s="668"/>
      <c r="D1" s="668"/>
      <c r="E1" s="668"/>
      <c r="F1" s="668"/>
      <c r="G1" s="668"/>
      <c r="H1" s="668"/>
      <c r="I1" s="6"/>
      <c r="J1" s="6"/>
    </row>
    <row r="2" spans="1:10" ht="15.75" customHeight="1">
      <c r="A2" s="667" t="s">
        <v>7</v>
      </c>
      <c r="B2" s="668"/>
      <c r="C2" s="668"/>
      <c r="D2" s="668"/>
      <c r="E2" s="668"/>
      <c r="F2" s="668"/>
      <c r="G2" s="668"/>
      <c r="H2" s="668"/>
      <c r="I2" s="6"/>
      <c r="J2" s="6"/>
    </row>
    <row r="3" spans="1:10" ht="15.75" customHeight="1">
      <c r="A3" s="669" t="s">
        <v>8</v>
      </c>
      <c r="B3" s="670"/>
      <c r="C3" s="670"/>
      <c r="D3" s="670"/>
      <c r="E3" s="670"/>
      <c r="F3" s="670"/>
      <c r="G3" s="670"/>
      <c r="H3" s="670"/>
      <c r="I3" s="6"/>
      <c r="J3" s="6"/>
    </row>
    <row r="4" spans="1:10" ht="38.25" customHeight="1">
      <c r="A4" s="7" t="s">
        <v>9</v>
      </c>
      <c r="B4" s="7" t="s">
        <v>10</v>
      </c>
      <c r="C4" s="7" t="s">
        <v>11</v>
      </c>
      <c r="D4" s="7" t="s">
        <v>12</v>
      </c>
      <c r="E4" s="7" t="s">
        <v>13</v>
      </c>
      <c r="F4" s="7" t="s">
        <v>14</v>
      </c>
      <c r="G4" s="7" t="s">
        <v>15</v>
      </c>
      <c r="H4" s="7" t="s">
        <v>16</v>
      </c>
      <c r="I4" s="8"/>
      <c r="J4" s="6"/>
    </row>
    <row r="5" spans="1:10" ht="47.25" customHeight="1">
      <c r="A5" s="9"/>
      <c r="B5" s="10" t="s">
        <v>17</v>
      </c>
      <c r="C5" s="11"/>
      <c r="D5" s="9"/>
      <c r="E5" s="12"/>
      <c r="F5" s="12"/>
      <c r="G5" s="12"/>
      <c r="H5" s="12"/>
      <c r="I5" s="8"/>
      <c r="J5" s="6"/>
    </row>
    <row r="6" spans="1:10" ht="13.65" customHeight="1">
      <c r="A6" s="13"/>
      <c r="B6" s="14" t="s">
        <v>18</v>
      </c>
      <c r="C6" s="13" t="s">
        <v>19</v>
      </c>
      <c r="D6" s="15">
        <v>650</v>
      </c>
      <c r="E6" s="16">
        <v>25</v>
      </c>
      <c r="F6" s="16"/>
      <c r="G6" s="17">
        <f>D6*E6</f>
        <v>16250</v>
      </c>
      <c r="H6" s="16"/>
      <c r="I6" s="8"/>
      <c r="J6" s="6"/>
    </row>
    <row r="7" spans="1:10" ht="13.65" customHeight="1">
      <c r="A7" s="13"/>
      <c r="B7" s="18" t="s">
        <v>20</v>
      </c>
      <c r="C7" s="18" t="s">
        <v>21</v>
      </c>
      <c r="D7" s="19">
        <v>1</v>
      </c>
      <c r="E7" s="19"/>
      <c r="F7" s="20">
        <v>455.95</v>
      </c>
      <c r="G7" s="21"/>
      <c r="H7" s="21">
        <f t="shared" ref="H7:H20" si="0">D7*F7</f>
        <v>455.95</v>
      </c>
      <c r="I7" s="8"/>
      <c r="J7" s="6"/>
    </row>
    <row r="8" spans="1:10" ht="13.65" customHeight="1">
      <c r="A8" s="13"/>
      <c r="B8" s="18" t="s">
        <v>22</v>
      </c>
      <c r="C8" s="18" t="s">
        <v>21</v>
      </c>
      <c r="D8" s="19">
        <v>1</v>
      </c>
      <c r="E8" s="19"/>
      <c r="F8" s="20">
        <v>345.78</v>
      </c>
      <c r="G8" s="21"/>
      <c r="H8" s="21">
        <f t="shared" si="0"/>
        <v>345.78</v>
      </c>
      <c r="I8" s="8"/>
      <c r="J8" s="6"/>
    </row>
    <row r="9" spans="1:10" ht="13.65" customHeight="1">
      <c r="A9" s="13"/>
      <c r="B9" s="18" t="s">
        <v>23</v>
      </c>
      <c r="C9" s="18" t="s">
        <v>21</v>
      </c>
      <c r="D9" s="19">
        <v>4</v>
      </c>
      <c r="E9" s="19"/>
      <c r="F9" s="20">
        <v>87.7</v>
      </c>
      <c r="G9" s="21"/>
      <c r="H9" s="21">
        <f t="shared" si="0"/>
        <v>350.8</v>
      </c>
      <c r="I9" s="8"/>
      <c r="J9" s="6"/>
    </row>
    <row r="10" spans="1:10" ht="13.65" customHeight="1">
      <c r="A10" s="13"/>
      <c r="B10" s="18" t="s">
        <v>24</v>
      </c>
      <c r="C10" s="18" t="s">
        <v>21</v>
      </c>
      <c r="D10" s="19">
        <v>4</v>
      </c>
      <c r="E10" s="19"/>
      <c r="F10" s="21">
        <v>74.209999999999994</v>
      </c>
      <c r="G10" s="21"/>
      <c r="H10" s="21">
        <f t="shared" si="0"/>
        <v>296.83999999999997</v>
      </c>
      <c r="I10" s="8"/>
      <c r="J10" s="6"/>
    </row>
    <row r="11" spans="1:10" ht="13.65" customHeight="1">
      <c r="A11" s="13"/>
      <c r="B11" s="18" t="s">
        <v>25</v>
      </c>
      <c r="C11" s="18" t="s">
        <v>21</v>
      </c>
      <c r="D11" s="19">
        <v>1</v>
      </c>
      <c r="E11" s="19"/>
      <c r="F11" s="21">
        <v>981.41</v>
      </c>
      <c r="G11" s="21"/>
      <c r="H11" s="21">
        <f t="shared" si="0"/>
        <v>981.41</v>
      </c>
      <c r="I11" s="8"/>
      <c r="J11" s="6"/>
    </row>
    <row r="12" spans="1:10" ht="13.65" customHeight="1">
      <c r="A12" s="13"/>
      <c r="B12" s="18" t="s">
        <v>26</v>
      </c>
      <c r="C12" s="18" t="s">
        <v>27</v>
      </c>
      <c r="D12" s="19">
        <v>10</v>
      </c>
      <c r="E12" s="19"/>
      <c r="F12" s="21">
        <v>110.67</v>
      </c>
      <c r="G12" s="21"/>
      <c r="H12" s="21">
        <f t="shared" si="0"/>
        <v>1106.7</v>
      </c>
      <c r="I12" s="8"/>
      <c r="J12" s="6"/>
    </row>
    <row r="13" spans="1:10" ht="13.65" customHeight="1">
      <c r="A13" s="13"/>
      <c r="B13" s="18" t="s">
        <v>28</v>
      </c>
      <c r="C13" s="18" t="s">
        <v>27</v>
      </c>
      <c r="D13" s="19">
        <v>100</v>
      </c>
      <c r="E13" s="19"/>
      <c r="F13" s="21">
        <v>12.64</v>
      </c>
      <c r="G13" s="21"/>
      <c r="H13" s="21">
        <f t="shared" si="0"/>
        <v>1264</v>
      </c>
      <c r="I13" s="8"/>
      <c r="J13" s="6"/>
    </row>
    <row r="14" spans="1:10" ht="13.65" customHeight="1">
      <c r="A14" s="13"/>
      <c r="B14" s="18" t="s">
        <v>28</v>
      </c>
      <c r="C14" s="18" t="s">
        <v>27</v>
      </c>
      <c r="D14" s="19">
        <v>121</v>
      </c>
      <c r="E14" s="19"/>
      <c r="F14" s="21">
        <f>20.06/1.2</f>
        <v>16.716666666666665</v>
      </c>
      <c r="G14" s="21"/>
      <c r="H14" s="21">
        <f t="shared" si="0"/>
        <v>2022.7166666666665</v>
      </c>
      <c r="I14" s="8"/>
      <c r="J14" s="6"/>
    </row>
    <row r="15" spans="1:10" ht="13.65" customHeight="1">
      <c r="A15" s="13"/>
      <c r="B15" s="18" t="s">
        <v>29</v>
      </c>
      <c r="C15" s="18" t="s">
        <v>27</v>
      </c>
      <c r="D15" s="19">
        <v>100</v>
      </c>
      <c r="E15" s="19"/>
      <c r="F15" s="21">
        <v>29.14</v>
      </c>
      <c r="G15" s="21"/>
      <c r="H15" s="21">
        <f t="shared" si="0"/>
        <v>2914</v>
      </c>
      <c r="I15" s="8"/>
      <c r="J15" s="6"/>
    </row>
    <row r="16" spans="1:10" ht="13.65" customHeight="1">
      <c r="A16" s="13"/>
      <c r="B16" s="18" t="s">
        <v>30</v>
      </c>
      <c r="C16" s="18" t="s">
        <v>21</v>
      </c>
      <c r="D16" s="19">
        <v>40</v>
      </c>
      <c r="E16" s="19"/>
      <c r="F16" s="21">
        <v>12</v>
      </c>
      <c r="G16" s="21"/>
      <c r="H16" s="21">
        <f t="shared" si="0"/>
        <v>480</v>
      </c>
      <c r="I16" s="8"/>
      <c r="J16" s="6"/>
    </row>
    <row r="17" spans="1:10" ht="13.65" customHeight="1">
      <c r="A17" s="13"/>
      <c r="B17" s="18" t="s">
        <v>31</v>
      </c>
      <c r="C17" s="18" t="s">
        <v>21</v>
      </c>
      <c r="D17" s="19">
        <v>4</v>
      </c>
      <c r="E17" s="19"/>
      <c r="F17" s="21">
        <v>84.79</v>
      </c>
      <c r="G17" s="21"/>
      <c r="H17" s="21">
        <f t="shared" si="0"/>
        <v>339.16</v>
      </c>
      <c r="I17" s="8"/>
      <c r="J17" s="6"/>
    </row>
    <row r="18" spans="1:10" ht="13.65" customHeight="1">
      <c r="A18" s="13"/>
      <c r="B18" s="18" t="s">
        <v>32</v>
      </c>
      <c r="C18" s="18" t="s">
        <v>21</v>
      </c>
      <c r="D18" s="19">
        <v>1</v>
      </c>
      <c r="E18" s="19"/>
      <c r="F18" s="21">
        <f>99.95/1.2</f>
        <v>83.291666666666671</v>
      </c>
      <c r="G18" s="21"/>
      <c r="H18" s="21">
        <f t="shared" si="0"/>
        <v>83.291666666666671</v>
      </c>
      <c r="I18" s="8"/>
      <c r="J18" s="6"/>
    </row>
    <row r="19" spans="1:10" ht="13.65" customHeight="1">
      <c r="A19" s="13"/>
      <c r="B19" s="18" t="s">
        <v>33</v>
      </c>
      <c r="C19" s="18" t="s">
        <v>21</v>
      </c>
      <c r="D19" s="19">
        <v>4</v>
      </c>
      <c r="E19" s="19"/>
      <c r="F19" s="21">
        <f>55.96/1.2</f>
        <v>46.633333333333333</v>
      </c>
      <c r="G19" s="21"/>
      <c r="H19" s="21">
        <f t="shared" si="0"/>
        <v>186.53333333333333</v>
      </c>
      <c r="I19" s="8"/>
      <c r="J19" s="6"/>
    </row>
    <row r="20" spans="1:10" ht="13.65" customHeight="1">
      <c r="A20" s="13"/>
      <c r="B20" s="18" t="s">
        <v>34</v>
      </c>
      <c r="C20" s="18" t="s">
        <v>21</v>
      </c>
      <c r="D20" s="19">
        <v>40</v>
      </c>
      <c r="E20" s="19"/>
      <c r="F20" s="21">
        <v>12.65</v>
      </c>
      <c r="G20" s="21"/>
      <c r="H20" s="21">
        <f t="shared" si="0"/>
        <v>506</v>
      </c>
      <c r="I20" s="8"/>
      <c r="J20" s="6"/>
    </row>
    <row r="21" spans="1:10" ht="15.75" customHeight="1">
      <c r="A21" s="9"/>
      <c r="B21" s="10" t="s">
        <v>35</v>
      </c>
      <c r="C21" s="11"/>
      <c r="D21" s="9"/>
      <c r="E21" s="12"/>
      <c r="F21" s="12"/>
      <c r="G21" s="12"/>
      <c r="H21" s="12"/>
      <c r="I21" s="8"/>
      <c r="J21" s="6"/>
    </row>
    <row r="22" spans="1:10" ht="38.25" customHeight="1">
      <c r="A22" s="13"/>
      <c r="B22" s="14" t="s">
        <v>36</v>
      </c>
      <c r="C22" s="13" t="s">
        <v>37</v>
      </c>
      <c r="D22" s="22">
        <v>184</v>
      </c>
      <c r="E22" s="16">
        <v>120</v>
      </c>
      <c r="F22" s="16"/>
      <c r="G22" s="17">
        <f>D22*E22</f>
        <v>22080</v>
      </c>
      <c r="H22" s="16"/>
      <c r="I22" s="8"/>
      <c r="J22" s="6"/>
    </row>
    <row r="23" spans="1:10" ht="24.75" customHeight="1">
      <c r="A23" s="13"/>
      <c r="B23" s="14" t="s">
        <v>38</v>
      </c>
      <c r="C23" s="13" t="s">
        <v>37</v>
      </c>
      <c r="D23" s="22">
        <v>184</v>
      </c>
      <c r="E23" s="16">
        <v>40</v>
      </c>
      <c r="F23" s="16"/>
      <c r="G23" s="17">
        <f>D23*E23</f>
        <v>7360</v>
      </c>
      <c r="H23" s="16"/>
      <c r="I23" s="8"/>
      <c r="J23" s="6"/>
    </row>
    <row r="24" spans="1:10" ht="24.75" customHeight="1">
      <c r="A24" s="13"/>
      <c r="B24" s="14" t="s">
        <v>39</v>
      </c>
      <c r="C24" s="13" t="s">
        <v>40</v>
      </c>
      <c r="D24" s="23">
        <v>2.46</v>
      </c>
      <c r="E24" s="24">
        <v>16000</v>
      </c>
      <c r="F24" s="16"/>
      <c r="G24" s="17">
        <f>D24*E24</f>
        <v>39360</v>
      </c>
      <c r="H24" s="16"/>
      <c r="I24" s="25">
        <f>(96+72)*12.43</f>
        <v>2088.2399999999998</v>
      </c>
      <c r="J24" s="26">
        <f>40*9.19</f>
        <v>367.59999999999997</v>
      </c>
    </row>
    <row r="25" spans="1:10" ht="36.75" customHeight="1">
      <c r="A25" s="27"/>
      <c r="B25" s="28" t="s">
        <v>41</v>
      </c>
      <c r="C25" s="27" t="s">
        <v>37</v>
      </c>
      <c r="D25" s="29">
        <v>204.64</v>
      </c>
      <c r="E25" s="30">
        <v>320</v>
      </c>
      <c r="F25" s="30"/>
      <c r="G25" s="17">
        <f>D25*E25</f>
        <v>65484.799999999996</v>
      </c>
      <c r="H25" s="31"/>
      <c r="I25" s="32" t="s">
        <v>42</v>
      </c>
      <c r="J25" s="6"/>
    </row>
    <row r="26" spans="1:10" ht="13.5" customHeight="1">
      <c r="A26" s="27"/>
      <c r="B26" s="33" t="s">
        <v>43</v>
      </c>
      <c r="C26" s="33" t="s">
        <v>37</v>
      </c>
      <c r="D26" s="671" t="s">
        <v>44</v>
      </c>
      <c r="E26" s="672"/>
      <c r="F26" s="673"/>
      <c r="G26" s="34"/>
      <c r="H26" s="31"/>
      <c r="I26" s="8"/>
      <c r="J26" s="6"/>
    </row>
    <row r="27" spans="1:10" ht="13.65" customHeight="1">
      <c r="A27" s="27"/>
      <c r="B27" s="33" t="s">
        <v>45</v>
      </c>
      <c r="C27" s="33" t="s">
        <v>46</v>
      </c>
      <c r="D27" s="35">
        <v>50</v>
      </c>
      <c r="E27" s="35"/>
      <c r="F27" s="35">
        <v>56.51</v>
      </c>
      <c r="G27" s="34"/>
      <c r="H27" s="21">
        <f t="shared" ref="H27:H32" si="1">D27*F27</f>
        <v>2825.5</v>
      </c>
      <c r="I27" s="8"/>
      <c r="J27" s="6"/>
    </row>
    <row r="28" spans="1:10" ht="30" customHeight="1">
      <c r="A28" s="27"/>
      <c r="B28" s="33" t="s">
        <v>47</v>
      </c>
      <c r="C28" s="33" t="s">
        <v>46</v>
      </c>
      <c r="D28" s="35"/>
      <c r="E28" s="35"/>
      <c r="F28" s="35">
        <v>63.16</v>
      </c>
      <c r="G28" s="34"/>
      <c r="H28" s="21">
        <f t="shared" si="1"/>
        <v>0</v>
      </c>
      <c r="I28" s="32" t="s">
        <v>48</v>
      </c>
      <c r="J28" s="6"/>
    </row>
    <row r="29" spans="1:10" ht="13.65" customHeight="1">
      <c r="A29" s="27"/>
      <c r="B29" s="33" t="s">
        <v>49</v>
      </c>
      <c r="C29" s="33" t="s">
        <v>21</v>
      </c>
      <c r="D29" s="35">
        <v>100</v>
      </c>
      <c r="E29" s="35"/>
      <c r="F29" s="36">
        <v>0.28999999999999998</v>
      </c>
      <c r="G29" s="34"/>
      <c r="H29" s="21">
        <f t="shared" si="1"/>
        <v>28.999999999999996</v>
      </c>
      <c r="I29" s="8"/>
      <c r="J29" s="6"/>
    </row>
    <row r="30" spans="1:10" ht="13.65" customHeight="1">
      <c r="A30" s="27"/>
      <c r="B30" s="33" t="s">
        <v>50</v>
      </c>
      <c r="C30" s="33" t="s">
        <v>21</v>
      </c>
      <c r="D30" s="35">
        <v>100</v>
      </c>
      <c r="E30" s="35"/>
      <c r="F30" s="36">
        <v>0.52</v>
      </c>
      <c r="G30" s="34"/>
      <c r="H30" s="21">
        <f t="shared" si="1"/>
        <v>52</v>
      </c>
      <c r="I30" s="8"/>
      <c r="J30" s="6"/>
    </row>
    <row r="31" spans="1:10" ht="13.65" customHeight="1">
      <c r="A31" s="27"/>
      <c r="B31" s="33" t="s">
        <v>51</v>
      </c>
      <c r="C31" s="33" t="s">
        <v>21</v>
      </c>
      <c r="D31" s="36">
        <v>2046</v>
      </c>
      <c r="E31" s="35"/>
      <c r="F31" s="35">
        <v>0.23</v>
      </c>
      <c r="G31" s="34"/>
      <c r="H31" s="21">
        <f t="shared" si="1"/>
        <v>470.58000000000004</v>
      </c>
      <c r="I31" s="8"/>
      <c r="J31" s="6"/>
    </row>
    <row r="32" spans="1:10" ht="13.65" customHeight="1">
      <c r="A32" s="27"/>
      <c r="B32" s="33" t="s">
        <v>52</v>
      </c>
      <c r="C32" s="33" t="s">
        <v>21</v>
      </c>
      <c r="D32" s="35"/>
      <c r="E32" s="35"/>
      <c r="F32" s="35">
        <v>5.94</v>
      </c>
      <c r="G32" s="34"/>
      <c r="H32" s="21">
        <f t="shared" si="1"/>
        <v>0</v>
      </c>
      <c r="I32" s="8"/>
      <c r="J32" s="6"/>
    </row>
    <row r="33" spans="1:10" ht="15.75" customHeight="1">
      <c r="A33" s="37"/>
      <c r="B33" s="10" t="s">
        <v>53</v>
      </c>
      <c r="C33" s="11"/>
      <c r="D33" s="9"/>
      <c r="E33" s="12"/>
      <c r="F33" s="12"/>
      <c r="G33" s="12"/>
      <c r="H33" s="12"/>
      <c r="I33" s="8"/>
      <c r="J33" s="6"/>
    </row>
    <row r="34" spans="1:10" ht="15.6" customHeight="1">
      <c r="A34" s="37"/>
      <c r="B34" s="38"/>
      <c r="C34" s="11"/>
      <c r="D34" s="9"/>
      <c r="E34" s="12"/>
      <c r="F34" s="12"/>
      <c r="G34" s="12"/>
      <c r="H34" s="12"/>
      <c r="I34" s="8"/>
      <c r="J34" s="6"/>
    </row>
    <row r="35" spans="1:10" ht="30" customHeight="1">
      <c r="A35" s="39"/>
      <c r="B35" s="40" t="s">
        <v>54</v>
      </c>
      <c r="C35" s="14" t="s">
        <v>37</v>
      </c>
      <c r="D35" s="22">
        <v>265</v>
      </c>
      <c r="E35" s="24">
        <v>55</v>
      </c>
      <c r="F35" s="41"/>
      <c r="G35" s="17">
        <f>D35*E35</f>
        <v>14575</v>
      </c>
      <c r="H35" s="42">
        <v>0</v>
      </c>
      <c r="I35" s="8"/>
      <c r="J35" s="6"/>
    </row>
    <row r="36" spans="1:10" ht="38.25" customHeight="1">
      <c r="A36" s="43"/>
      <c r="B36" s="44" t="s">
        <v>55</v>
      </c>
      <c r="C36" s="43" t="s">
        <v>40</v>
      </c>
      <c r="D36" s="45">
        <v>10</v>
      </c>
      <c r="E36" s="46"/>
      <c r="F36" s="46"/>
      <c r="G36" s="17">
        <f>D36*E36</f>
        <v>0</v>
      </c>
      <c r="H36" s="46"/>
      <c r="I36" s="8"/>
      <c r="J36" s="6"/>
    </row>
    <row r="37" spans="1:10" ht="13.65" customHeight="1">
      <c r="A37" s="43"/>
      <c r="B37" s="44" t="s">
        <v>56</v>
      </c>
      <c r="C37" s="43" t="s">
        <v>57</v>
      </c>
      <c r="D37" s="45">
        <v>2</v>
      </c>
      <c r="E37" s="46"/>
      <c r="F37" s="46"/>
      <c r="G37" s="17">
        <f>D37*E37</f>
        <v>0</v>
      </c>
      <c r="H37" s="46"/>
      <c r="I37" s="8"/>
      <c r="J37" s="6"/>
    </row>
    <row r="38" spans="1:10" ht="13.65" customHeight="1">
      <c r="A38" s="47"/>
      <c r="B38" s="48" t="s">
        <v>58</v>
      </c>
      <c r="C38" s="48" t="s">
        <v>21</v>
      </c>
      <c r="D38" s="49">
        <v>200</v>
      </c>
      <c r="E38" s="50"/>
      <c r="F38" s="50">
        <v>6</v>
      </c>
      <c r="G38" s="17"/>
      <c r="H38" s="51">
        <f>D38*F38</f>
        <v>1200</v>
      </c>
      <c r="I38" s="8"/>
      <c r="J38" s="6"/>
    </row>
    <row r="39" spans="1:10" ht="25.5" customHeight="1">
      <c r="A39" s="43"/>
      <c r="B39" s="44" t="s">
        <v>59</v>
      </c>
      <c r="C39" s="43" t="s">
        <v>40</v>
      </c>
      <c r="D39" s="45"/>
      <c r="E39" s="46"/>
      <c r="F39" s="46"/>
      <c r="G39" s="17">
        <f>D39*E39</f>
        <v>0</v>
      </c>
      <c r="H39" s="46"/>
      <c r="I39" s="8"/>
      <c r="J39" s="6"/>
    </row>
    <row r="40" spans="1:10" ht="25.5" customHeight="1">
      <c r="A40" s="43"/>
      <c r="B40" s="44" t="s">
        <v>60</v>
      </c>
      <c r="C40" s="43" t="s">
        <v>61</v>
      </c>
      <c r="D40" s="45">
        <v>32</v>
      </c>
      <c r="E40" s="46">
        <v>700</v>
      </c>
      <c r="F40" s="46"/>
      <c r="G40" s="17">
        <f>D40*E40</f>
        <v>22400</v>
      </c>
      <c r="H40" s="46"/>
      <c r="I40" s="8"/>
      <c r="J40" s="6"/>
    </row>
    <row r="41" spans="1:10" ht="13.65" customHeight="1">
      <c r="A41" s="43"/>
      <c r="B41" s="44" t="s">
        <v>62</v>
      </c>
      <c r="C41" s="43" t="s">
        <v>63</v>
      </c>
      <c r="D41" s="45"/>
      <c r="E41" s="46">
        <v>2200</v>
      </c>
      <c r="F41" s="46"/>
      <c r="G41" s="17">
        <f>D41*E41</f>
        <v>0</v>
      </c>
      <c r="H41" s="46"/>
      <c r="I41" s="8"/>
      <c r="J41" s="6"/>
    </row>
    <row r="42" spans="1:10" ht="13.65" customHeight="1">
      <c r="A42" s="52"/>
      <c r="B42" s="53"/>
      <c r="C42" s="54"/>
      <c r="D42" s="55"/>
      <c r="E42" s="56"/>
      <c r="F42" s="42"/>
      <c r="G42" s="42"/>
      <c r="H42" s="42"/>
      <c r="I42" s="8"/>
      <c r="J42" s="6"/>
    </row>
    <row r="43" spans="1:10" ht="15.75" customHeight="1">
      <c r="A43" s="57"/>
      <c r="B43" s="674"/>
      <c r="C43" s="674"/>
      <c r="D43" s="674"/>
      <c r="E43" s="58"/>
      <c r="F43" s="59"/>
      <c r="G43" s="60"/>
      <c r="H43" s="61"/>
      <c r="I43" s="8"/>
      <c r="J43" s="6"/>
    </row>
    <row r="44" spans="1:10" ht="13.65" customHeight="1">
      <c r="A44" s="47"/>
      <c r="B44" s="675" t="s">
        <v>64</v>
      </c>
      <c r="C44" s="676"/>
      <c r="D44" s="676"/>
      <c r="E44" s="62"/>
      <c r="F44" s="63"/>
      <c r="G44" s="64">
        <f>SUM(G6:G41)</f>
        <v>187509.8</v>
      </c>
      <c r="H44" s="65"/>
      <c r="I44" s="8"/>
      <c r="J44" s="6"/>
    </row>
    <row r="45" spans="1:10" ht="13.65" customHeight="1">
      <c r="A45" s="47"/>
      <c r="B45" s="675" t="s">
        <v>65</v>
      </c>
      <c r="C45" s="676"/>
      <c r="D45" s="676"/>
      <c r="E45" s="62"/>
      <c r="F45" s="63"/>
      <c r="G45" s="64"/>
      <c r="H45" s="64">
        <f>SUM(H7:H42)</f>
        <v>15910.261666666665</v>
      </c>
      <c r="I45" s="8"/>
      <c r="J45" s="6"/>
    </row>
    <row r="46" spans="1:10" ht="13.65" customHeight="1">
      <c r="A46" s="47"/>
      <c r="B46" s="675" t="s">
        <v>66</v>
      </c>
      <c r="C46" s="676"/>
      <c r="D46" s="676"/>
      <c r="E46" s="66">
        <v>0.05</v>
      </c>
      <c r="F46" s="63"/>
      <c r="G46" s="64"/>
      <c r="H46" s="64">
        <f>H45*E46</f>
        <v>795.51308333333327</v>
      </c>
      <c r="I46" s="8"/>
      <c r="J46" s="6"/>
    </row>
    <row r="47" spans="1:10" ht="13.65" customHeight="1">
      <c r="A47" s="47"/>
      <c r="B47" s="675" t="s">
        <v>67</v>
      </c>
      <c r="C47" s="676"/>
      <c r="D47" s="676"/>
      <c r="E47" s="66">
        <v>0.1</v>
      </c>
      <c r="F47" s="63"/>
      <c r="G47" s="64"/>
      <c r="H47" s="64">
        <f>G44*E47</f>
        <v>18750.98</v>
      </c>
      <c r="I47" s="8"/>
      <c r="J47" s="6"/>
    </row>
    <row r="48" spans="1:10" ht="13.65" customHeight="1">
      <c r="A48" s="47"/>
      <c r="B48" s="675" t="s">
        <v>68</v>
      </c>
      <c r="C48" s="676"/>
      <c r="D48" s="676"/>
      <c r="E48" s="67">
        <v>0.05</v>
      </c>
      <c r="F48" s="63"/>
      <c r="G48" s="64"/>
      <c r="H48" s="64">
        <f>H45*E48</f>
        <v>795.51308333333327</v>
      </c>
      <c r="I48" s="8"/>
      <c r="J48" s="6"/>
    </row>
    <row r="49" spans="1:10" ht="13.65" customHeight="1">
      <c r="A49" s="47"/>
      <c r="B49" s="677" t="s">
        <v>69</v>
      </c>
      <c r="C49" s="678"/>
      <c r="D49" s="678"/>
      <c r="E49" s="678"/>
      <c r="F49" s="678"/>
      <c r="G49" s="679"/>
      <c r="H49" s="68">
        <f>SUM(G44:H48)</f>
        <v>223762.06783333331</v>
      </c>
      <c r="I49" s="8"/>
      <c r="J49" s="6"/>
    </row>
    <row r="50" spans="1:10" ht="13.65" customHeight="1">
      <c r="A50" s="47"/>
      <c r="B50" s="69" t="s">
        <v>70</v>
      </c>
      <c r="C50" s="17"/>
      <c r="D50" s="16"/>
      <c r="E50" s="16"/>
      <c r="F50" s="17"/>
      <c r="G50" s="70">
        <v>0.2</v>
      </c>
      <c r="H50" s="17">
        <f>(H45+H48)/5</f>
        <v>3341.1549499999992</v>
      </c>
      <c r="I50" s="8"/>
      <c r="J50" s="6"/>
    </row>
    <row r="51" spans="1:10" ht="13.65" customHeight="1">
      <c r="A51" s="47"/>
      <c r="B51" s="664" t="s">
        <v>71</v>
      </c>
      <c r="C51" s="665"/>
      <c r="D51" s="665"/>
      <c r="E51" s="665"/>
      <c r="F51" s="665"/>
      <c r="G51" s="666"/>
      <c r="H51" s="71">
        <f>H49+H50</f>
        <v>227103.2227833333</v>
      </c>
      <c r="I51" s="8"/>
      <c r="J51" s="6"/>
    </row>
    <row r="52" spans="1:10" ht="13.65" customHeight="1">
      <c r="A52" s="72"/>
      <c r="B52" s="73"/>
      <c r="C52" s="73"/>
      <c r="D52" s="74"/>
      <c r="E52" s="75"/>
      <c r="F52" s="73"/>
      <c r="G52" s="73"/>
      <c r="H52" s="73"/>
      <c r="I52" s="6"/>
      <c r="J52" s="6"/>
    </row>
    <row r="53" spans="1:10" ht="13.65" customHeight="1">
      <c r="A53" s="76"/>
      <c r="B53" s="77"/>
      <c r="C53" s="77"/>
      <c r="D53" s="78"/>
      <c r="E53" s="79"/>
      <c r="F53" s="77"/>
      <c r="G53" s="77"/>
      <c r="H53" s="77"/>
      <c r="I53" s="6"/>
      <c r="J53" s="6"/>
    </row>
    <row r="54" spans="1:10" ht="13.65" customHeight="1">
      <c r="A54" s="76"/>
      <c r="B54" s="77"/>
      <c r="C54" s="77"/>
      <c r="D54" s="78"/>
      <c r="E54" s="79"/>
      <c r="F54" s="77"/>
      <c r="G54" s="77"/>
      <c r="H54" s="77"/>
      <c r="I54" s="6"/>
      <c r="J54" s="6"/>
    </row>
    <row r="55" spans="1:10" ht="13.65" customHeight="1">
      <c r="A55" s="76"/>
      <c r="B55" s="77"/>
      <c r="C55" s="77"/>
      <c r="D55" s="78"/>
      <c r="E55" s="79"/>
      <c r="F55" s="77"/>
      <c r="G55" s="77"/>
      <c r="H55" s="77"/>
      <c r="I55" s="6"/>
      <c r="J55" s="6"/>
    </row>
  </sheetData>
  <mergeCells count="12">
    <mergeCell ref="B51:G51"/>
    <mergeCell ref="A1:H1"/>
    <mergeCell ref="A2:H2"/>
    <mergeCell ref="A3:H3"/>
    <mergeCell ref="D26:F26"/>
    <mergeCell ref="B43:D43"/>
    <mergeCell ref="B44:D44"/>
    <mergeCell ref="B45:D45"/>
    <mergeCell ref="B46:D46"/>
    <mergeCell ref="B47:D47"/>
    <mergeCell ref="B48:D48"/>
    <mergeCell ref="B49:G49"/>
  </mergeCell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C132"/>
  <sheetViews>
    <sheetView showGridLines="0" workbookViewId="0">
      <selection activeCell="A36" sqref="A36:XFD79"/>
    </sheetView>
  </sheetViews>
  <sheetFormatPr defaultColWidth="8.88671875" defaultRowHeight="15" customHeight="1"/>
  <cols>
    <col min="1" max="1" width="9.109375" style="5" customWidth="1"/>
    <col min="2" max="2" width="40.88671875" style="5" customWidth="1"/>
    <col min="3" max="3" width="9.109375" style="5" customWidth="1"/>
    <col min="4" max="4" width="10.6640625" style="5" hidden="1" customWidth="1"/>
    <col min="5" max="5" width="11" style="5" hidden="1" customWidth="1"/>
    <col min="6" max="6" width="11.109375" style="5" hidden="1" customWidth="1"/>
    <col min="7" max="7" width="11.88671875" style="5" hidden="1" customWidth="1"/>
    <col min="8" max="8" width="10.88671875" style="5" hidden="1" customWidth="1"/>
    <col min="9" max="9" width="8.44140625" style="5" hidden="1" customWidth="1"/>
    <col min="10" max="10" width="10.109375" style="5" hidden="1" customWidth="1"/>
    <col min="11" max="11" width="10.44140625" style="5" hidden="1" customWidth="1"/>
    <col min="12" max="12" width="11.44140625" style="5" hidden="1" customWidth="1"/>
    <col min="13" max="13" width="12.109375" style="5" hidden="1" customWidth="1"/>
    <col min="14" max="14" width="10.6640625" style="5" hidden="1" customWidth="1"/>
    <col min="15" max="15" width="11" style="5" hidden="1" customWidth="1"/>
    <col min="16" max="16" width="11.109375" style="5" hidden="1" customWidth="1"/>
    <col min="17" max="17" width="11.88671875" style="5" hidden="1" customWidth="1"/>
    <col min="18" max="18" width="10.88671875" style="5" hidden="1" customWidth="1"/>
    <col min="19" max="19" width="10.6640625" style="5" hidden="1" customWidth="1"/>
    <col min="20" max="20" width="11" style="5" hidden="1" customWidth="1"/>
    <col min="21" max="21" width="11.109375" style="5" hidden="1" customWidth="1"/>
    <col min="22" max="22" width="11.88671875" style="5" hidden="1" customWidth="1"/>
    <col min="23" max="23" width="10.88671875" style="5" hidden="1" customWidth="1"/>
    <col min="24" max="24" width="10.6640625" style="5" customWidth="1"/>
    <col min="25" max="25" width="11" style="5" customWidth="1"/>
    <col min="26" max="26" width="11.109375" style="5" customWidth="1"/>
    <col min="27" max="27" width="11.88671875" style="5" customWidth="1"/>
    <col min="28" max="28" width="10.88671875" style="5" customWidth="1"/>
    <col min="29" max="16384" width="8.88671875" style="5"/>
  </cols>
  <sheetData>
    <row r="1" spans="1:29" s="409" customFormat="1" ht="16.649999999999999" customHeight="1">
      <c r="A1" s="688" t="s">
        <v>73</v>
      </c>
      <c r="B1" s="688"/>
      <c r="C1" s="688"/>
      <c r="D1" s="688"/>
      <c r="E1" s="688"/>
      <c r="F1" s="688"/>
      <c r="G1" s="688"/>
      <c r="H1" s="688"/>
      <c r="I1" s="688"/>
      <c r="J1" s="688"/>
      <c r="K1" s="688"/>
      <c r="L1" s="688"/>
      <c r="M1" s="688"/>
      <c r="N1" s="688"/>
      <c r="O1" s="688"/>
      <c r="P1" s="688"/>
      <c r="Q1" s="688"/>
      <c r="R1" s="688"/>
      <c r="S1" s="688"/>
      <c r="T1" s="688"/>
      <c r="U1" s="688"/>
      <c r="V1" s="688"/>
      <c r="W1" s="688"/>
      <c r="X1" s="688"/>
      <c r="Y1" s="430"/>
      <c r="Z1" s="238"/>
      <c r="AA1" s="238"/>
      <c r="AB1" s="238"/>
    </row>
    <row r="2" spans="1:29" s="409" customFormat="1" ht="16.649999999999999" customHeight="1">
      <c r="A2" s="688" t="s">
        <v>74</v>
      </c>
      <c r="B2" s="688"/>
      <c r="C2" s="688"/>
      <c r="D2" s="688"/>
      <c r="E2" s="688"/>
      <c r="F2" s="688"/>
      <c r="G2" s="688"/>
      <c r="H2" s="688"/>
      <c r="I2" s="688"/>
      <c r="J2" s="688"/>
      <c r="K2" s="688"/>
      <c r="L2" s="688"/>
      <c r="M2" s="688"/>
      <c r="N2" s="688"/>
      <c r="O2" s="688"/>
      <c r="P2" s="688"/>
      <c r="Q2" s="688"/>
      <c r="R2" s="688"/>
      <c r="S2" s="688"/>
      <c r="T2" s="688"/>
      <c r="U2" s="688"/>
      <c r="V2" s="688"/>
      <c r="W2" s="688"/>
      <c r="X2" s="688"/>
      <c r="Y2" s="688"/>
      <c r="Z2" s="688"/>
      <c r="AA2" s="688"/>
      <c r="AB2" s="238"/>
    </row>
    <row r="3" spans="1:29" s="409" customFormat="1" ht="16.649999999999999" customHeight="1">
      <c r="A3" s="431"/>
      <c r="B3" s="431"/>
      <c r="C3" s="422"/>
      <c r="D3" s="422"/>
      <c r="E3" s="422"/>
      <c r="F3" s="238"/>
      <c r="G3" s="238"/>
      <c r="H3" s="238"/>
      <c r="I3" s="422"/>
      <c r="J3" s="422"/>
      <c r="K3" s="238"/>
      <c r="L3" s="238"/>
      <c r="M3" s="238"/>
      <c r="N3" s="422"/>
      <c r="O3" s="422"/>
      <c r="P3" s="238"/>
      <c r="Q3" s="238"/>
      <c r="R3" s="238"/>
      <c r="S3" s="422"/>
      <c r="T3" s="422"/>
      <c r="U3" s="238"/>
      <c r="V3" s="238"/>
      <c r="W3" s="238"/>
      <c r="X3" s="422"/>
      <c r="Y3" s="422"/>
      <c r="Z3" s="238"/>
      <c r="AA3" s="238"/>
      <c r="AB3" s="238"/>
    </row>
    <row r="4" spans="1:29" s="409" customFormat="1" ht="16.649999999999999" customHeight="1">
      <c r="A4" s="688" t="s">
        <v>75</v>
      </c>
      <c r="B4" s="689"/>
      <c r="C4" s="689"/>
      <c r="D4" s="689"/>
      <c r="E4" s="432"/>
      <c r="F4" s="238"/>
      <c r="G4" s="238"/>
      <c r="H4" s="238"/>
      <c r="I4" s="238"/>
      <c r="J4" s="432"/>
      <c r="K4" s="238"/>
      <c r="L4" s="238"/>
      <c r="M4" s="238"/>
      <c r="N4" s="238"/>
      <c r="O4" s="432"/>
      <c r="P4" s="238"/>
      <c r="Q4" s="238"/>
      <c r="R4" s="238"/>
      <c r="S4" s="433"/>
      <c r="T4" s="432"/>
      <c r="U4" s="238"/>
      <c r="V4" s="238"/>
      <c r="W4" s="238"/>
      <c r="Y4" s="432"/>
      <c r="Z4" s="238"/>
      <c r="AA4" s="238"/>
      <c r="AB4" s="238"/>
    </row>
    <row r="5" spans="1:29" s="409" customFormat="1" ht="16.649999999999999" customHeight="1">
      <c r="A5" s="688" t="s">
        <v>76</v>
      </c>
      <c r="B5" s="688"/>
      <c r="C5" s="688"/>
      <c r="D5" s="688"/>
      <c r="E5" s="688"/>
      <c r="F5" s="688"/>
      <c r="G5" s="688"/>
      <c r="H5" s="688"/>
      <c r="I5" s="688"/>
      <c r="J5" s="688"/>
      <c r="K5" s="688"/>
      <c r="L5" s="688"/>
      <c r="M5" s="688"/>
      <c r="N5" s="688"/>
      <c r="O5" s="688"/>
      <c r="P5" s="688"/>
      <c r="Q5" s="688"/>
      <c r="R5" s="688"/>
      <c r="S5" s="688"/>
      <c r="T5" s="688"/>
      <c r="U5" s="688"/>
      <c r="V5" s="688"/>
      <c r="W5" s="688"/>
      <c r="X5" s="688"/>
      <c r="Y5" s="432"/>
      <c r="Z5" s="238"/>
      <c r="AA5" s="238"/>
      <c r="AB5" s="238"/>
    </row>
    <row r="6" spans="1:29" s="409" customFormat="1" ht="15.6" customHeight="1">
      <c r="A6" s="431"/>
      <c r="B6" s="434"/>
      <c r="C6" s="432"/>
      <c r="D6" s="432"/>
      <c r="E6" s="432"/>
      <c r="F6" s="238"/>
      <c r="G6" s="238"/>
      <c r="H6" s="238"/>
      <c r="I6" s="432"/>
      <c r="J6" s="432"/>
      <c r="K6" s="238"/>
      <c r="L6" s="238"/>
      <c r="M6" s="238"/>
      <c r="N6" s="432"/>
      <c r="O6" s="432"/>
      <c r="P6" s="238"/>
      <c r="Q6" s="238"/>
      <c r="R6" s="238"/>
      <c r="S6" s="432"/>
      <c r="T6" s="432"/>
      <c r="U6" s="238"/>
      <c r="V6" s="238"/>
      <c r="W6" s="238"/>
      <c r="X6" s="432"/>
      <c r="Y6" s="432"/>
      <c r="Z6" s="238"/>
      <c r="AA6" s="238"/>
      <c r="AB6" s="238"/>
    </row>
    <row r="7" spans="1:29" s="409" customFormat="1" ht="15.9" customHeight="1">
      <c r="A7" s="435" t="s">
        <v>77</v>
      </c>
      <c r="B7" s="436"/>
      <c r="C7" s="436"/>
      <c r="D7" s="436"/>
      <c r="E7" s="437"/>
      <c r="F7" s="438"/>
      <c r="G7" s="438"/>
      <c r="H7" s="438"/>
      <c r="I7" s="436"/>
      <c r="J7" s="437"/>
      <c r="K7" s="438"/>
      <c r="L7" s="438"/>
      <c r="M7" s="438"/>
      <c r="N7" s="436"/>
      <c r="O7" s="437"/>
      <c r="P7" s="438"/>
      <c r="Q7" s="438"/>
      <c r="R7" s="438"/>
    </row>
    <row r="8" spans="1:29" s="409" customFormat="1" ht="13.2" customHeight="1">
      <c r="A8" s="439"/>
      <c r="B8" s="238"/>
      <c r="C8" s="238"/>
      <c r="D8" s="440"/>
      <c r="E8" s="441"/>
      <c r="F8" s="686"/>
      <c r="G8" s="686"/>
      <c r="H8" s="686"/>
      <c r="I8" s="440"/>
      <c r="J8" s="441"/>
      <c r="K8" s="686"/>
      <c r="L8" s="686"/>
      <c r="M8" s="686"/>
      <c r="N8" s="440"/>
      <c r="O8" s="441"/>
      <c r="P8" s="686"/>
      <c r="Q8" s="686"/>
      <c r="R8" s="686"/>
      <c r="S8" s="440"/>
      <c r="T8" s="441"/>
      <c r="U8" s="686"/>
      <c r="V8" s="686"/>
      <c r="W8" s="686"/>
      <c r="X8" s="440"/>
      <c r="Y8" s="441"/>
      <c r="Z8" s="686"/>
      <c r="AA8" s="686"/>
      <c r="AB8" s="686"/>
    </row>
    <row r="9" spans="1:29" s="409" customFormat="1" ht="15.75" customHeight="1">
      <c r="A9" s="690" t="s">
        <v>444</v>
      </c>
      <c r="B9" s="691"/>
      <c r="C9" s="691"/>
      <c r="D9" s="691"/>
      <c r="E9" s="691"/>
      <c r="F9" s="691"/>
      <c r="G9" s="691"/>
      <c r="H9" s="691"/>
      <c r="I9" s="424"/>
      <c r="J9" s="424"/>
      <c r="K9" s="424"/>
      <c r="L9" s="424"/>
      <c r="M9" s="425"/>
      <c r="N9" s="424"/>
      <c r="O9" s="424"/>
      <c r="P9" s="424"/>
      <c r="Q9" s="424"/>
      <c r="R9" s="424"/>
    </row>
    <row r="10" spans="1:29" s="409" customFormat="1" ht="15.75" customHeight="1">
      <c r="A10" s="690" t="s">
        <v>78</v>
      </c>
      <c r="B10" s="691"/>
      <c r="C10" s="691"/>
      <c r="D10" s="691"/>
      <c r="E10" s="691"/>
      <c r="F10" s="691"/>
      <c r="G10" s="691"/>
      <c r="H10" s="691"/>
      <c r="I10" s="424"/>
      <c r="J10" s="424"/>
      <c r="K10" s="424"/>
      <c r="L10" s="424"/>
      <c r="M10" s="425"/>
      <c r="N10" s="424"/>
      <c r="O10" s="424"/>
      <c r="P10" s="424"/>
      <c r="Q10" s="424"/>
      <c r="R10" s="424"/>
    </row>
    <row r="11" spans="1:29" s="409" customFormat="1" ht="15.75" customHeight="1">
      <c r="A11" s="690" t="s">
        <v>79</v>
      </c>
      <c r="B11" s="691"/>
      <c r="C11" s="691"/>
      <c r="D11" s="691"/>
      <c r="E11" s="691"/>
      <c r="F11" s="691"/>
      <c r="G11" s="691"/>
      <c r="H11" s="691"/>
      <c r="I11" s="424"/>
      <c r="J11" s="424"/>
      <c r="K11" s="424"/>
      <c r="L11" s="424"/>
      <c r="M11" s="425"/>
      <c r="N11" s="424"/>
      <c r="O11" s="424"/>
      <c r="P11" s="424"/>
      <c r="Q11" s="424"/>
      <c r="R11" s="424"/>
    </row>
    <row r="12" spans="1:29" s="409" customFormat="1" ht="15.75" customHeight="1">
      <c r="A12" s="404"/>
      <c r="B12" s="442"/>
      <c r="C12" s="442"/>
      <c r="D12" s="440"/>
      <c r="E12" s="441"/>
      <c r="F12" s="443"/>
      <c r="G12" s="443"/>
      <c r="H12" s="441"/>
      <c r="I12" s="692" t="s">
        <v>80</v>
      </c>
      <c r="J12" s="693"/>
      <c r="K12" s="693"/>
      <c r="L12" s="693"/>
      <c r="M12" s="693"/>
      <c r="N12" s="692" t="s">
        <v>81</v>
      </c>
      <c r="O12" s="693"/>
      <c r="P12" s="693"/>
      <c r="Q12" s="693"/>
      <c r="R12" s="693"/>
      <c r="S12" s="440"/>
      <c r="T12" s="441"/>
      <c r="U12" s="443"/>
      <c r="V12" s="443"/>
      <c r="W12" s="444">
        <v>44535</v>
      </c>
      <c r="X12" s="687" t="s">
        <v>502</v>
      </c>
      <c r="Y12" s="687"/>
      <c r="Z12" s="687"/>
      <c r="AA12" s="687"/>
      <c r="AB12" s="687"/>
    </row>
    <row r="13" spans="1:29" s="409" customFormat="1" ht="36" customHeight="1">
      <c r="A13" s="452" t="s">
        <v>9</v>
      </c>
      <c r="B13" s="452" t="s">
        <v>10</v>
      </c>
      <c r="C13" s="452" t="s">
        <v>11</v>
      </c>
      <c r="D13" s="453" t="s">
        <v>12</v>
      </c>
      <c r="E13" s="453" t="s">
        <v>13</v>
      </c>
      <c r="F13" s="453" t="s">
        <v>14</v>
      </c>
      <c r="G13" s="453" t="s">
        <v>15</v>
      </c>
      <c r="H13" s="453" t="s">
        <v>16</v>
      </c>
      <c r="I13" s="453" t="s">
        <v>12</v>
      </c>
      <c r="J13" s="453" t="s">
        <v>13</v>
      </c>
      <c r="K13" s="453" t="s">
        <v>14</v>
      </c>
      <c r="L13" s="453" t="s">
        <v>15</v>
      </c>
      <c r="M13" s="453" t="s">
        <v>16</v>
      </c>
      <c r="N13" s="453" t="s">
        <v>12</v>
      </c>
      <c r="O13" s="453" t="s">
        <v>13</v>
      </c>
      <c r="P13" s="453" t="s">
        <v>14</v>
      </c>
      <c r="Q13" s="453" t="s">
        <v>15</v>
      </c>
      <c r="R13" s="453" t="s">
        <v>16</v>
      </c>
      <c r="S13" s="453" t="s">
        <v>12</v>
      </c>
      <c r="T13" s="453" t="s">
        <v>13</v>
      </c>
      <c r="U13" s="453" t="s">
        <v>14</v>
      </c>
      <c r="V13" s="453" t="s">
        <v>15</v>
      </c>
      <c r="W13" s="453" t="s">
        <v>16</v>
      </c>
      <c r="X13" s="453" t="s">
        <v>12</v>
      </c>
      <c r="Y13" s="453" t="s">
        <v>13</v>
      </c>
      <c r="Z13" s="453" t="s">
        <v>14</v>
      </c>
      <c r="AA13" s="453" t="s">
        <v>15</v>
      </c>
      <c r="AB13" s="453" t="s">
        <v>16</v>
      </c>
    </row>
    <row r="14" spans="1:29" ht="15.75" customHeight="1">
      <c r="A14" s="445"/>
      <c r="B14" s="446" t="s">
        <v>82</v>
      </c>
      <c r="C14" s="447"/>
      <c r="D14" s="448"/>
      <c r="E14" s="449"/>
      <c r="F14" s="450"/>
      <c r="G14" s="450"/>
      <c r="H14" s="451"/>
      <c r="I14" s="448"/>
      <c r="J14" s="449"/>
      <c r="K14" s="450"/>
      <c r="L14" s="450"/>
      <c r="M14" s="451"/>
      <c r="N14" s="448"/>
      <c r="O14" s="449"/>
      <c r="P14" s="450"/>
      <c r="Q14" s="450"/>
      <c r="R14" s="451"/>
      <c r="S14" s="448"/>
      <c r="T14" s="449"/>
      <c r="U14" s="450"/>
      <c r="V14" s="450"/>
      <c r="W14" s="451"/>
      <c r="X14" s="448"/>
      <c r="Y14" s="449"/>
      <c r="Z14" s="450"/>
      <c r="AA14" s="450"/>
      <c r="AB14" s="451"/>
    </row>
    <row r="15" spans="1:29" ht="31.5" customHeight="1">
      <c r="A15" s="103"/>
      <c r="B15" s="110" t="s">
        <v>83</v>
      </c>
      <c r="C15" s="111" t="s">
        <v>40</v>
      </c>
      <c r="D15" s="106">
        <v>3.2</v>
      </c>
      <c r="E15" s="107">
        <f t="shared" ref="E15:O15" si="0">28000*1.2</f>
        <v>33600</v>
      </c>
      <c r="F15" s="108"/>
      <c r="G15" s="108">
        <f>D15*E15</f>
        <v>107520</v>
      </c>
      <c r="H15" s="109"/>
      <c r="I15" s="112">
        <v>1.71</v>
      </c>
      <c r="J15" s="107">
        <f t="shared" si="0"/>
        <v>33600</v>
      </c>
      <c r="K15" s="108"/>
      <c r="L15" s="108">
        <f>I15*J15</f>
        <v>57456</v>
      </c>
      <c r="M15" s="109"/>
      <c r="N15" s="106"/>
      <c r="O15" s="107">
        <f t="shared" si="0"/>
        <v>33600</v>
      </c>
      <c r="P15" s="108"/>
      <c r="Q15" s="108">
        <f>N15*O15</f>
        <v>0</v>
      </c>
      <c r="R15" s="109"/>
      <c r="S15" s="106"/>
      <c r="T15" s="107">
        <f t="shared" ref="T15" si="1">28000*1.2</f>
        <v>33600</v>
      </c>
      <c r="U15" s="108"/>
      <c r="V15" s="108">
        <f>S15*T15</f>
        <v>0</v>
      </c>
      <c r="W15" s="109"/>
      <c r="X15" s="106"/>
      <c r="Y15" s="107">
        <f t="shared" ref="Y15" si="2">28000*1.2</f>
        <v>33600</v>
      </c>
      <c r="Z15" s="108"/>
      <c r="AA15" s="108">
        <f>X15*Y15</f>
        <v>0</v>
      </c>
      <c r="AB15" s="109"/>
      <c r="AC15" s="406"/>
    </row>
    <row r="16" spans="1:29" ht="15.75" customHeight="1">
      <c r="A16" s="103"/>
      <c r="B16" s="113" t="s">
        <v>84</v>
      </c>
      <c r="C16" s="111" t="s">
        <v>40</v>
      </c>
      <c r="D16" s="106">
        <f>0.0095*1.05*66</f>
        <v>0.65834999999999999</v>
      </c>
      <c r="E16" s="107"/>
      <c r="F16" s="108">
        <v>36124</v>
      </c>
      <c r="G16" s="108"/>
      <c r="H16" s="109">
        <f>D16*F16</f>
        <v>23782.235400000001</v>
      </c>
      <c r="I16" s="106"/>
      <c r="J16" s="107"/>
      <c r="K16" s="108">
        <v>36124</v>
      </c>
      <c r="L16" s="108"/>
      <c r="M16" s="109">
        <f>I16*K16</f>
        <v>0</v>
      </c>
      <c r="N16" s="106"/>
      <c r="O16" s="107"/>
      <c r="P16" s="108">
        <v>36124</v>
      </c>
      <c r="Q16" s="108"/>
      <c r="R16" s="109">
        <f>N16*P16</f>
        <v>0</v>
      </c>
      <c r="S16" s="106"/>
      <c r="T16" s="107"/>
      <c r="U16" s="108">
        <v>36124</v>
      </c>
      <c r="V16" s="108"/>
      <c r="W16" s="109">
        <f>S16*U16</f>
        <v>0</v>
      </c>
      <c r="X16" s="106"/>
      <c r="Y16" s="107"/>
      <c r="Z16" s="108">
        <v>36124</v>
      </c>
      <c r="AA16" s="108"/>
      <c r="AB16" s="109">
        <f>X16*Z16</f>
        <v>0</v>
      </c>
      <c r="AC16" s="406"/>
    </row>
    <row r="17" spans="1:29" ht="15.75" customHeight="1">
      <c r="A17" s="103"/>
      <c r="B17" s="113" t="s">
        <v>85</v>
      </c>
      <c r="C17" s="111" t="s">
        <v>37</v>
      </c>
      <c r="D17" s="106">
        <v>1.5</v>
      </c>
      <c r="E17" s="107"/>
      <c r="F17" s="108">
        <f t="shared" ref="F17:P17" si="3">1450/1.2</f>
        <v>1208.3333333333335</v>
      </c>
      <c r="G17" s="108"/>
      <c r="H17" s="109">
        <f>D17*F17</f>
        <v>1812.5000000000002</v>
      </c>
      <c r="I17" s="106">
        <v>0.5</v>
      </c>
      <c r="J17" s="107"/>
      <c r="K17" s="108">
        <f t="shared" si="3"/>
        <v>1208.3333333333335</v>
      </c>
      <c r="L17" s="108"/>
      <c r="M17" s="109">
        <f>I17*K17</f>
        <v>604.16666666666674</v>
      </c>
      <c r="N17" s="106"/>
      <c r="O17" s="107"/>
      <c r="P17" s="108">
        <f t="shared" si="3"/>
        <v>1208.3333333333335</v>
      </c>
      <c r="Q17" s="108"/>
      <c r="R17" s="109">
        <f>N17*P17</f>
        <v>0</v>
      </c>
      <c r="S17" s="106"/>
      <c r="T17" s="107"/>
      <c r="U17" s="108">
        <f t="shared" ref="U17" si="4">1450/1.2</f>
        <v>1208.3333333333335</v>
      </c>
      <c r="V17" s="108"/>
      <c r="W17" s="109">
        <f>S17*U17</f>
        <v>0</v>
      </c>
      <c r="X17" s="106"/>
      <c r="Y17" s="107"/>
      <c r="Z17" s="108">
        <f t="shared" ref="Z17" si="5">1450/1.2</f>
        <v>1208.3333333333335</v>
      </c>
      <c r="AA17" s="108"/>
      <c r="AB17" s="109">
        <f>X17*Z17</f>
        <v>0</v>
      </c>
      <c r="AC17" s="406"/>
    </row>
    <row r="18" spans="1:29" ht="15.75" customHeight="1">
      <c r="A18" s="103"/>
      <c r="B18" s="113" t="s">
        <v>86</v>
      </c>
      <c r="C18" s="111" t="s">
        <v>21</v>
      </c>
      <c r="D18" s="106">
        <f t="shared" ref="D18:I18" si="6">7*8+1*4</f>
        <v>60</v>
      </c>
      <c r="E18" s="107"/>
      <c r="F18" s="108">
        <v>42.96</v>
      </c>
      <c r="G18" s="108"/>
      <c r="H18" s="109">
        <f>D18*F18</f>
        <v>2577.6</v>
      </c>
      <c r="I18" s="106">
        <f t="shared" si="6"/>
        <v>60</v>
      </c>
      <c r="J18" s="107"/>
      <c r="K18" s="108">
        <v>42.96</v>
      </c>
      <c r="L18" s="108"/>
      <c r="M18" s="109">
        <f>I18*K18</f>
        <v>2577.6</v>
      </c>
      <c r="N18" s="106"/>
      <c r="O18" s="107"/>
      <c r="P18" s="108">
        <v>42.96</v>
      </c>
      <c r="Q18" s="108"/>
      <c r="R18" s="109">
        <f>N18*P18</f>
        <v>0</v>
      </c>
      <c r="S18" s="106"/>
      <c r="T18" s="107"/>
      <c r="U18" s="108">
        <v>42.96</v>
      </c>
      <c r="V18" s="108"/>
      <c r="W18" s="109">
        <f>S18*U18</f>
        <v>0</v>
      </c>
      <c r="X18" s="106"/>
      <c r="Y18" s="107"/>
      <c r="Z18" s="108">
        <v>42.96</v>
      </c>
      <c r="AA18" s="108"/>
      <c r="AB18" s="109">
        <f>X18*Z18</f>
        <v>0</v>
      </c>
      <c r="AC18" s="406"/>
    </row>
    <row r="19" spans="1:29" ht="15.75" customHeight="1">
      <c r="A19" s="103"/>
      <c r="B19" s="113" t="s">
        <v>87</v>
      </c>
      <c r="C19" s="111" t="s">
        <v>88</v>
      </c>
      <c r="D19" s="106">
        <v>15</v>
      </c>
      <c r="E19" s="107"/>
      <c r="F19" s="108">
        <v>89.19</v>
      </c>
      <c r="G19" s="108"/>
      <c r="H19" s="109">
        <f>D19*F19</f>
        <v>1337.85</v>
      </c>
      <c r="I19" s="106">
        <v>7.5</v>
      </c>
      <c r="J19" s="107"/>
      <c r="K19" s="108">
        <v>89.19</v>
      </c>
      <c r="L19" s="108"/>
      <c r="M19" s="109">
        <f>I19*K19</f>
        <v>668.92499999999995</v>
      </c>
      <c r="N19" s="106"/>
      <c r="O19" s="107"/>
      <c r="P19" s="108">
        <v>89.19</v>
      </c>
      <c r="Q19" s="108"/>
      <c r="R19" s="109">
        <f>N19*P19</f>
        <v>0</v>
      </c>
      <c r="S19" s="106"/>
      <c r="T19" s="107"/>
      <c r="U19" s="108">
        <v>89.19</v>
      </c>
      <c r="V19" s="108"/>
      <c r="W19" s="109">
        <f>S19*U19</f>
        <v>0</v>
      </c>
      <c r="X19" s="106"/>
      <c r="Y19" s="107"/>
      <c r="Z19" s="108">
        <v>89.19</v>
      </c>
      <c r="AA19" s="108"/>
      <c r="AB19" s="109">
        <f>X19*Z19</f>
        <v>0</v>
      </c>
      <c r="AC19" s="406"/>
    </row>
    <row r="20" spans="1:29" ht="15.75" customHeight="1">
      <c r="A20" s="103"/>
      <c r="B20" s="113" t="s">
        <v>89</v>
      </c>
      <c r="C20" s="111" t="s">
        <v>21</v>
      </c>
      <c r="D20" s="106">
        <v>15</v>
      </c>
      <c r="E20" s="107"/>
      <c r="F20" s="108">
        <v>42.16</v>
      </c>
      <c r="G20" s="108"/>
      <c r="H20" s="109">
        <f>D20*F20</f>
        <v>632.4</v>
      </c>
      <c r="I20" s="106">
        <v>5</v>
      </c>
      <c r="J20" s="107"/>
      <c r="K20" s="108">
        <v>42.16</v>
      </c>
      <c r="L20" s="108"/>
      <c r="M20" s="109">
        <f>I20*K20</f>
        <v>210.79999999999998</v>
      </c>
      <c r="N20" s="106"/>
      <c r="O20" s="107"/>
      <c r="P20" s="108">
        <v>42.16</v>
      </c>
      <c r="Q20" s="108"/>
      <c r="R20" s="109">
        <f>N20*P20</f>
        <v>0</v>
      </c>
      <c r="S20" s="106"/>
      <c r="T20" s="107"/>
      <c r="U20" s="108">
        <v>42.16</v>
      </c>
      <c r="V20" s="108"/>
      <c r="W20" s="109">
        <f>S20*U20</f>
        <v>0</v>
      </c>
      <c r="X20" s="106"/>
      <c r="Y20" s="107"/>
      <c r="Z20" s="108">
        <v>42.16</v>
      </c>
      <c r="AA20" s="108"/>
      <c r="AB20" s="109">
        <f>X20*Z20</f>
        <v>0</v>
      </c>
      <c r="AC20" s="406"/>
    </row>
    <row r="21" spans="1:29" ht="15.75" customHeight="1">
      <c r="A21" s="103"/>
      <c r="B21" s="114" t="s">
        <v>90</v>
      </c>
      <c r="C21" s="111" t="s">
        <v>37</v>
      </c>
      <c r="D21" s="106">
        <v>51</v>
      </c>
      <c r="E21" s="107">
        <v>90</v>
      </c>
      <c r="F21" s="108"/>
      <c r="G21" s="108">
        <f>D21*E21</f>
        <v>4590</v>
      </c>
      <c r="H21" s="109"/>
      <c r="I21" s="112">
        <v>48.62</v>
      </c>
      <c r="J21" s="107">
        <v>90</v>
      </c>
      <c r="K21" s="108"/>
      <c r="L21" s="108">
        <f>I21*J21</f>
        <v>4375.8</v>
      </c>
      <c r="M21" s="109"/>
      <c r="N21" s="106"/>
      <c r="O21" s="107">
        <v>90</v>
      </c>
      <c r="P21" s="108"/>
      <c r="Q21" s="108">
        <f>N21*O21</f>
        <v>0</v>
      </c>
      <c r="R21" s="109"/>
      <c r="S21" s="106"/>
      <c r="T21" s="107">
        <v>90</v>
      </c>
      <c r="U21" s="108"/>
      <c r="V21" s="108">
        <f>S21*T21</f>
        <v>0</v>
      </c>
      <c r="W21" s="109"/>
      <c r="X21" s="106"/>
      <c r="Y21" s="107">
        <v>90</v>
      </c>
      <c r="Z21" s="108"/>
      <c r="AA21" s="108">
        <f>X21*Y21</f>
        <v>0</v>
      </c>
      <c r="AB21" s="109"/>
      <c r="AC21" s="406"/>
    </row>
    <row r="22" spans="1:29" ht="15.75" customHeight="1">
      <c r="A22" s="103"/>
      <c r="B22" s="113" t="s">
        <v>91</v>
      </c>
      <c r="C22" s="111" t="s">
        <v>92</v>
      </c>
      <c r="D22" s="106">
        <f>D21*0.2</f>
        <v>10.200000000000001</v>
      </c>
      <c r="E22" s="107"/>
      <c r="F22" s="108">
        <v>56</v>
      </c>
      <c r="G22" s="108"/>
      <c r="H22" s="109">
        <f>D22*F22</f>
        <v>571.20000000000005</v>
      </c>
      <c r="I22" s="106">
        <f>I21*0.2</f>
        <v>9.7240000000000002</v>
      </c>
      <c r="J22" s="107"/>
      <c r="K22" s="108">
        <v>56</v>
      </c>
      <c r="L22" s="108"/>
      <c r="M22" s="109">
        <f>I22*K22</f>
        <v>544.54399999999998</v>
      </c>
      <c r="N22" s="106"/>
      <c r="O22" s="107"/>
      <c r="P22" s="108">
        <v>56</v>
      </c>
      <c r="Q22" s="108"/>
      <c r="R22" s="109">
        <f>N22*P22</f>
        <v>0</v>
      </c>
      <c r="S22" s="106"/>
      <c r="T22" s="107"/>
      <c r="U22" s="108">
        <v>56</v>
      </c>
      <c r="V22" s="108"/>
      <c r="W22" s="109">
        <f>S22*U22</f>
        <v>0</v>
      </c>
      <c r="X22" s="106"/>
      <c r="Y22" s="107"/>
      <c r="Z22" s="108">
        <v>56</v>
      </c>
      <c r="AA22" s="108"/>
      <c r="AB22" s="109">
        <f>X22*Z22</f>
        <v>0</v>
      </c>
      <c r="AC22" s="406"/>
    </row>
    <row r="23" spans="1:29" ht="15.75" customHeight="1">
      <c r="A23" s="103"/>
      <c r="B23" s="113" t="s">
        <v>93</v>
      </c>
      <c r="C23" s="111" t="s">
        <v>92</v>
      </c>
      <c r="D23" s="106">
        <v>4</v>
      </c>
      <c r="E23" s="107"/>
      <c r="F23" s="108">
        <v>54</v>
      </c>
      <c r="G23" s="108"/>
      <c r="H23" s="109">
        <f>D23*F23</f>
        <v>216</v>
      </c>
      <c r="I23" s="106">
        <v>4</v>
      </c>
      <c r="J23" s="107"/>
      <c r="K23" s="108">
        <v>54</v>
      </c>
      <c r="L23" s="108"/>
      <c r="M23" s="109">
        <f>I23*K23</f>
        <v>216</v>
      </c>
      <c r="N23" s="106"/>
      <c r="O23" s="107"/>
      <c r="P23" s="108">
        <v>54</v>
      </c>
      <c r="Q23" s="108"/>
      <c r="R23" s="109">
        <f>N23*P23</f>
        <v>0</v>
      </c>
      <c r="S23" s="106"/>
      <c r="T23" s="107"/>
      <c r="U23" s="108">
        <v>54</v>
      </c>
      <c r="V23" s="108"/>
      <c r="W23" s="109">
        <f>S23*U23</f>
        <v>0</v>
      </c>
      <c r="X23" s="106"/>
      <c r="Y23" s="107"/>
      <c r="Z23" s="108">
        <v>54</v>
      </c>
      <c r="AA23" s="108"/>
      <c r="AB23" s="109">
        <f>X23*Z23</f>
        <v>0</v>
      </c>
      <c r="AC23" s="406"/>
    </row>
    <row r="24" spans="1:29" ht="14.4" customHeight="1">
      <c r="A24" s="115"/>
      <c r="B24" s="116"/>
      <c r="C24" s="117"/>
      <c r="D24" s="118"/>
      <c r="E24" s="119"/>
      <c r="F24" s="119"/>
      <c r="G24" s="119"/>
      <c r="H24" s="120"/>
      <c r="I24" s="121"/>
      <c r="J24" s="119"/>
      <c r="K24" s="119"/>
      <c r="L24" s="119"/>
      <c r="M24" s="120"/>
      <c r="N24" s="121"/>
      <c r="O24" s="119"/>
      <c r="P24" s="119"/>
      <c r="Q24" s="119"/>
      <c r="R24" s="120"/>
      <c r="S24" s="118"/>
      <c r="T24" s="119"/>
      <c r="U24" s="119"/>
      <c r="V24" s="119"/>
      <c r="W24" s="120"/>
      <c r="X24" s="118"/>
      <c r="Y24" s="119"/>
      <c r="Z24" s="119"/>
      <c r="AA24" s="119"/>
      <c r="AB24" s="120"/>
      <c r="AC24" s="406"/>
    </row>
    <row r="25" spans="1:29" ht="14.4" customHeight="1">
      <c r="A25" s="115"/>
      <c r="B25" s="122"/>
      <c r="C25" s="123"/>
      <c r="D25" s="124"/>
      <c r="E25" s="125"/>
      <c r="F25" s="125"/>
      <c r="G25" s="125"/>
      <c r="H25" s="126"/>
      <c r="I25" s="127"/>
      <c r="J25" s="125"/>
      <c r="K25" s="125"/>
      <c r="L25" s="125"/>
      <c r="M25" s="126"/>
      <c r="N25" s="127"/>
      <c r="O25" s="125"/>
      <c r="P25" s="125"/>
      <c r="Q25" s="125"/>
      <c r="R25" s="126"/>
      <c r="S25" s="124"/>
      <c r="T25" s="125"/>
      <c r="U25" s="125"/>
      <c r="V25" s="125"/>
      <c r="W25" s="126"/>
      <c r="X25" s="124"/>
      <c r="Y25" s="125"/>
      <c r="Z25" s="125"/>
      <c r="AA25" s="125"/>
      <c r="AB25" s="126"/>
      <c r="AC25" s="406"/>
    </row>
    <row r="26" spans="1:29" ht="15.75" customHeight="1">
      <c r="A26" s="103"/>
      <c r="B26" s="104" t="s">
        <v>94</v>
      </c>
      <c r="C26" s="105"/>
      <c r="D26" s="106"/>
      <c r="E26" s="107"/>
      <c r="F26" s="108"/>
      <c r="G26" s="108"/>
      <c r="H26" s="109"/>
      <c r="I26" s="106"/>
      <c r="J26" s="107"/>
      <c r="K26" s="108"/>
      <c r="L26" s="108"/>
      <c r="M26" s="109"/>
      <c r="N26" s="106"/>
      <c r="O26" s="107"/>
      <c r="P26" s="108"/>
      <c r="Q26" s="108"/>
      <c r="R26" s="109"/>
      <c r="S26" s="106"/>
      <c r="T26" s="107"/>
      <c r="U26" s="108"/>
      <c r="V26" s="108"/>
      <c r="W26" s="109"/>
      <c r="X26" s="106"/>
      <c r="Y26" s="107"/>
      <c r="Z26" s="108"/>
      <c r="AA26" s="108"/>
      <c r="AB26" s="109"/>
      <c r="AC26" s="406"/>
    </row>
    <row r="27" spans="1:29" ht="25.5" customHeight="1">
      <c r="A27" s="115"/>
      <c r="B27" s="44" t="s">
        <v>95</v>
      </c>
      <c r="C27" s="43" t="s">
        <v>37</v>
      </c>
      <c r="D27" s="128">
        <v>269.12</v>
      </c>
      <c r="E27" s="129">
        <f t="shared" ref="E27:O27" si="7">320+40*2</f>
        <v>400</v>
      </c>
      <c r="F27" s="129"/>
      <c r="G27" s="129">
        <f>D27*E27</f>
        <v>107648</v>
      </c>
      <c r="H27" s="130"/>
      <c r="I27" s="131">
        <v>141.30000000000001</v>
      </c>
      <c r="J27" s="129">
        <f t="shared" si="7"/>
        <v>400</v>
      </c>
      <c r="K27" s="129"/>
      <c r="L27" s="129">
        <f>I27*J27</f>
        <v>56520.000000000007</v>
      </c>
      <c r="M27" s="130"/>
      <c r="N27" s="128">
        <f>24.15+5.55</f>
        <v>29.7</v>
      </c>
      <c r="O27" s="129">
        <f t="shared" si="7"/>
        <v>400</v>
      </c>
      <c r="P27" s="129"/>
      <c r="Q27" s="129">
        <f>N27*O27</f>
        <v>11880</v>
      </c>
      <c r="R27" s="132"/>
      <c r="S27" s="128">
        <v>12</v>
      </c>
      <c r="T27" s="129">
        <f t="shared" ref="T27" si="8">320+40*2</f>
        <v>400</v>
      </c>
      <c r="U27" s="129"/>
      <c r="V27" s="129">
        <f>S27*T27</f>
        <v>4800</v>
      </c>
      <c r="W27" s="130"/>
      <c r="X27" s="128">
        <v>8.1999999999999993</v>
      </c>
      <c r="Y27" s="129">
        <f t="shared" ref="Y27" si="9">320+40*2</f>
        <v>400</v>
      </c>
      <c r="Z27" s="129"/>
      <c r="AA27" s="129">
        <f>X27*Y27</f>
        <v>3279.9999999999995</v>
      </c>
      <c r="AB27" s="130"/>
      <c r="AC27" s="406"/>
    </row>
    <row r="28" spans="1:29" ht="25.5" customHeight="1">
      <c r="A28" s="115"/>
      <c r="B28" s="48" t="s">
        <v>43</v>
      </c>
      <c r="C28" s="48" t="s">
        <v>37</v>
      </c>
      <c r="D28" s="133">
        <v>1130</v>
      </c>
      <c r="E28" s="134"/>
      <c r="F28" s="134">
        <v>49</v>
      </c>
      <c r="G28" s="135"/>
      <c r="H28" s="130">
        <f t="shared" ref="H28:H36" si="10">F28*D28</f>
        <v>55370</v>
      </c>
      <c r="I28" s="133">
        <f>I27*2.05*2</f>
        <v>579.33000000000004</v>
      </c>
      <c r="J28" s="134"/>
      <c r="K28" s="134">
        <v>49</v>
      </c>
      <c r="L28" s="135"/>
      <c r="M28" s="130">
        <f t="shared" ref="M28:M36" si="11">K28*I28</f>
        <v>28387.170000000002</v>
      </c>
      <c r="N28" s="133">
        <v>124.74</v>
      </c>
      <c r="O28" s="134"/>
      <c r="P28" s="134">
        <v>49</v>
      </c>
      <c r="Q28" s="135"/>
      <c r="R28" s="132">
        <f t="shared" ref="R28:R36" si="12">P28*N28</f>
        <v>6112.2599999999993</v>
      </c>
      <c r="S28" s="133">
        <f>S27*2.05*2</f>
        <v>49.199999999999996</v>
      </c>
      <c r="T28" s="134"/>
      <c r="U28" s="134">
        <v>49</v>
      </c>
      <c r="V28" s="135"/>
      <c r="W28" s="130">
        <f t="shared" ref="W28:W36" si="13">U28*S28</f>
        <v>2410.7999999999997</v>
      </c>
      <c r="X28" s="133">
        <f>X27*2.05*2</f>
        <v>33.619999999999997</v>
      </c>
      <c r="Y28" s="134"/>
      <c r="Z28" s="134">
        <v>49</v>
      </c>
      <c r="AA28" s="135"/>
      <c r="AB28" s="130">
        <f t="shared" ref="AB28:AB36" si="14">Z28*X28</f>
        <v>1647.3799999999999</v>
      </c>
      <c r="AC28" s="406"/>
    </row>
    <row r="29" spans="1:29" ht="13.65" customHeight="1">
      <c r="A29" s="115"/>
      <c r="B29" s="48" t="s">
        <v>96</v>
      </c>
      <c r="C29" s="48" t="s">
        <v>46</v>
      </c>
      <c r="D29" s="133">
        <f>D27*1.4</f>
        <v>376.76799999999997</v>
      </c>
      <c r="E29" s="134"/>
      <c r="F29" s="134">
        <v>56.51</v>
      </c>
      <c r="G29" s="135"/>
      <c r="H29" s="130">
        <f t="shared" si="10"/>
        <v>21291.159679999997</v>
      </c>
      <c r="I29" s="133">
        <f>I27*1.4</f>
        <v>197.82</v>
      </c>
      <c r="J29" s="134"/>
      <c r="K29" s="134">
        <v>56.51</v>
      </c>
      <c r="L29" s="135"/>
      <c r="M29" s="130">
        <f t="shared" si="11"/>
        <v>11178.808199999999</v>
      </c>
      <c r="N29" s="133">
        <v>20.79</v>
      </c>
      <c r="O29" s="134"/>
      <c r="P29" s="134">
        <v>56.51</v>
      </c>
      <c r="Q29" s="135"/>
      <c r="R29" s="132">
        <f t="shared" si="12"/>
        <v>1174.8428999999999</v>
      </c>
      <c r="S29" s="133">
        <f>S27*1.4</f>
        <v>16.799999999999997</v>
      </c>
      <c r="T29" s="134"/>
      <c r="U29" s="134">
        <v>56.51</v>
      </c>
      <c r="V29" s="135"/>
      <c r="W29" s="130">
        <f t="shared" si="13"/>
        <v>949.36799999999982</v>
      </c>
      <c r="X29" s="133">
        <f>X27*1.4</f>
        <v>11.479999999999999</v>
      </c>
      <c r="Y29" s="134"/>
      <c r="Z29" s="134">
        <v>56.51</v>
      </c>
      <c r="AA29" s="135"/>
      <c r="AB29" s="130">
        <f t="shared" si="14"/>
        <v>648.73479999999995</v>
      </c>
      <c r="AC29" s="406"/>
    </row>
    <row r="30" spans="1:29" ht="13.65" customHeight="1">
      <c r="A30" s="115"/>
      <c r="B30" s="48" t="s">
        <v>47</v>
      </c>
      <c r="C30" s="48" t="s">
        <v>46</v>
      </c>
      <c r="D30" s="133">
        <f>D27*3.2</f>
        <v>861.18400000000008</v>
      </c>
      <c r="E30" s="134"/>
      <c r="F30" s="134">
        <v>63.16</v>
      </c>
      <c r="G30" s="135"/>
      <c r="H30" s="130">
        <f t="shared" si="10"/>
        <v>54392.381440000005</v>
      </c>
      <c r="I30" s="133">
        <f>I27*3.2</f>
        <v>452.16000000000008</v>
      </c>
      <c r="J30" s="134"/>
      <c r="K30" s="134">
        <v>63.16</v>
      </c>
      <c r="L30" s="135"/>
      <c r="M30" s="130">
        <f t="shared" si="11"/>
        <v>28558.425600000002</v>
      </c>
      <c r="N30" s="133">
        <f>N27*2.5*1.1</f>
        <v>81.675000000000011</v>
      </c>
      <c r="O30" s="134"/>
      <c r="P30" s="134">
        <v>63.16</v>
      </c>
      <c r="Q30" s="135"/>
      <c r="R30" s="132">
        <f t="shared" si="12"/>
        <v>5158.5930000000008</v>
      </c>
      <c r="S30" s="133">
        <f>S27*3.2</f>
        <v>38.400000000000006</v>
      </c>
      <c r="T30" s="134"/>
      <c r="U30" s="134">
        <v>63.16</v>
      </c>
      <c r="V30" s="135"/>
      <c r="W30" s="130">
        <f t="shared" si="13"/>
        <v>2425.3440000000001</v>
      </c>
      <c r="X30" s="133">
        <f>X27*3.2</f>
        <v>26.24</v>
      </c>
      <c r="Y30" s="134"/>
      <c r="Z30" s="134">
        <v>63.16</v>
      </c>
      <c r="AA30" s="135"/>
      <c r="AB30" s="130">
        <f t="shared" si="14"/>
        <v>1657.3183999999999</v>
      </c>
      <c r="AC30" s="406"/>
    </row>
    <row r="31" spans="1:29" ht="13.65" customHeight="1">
      <c r="A31" s="115"/>
      <c r="B31" s="48" t="s">
        <v>97</v>
      </c>
      <c r="C31" s="48" t="s">
        <v>46</v>
      </c>
      <c r="D31" s="133">
        <v>150</v>
      </c>
      <c r="E31" s="134"/>
      <c r="F31" s="134">
        <v>4.2</v>
      </c>
      <c r="G31" s="135"/>
      <c r="H31" s="130">
        <f t="shared" si="10"/>
        <v>630</v>
      </c>
      <c r="I31" s="133">
        <v>90</v>
      </c>
      <c r="J31" s="134"/>
      <c r="K31" s="134">
        <v>4.2</v>
      </c>
      <c r="L31" s="135"/>
      <c r="M31" s="130">
        <f t="shared" si="11"/>
        <v>378</v>
      </c>
      <c r="N31" s="133">
        <v>36</v>
      </c>
      <c r="O31" s="134"/>
      <c r="P31" s="134">
        <v>4.2</v>
      </c>
      <c r="Q31" s="135"/>
      <c r="R31" s="132">
        <f t="shared" si="12"/>
        <v>151.20000000000002</v>
      </c>
      <c r="S31" s="133">
        <v>12</v>
      </c>
      <c r="T31" s="134"/>
      <c r="U31" s="134">
        <v>4.2</v>
      </c>
      <c r="V31" s="135"/>
      <c r="W31" s="130">
        <f t="shared" si="13"/>
        <v>50.400000000000006</v>
      </c>
      <c r="X31" s="133">
        <v>9</v>
      </c>
      <c r="Y31" s="134"/>
      <c r="Z31" s="134">
        <v>4.2</v>
      </c>
      <c r="AA31" s="135"/>
      <c r="AB31" s="130">
        <f t="shared" si="14"/>
        <v>37.800000000000004</v>
      </c>
      <c r="AC31" s="406"/>
    </row>
    <row r="32" spans="1:29" ht="13.65" customHeight="1">
      <c r="A32" s="115"/>
      <c r="B32" s="48" t="s">
        <v>49</v>
      </c>
      <c r="C32" s="48" t="s">
        <v>21</v>
      </c>
      <c r="D32" s="133">
        <v>404</v>
      </c>
      <c r="E32" s="134"/>
      <c r="F32" s="134">
        <v>0.28999999999999998</v>
      </c>
      <c r="G32" s="135"/>
      <c r="H32" s="130">
        <f t="shared" si="10"/>
        <v>117.16</v>
      </c>
      <c r="I32" s="133">
        <v>240</v>
      </c>
      <c r="J32" s="134"/>
      <c r="K32" s="134">
        <v>0.28999999999999998</v>
      </c>
      <c r="L32" s="135"/>
      <c r="M32" s="130">
        <f t="shared" si="11"/>
        <v>69.599999999999994</v>
      </c>
      <c r="N32" s="133">
        <v>45</v>
      </c>
      <c r="O32" s="134"/>
      <c r="P32" s="134">
        <v>0.28999999999999998</v>
      </c>
      <c r="Q32" s="135"/>
      <c r="R32" s="132">
        <f t="shared" si="12"/>
        <v>13.049999999999999</v>
      </c>
      <c r="S32" s="133">
        <v>96</v>
      </c>
      <c r="T32" s="134"/>
      <c r="U32" s="134">
        <v>0.28999999999999998</v>
      </c>
      <c r="V32" s="135"/>
      <c r="W32" s="130">
        <f t="shared" si="13"/>
        <v>27.839999999999996</v>
      </c>
      <c r="X32" s="133">
        <v>41</v>
      </c>
      <c r="Y32" s="134"/>
      <c r="Z32" s="134">
        <v>0.28999999999999998</v>
      </c>
      <c r="AA32" s="135"/>
      <c r="AB32" s="130">
        <f t="shared" si="14"/>
        <v>11.889999999999999</v>
      </c>
      <c r="AC32" s="406"/>
    </row>
    <row r="33" spans="1:29" ht="13.65" customHeight="1">
      <c r="A33" s="115"/>
      <c r="B33" s="48" t="s">
        <v>98</v>
      </c>
      <c r="C33" s="48" t="s">
        <v>21</v>
      </c>
      <c r="D33" s="133">
        <v>1453</v>
      </c>
      <c r="E33" s="134"/>
      <c r="F33" s="134">
        <v>0.09</v>
      </c>
      <c r="G33" s="135"/>
      <c r="H33" s="130">
        <f t="shared" si="10"/>
        <v>130.76999999999998</v>
      </c>
      <c r="I33" s="133">
        <v>1000</v>
      </c>
      <c r="J33" s="134"/>
      <c r="K33" s="134">
        <v>0.09</v>
      </c>
      <c r="L33" s="135"/>
      <c r="M33" s="130">
        <f t="shared" si="11"/>
        <v>90</v>
      </c>
      <c r="N33" s="133">
        <v>80</v>
      </c>
      <c r="O33" s="134"/>
      <c r="P33" s="134">
        <v>0.09</v>
      </c>
      <c r="Q33" s="135"/>
      <c r="R33" s="132">
        <f t="shared" si="12"/>
        <v>7.1999999999999993</v>
      </c>
      <c r="S33" s="133">
        <f>S27*8</f>
        <v>96</v>
      </c>
      <c r="T33" s="134"/>
      <c r="U33" s="134">
        <v>0.09</v>
      </c>
      <c r="V33" s="135"/>
      <c r="W33" s="130">
        <f t="shared" si="13"/>
        <v>8.64</v>
      </c>
      <c r="X33" s="133">
        <v>80</v>
      </c>
      <c r="Y33" s="134"/>
      <c r="Z33" s="134">
        <v>0.09</v>
      </c>
      <c r="AA33" s="135"/>
      <c r="AB33" s="130">
        <f t="shared" si="14"/>
        <v>7.1999999999999993</v>
      </c>
      <c r="AC33" s="406"/>
    </row>
    <row r="34" spans="1:29" ht="13.65" customHeight="1">
      <c r="A34" s="115"/>
      <c r="B34" s="48" t="s">
        <v>51</v>
      </c>
      <c r="C34" s="48" t="s">
        <v>21</v>
      </c>
      <c r="D34" s="133">
        <f>D27*20</f>
        <v>5382.4</v>
      </c>
      <c r="E34" s="134"/>
      <c r="F34" s="134">
        <v>0.23</v>
      </c>
      <c r="G34" s="135"/>
      <c r="H34" s="130">
        <f t="shared" si="10"/>
        <v>1237.952</v>
      </c>
      <c r="I34" s="133">
        <f>I27*20</f>
        <v>2826</v>
      </c>
      <c r="J34" s="134"/>
      <c r="K34" s="134">
        <v>0.23</v>
      </c>
      <c r="L34" s="135"/>
      <c r="M34" s="130">
        <f t="shared" si="11"/>
        <v>649.98</v>
      </c>
      <c r="N34" s="133">
        <v>416</v>
      </c>
      <c r="O34" s="134"/>
      <c r="P34" s="134">
        <v>0.23</v>
      </c>
      <c r="Q34" s="135"/>
      <c r="R34" s="132">
        <f t="shared" si="12"/>
        <v>95.68</v>
      </c>
      <c r="S34" s="133">
        <f>S27*20</f>
        <v>240</v>
      </c>
      <c r="T34" s="134"/>
      <c r="U34" s="134">
        <v>0.23</v>
      </c>
      <c r="V34" s="135"/>
      <c r="W34" s="130">
        <f t="shared" si="13"/>
        <v>55.2</v>
      </c>
      <c r="X34" s="133">
        <f>X27*20</f>
        <v>164</v>
      </c>
      <c r="Y34" s="134"/>
      <c r="Z34" s="134">
        <v>0.23</v>
      </c>
      <c r="AA34" s="135"/>
      <c r="AB34" s="130">
        <f t="shared" si="14"/>
        <v>37.72</v>
      </c>
      <c r="AC34" s="406"/>
    </row>
    <row r="35" spans="1:29" ht="13.65" customHeight="1">
      <c r="A35" s="115"/>
      <c r="B35" s="48" t="s">
        <v>99</v>
      </c>
      <c r="C35" s="48" t="s">
        <v>21</v>
      </c>
      <c r="D35" s="133">
        <f>D27*20</f>
        <v>5382.4</v>
      </c>
      <c r="E35" s="134"/>
      <c r="F35" s="134">
        <v>0.23</v>
      </c>
      <c r="G35" s="135"/>
      <c r="H35" s="130">
        <f t="shared" si="10"/>
        <v>1237.952</v>
      </c>
      <c r="I35" s="133">
        <f>I27*20</f>
        <v>2826</v>
      </c>
      <c r="J35" s="134"/>
      <c r="K35" s="134">
        <v>0.23</v>
      </c>
      <c r="L35" s="135"/>
      <c r="M35" s="130">
        <f t="shared" si="11"/>
        <v>649.98</v>
      </c>
      <c r="N35" s="133">
        <v>891</v>
      </c>
      <c r="O35" s="134"/>
      <c r="P35" s="134">
        <v>0.23</v>
      </c>
      <c r="Q35" s="135"/>
      <c r="R35" s="132">
        <f t="shared" si="12"/>
        <v>204.93</v>
      </c>
      <c r="S35" s="133">
        <f>S27*20</f>
        <v>240</v>
      </c>
      <c r="T35" s="134"/>
      <c r="U35" s="134">
        <v>0.23</v>
      </c>
      <c r="V35" s="135"/>
      <c r="W35" s="130">
        <f t="shared" si="13"/>
        <v>55.2</v>
      </c>
      <c r="X35" s="133">
        <f>X27*20</f>
        <v>164</v>
      </c>
      <c r="Y35" s="134"/>
      <c r="Z35" s="134">
        <v>0.23</v>
      </c>
      <c r="AA35" s="135"/>
      <c r="AB35" s="130">
        <f t="shared" si="14"/>
        <v>37.72</v>
      </c>
      <c r="AC35" s="406"/>
    </row>
    <row r="36" spans="1:29" ht="13.65" customHeight="1">
      <c r="A36" s="115"/>
      <c r="B36" s="48" t="s">
        <v>52</v>
      </c>
      <c r="C36" s="48" t="s">
        <v>21</v>
      </c>
      <c r="D36" s="133">
        <v>28</v>
      </c>
      <c r="E36" s="134"/>
      <c r="F36" s="134">
        <v>5.94</v>
      </c>
      <c r="G36" s="135"/>
      <c r="H36" s="130">
        <f t="shared" si="10"/>
        <v>166.32000000000002</v>
      </c>
      <c r="I36" s="133">
        <v>15</v>
      </c>
      <c r="J36" s="134"/>
      <c r="K36" s="134">
        <v>5.94</v>
      </c>
      <c r="L36" s="135"/>
      <c r="M36" s="130">
        <f t="shared" si="11"/>
        <v>89.100000000000009</v>
      </c>
      <c r="N36" s="136"/>
      <c r="O36" s="134"/>
      <c r="P36" s="134">
        <v>5.94</v>
      </c>
      <c r="Q36" s="135"/>
      <c r="R36" s="132">
        <f t="shared" si="12"/>
        <v>0</v>
      </c>
      <c r="S36" s="133">
        <v>4</v>
      </c>
      <c r="T36" s="134"/>
      <c r="U36" s="134">
        <v>5.94</v>
      </c>
      <c r="V36" s="135"/>
      <c r="W36" s="130">
        <f t="shared" si="13"/>
        <v>23.76</v>
      </c>
      <c r="X36" s="133"/>
      <c r="Y36" s="134"/>
      <c r="Z36" s="134">
        <v>5.94</v>
      </c>
      <c r="AA36" s="135"/>
      <c r="AB36" s="130">
        <f t="shared" si="14"/>
        <v>0</v>
      </c>
      <c r="AC36" s="406"/>
    </row>
    <row r="37" spans="1:29" ht="25.5" customHeight="1">
      <c r="A37" s="115"/>
      <c r="B37" s="44" t="s">
        <v>100</v>
      </c>
      <c r="C37" s="43" t="s">
        <v>37</v>
      </c>
      <c r="D37" s="128">
        <v>9.1999999999999993</v>
      </c>
      <c r="E37" s="129">
        <f>E27*1.2</f>
        <v>480</v>
      </c>
      <c r="F37" s="129"/>
      <c r="G37" s="129">
        <f>D37*E37</f>
        <v>4416</v>
      </c>
      <c r="H37" s="130"/>
      <c r="I37" s="128">
        <v>9.1999999999999993</v>
      </c>
      <c r="J37" s="129">
        <f>J27*1.2</f>
        <v>480</v>
      </c>
      <c r="K37" s="129"/>
      <c r="L37" s="129">
        <f>I37*J37</f>
        <v>4416</v>
      </c>
      <c r="M37" s="130"/>
      <c r="N37" s="137"/>
      <c r="O37" s="129">
        <f>O27*1.2</f>
        <v>480</v>
      </c>
      <c r="P37" s="129"/>
      <c r="Q37" s="129">
        <f>N37*O37</f>
        <v>0</v>
      </c>
      <c r="R37" s="132"/>
      <c r="S37" s="128"/>
      <c r="T37" s="129">
        <f>T27*1.2</f>
        <v>480</v>
      </c>
      <c r="U37" s="129"/>
      <c r="V37" s="129">
        <f>S37*T37</f>
        <v>0</v>
      </c>
      <c r="W37" s="130"/>
      <c r="X37" s="128"/>
      <c r="Y37" s="129">
        <f>Y27*1.2</f>
        <v>480</v>
      </c>
      <c r="Z37" s="129"/>
      <c r="AA37" s="129">
        <f>X37*Y37</f>
        <v>0</v>
      </c>
      <c r="AB37" s="130"/>
      <c r="AC37" s="406"/>
    </row>
    <row r="38" spans="1:29" ht="25.5" customHeight="1">
      <c r="A38" s="115"/>
      <c r="B38" s="48" t="s">
        <v>43</v>
      </c>
      <c r="C38" s="48" t="s">
        <v>37</v>
      </c>
      <c r="D38" s="133">
        <f>D37*2.05*2</f>
        <v>37.719999999999992</v>
      </c>
      <c r="E38" s="134"/>
      <c r="F38" s="134">
        <v>49</v>
      </c>
      <c r="G38" s="135"/>
      <c r="H38" s="130">
        <f t="shared" ref="H38:H46" si="15">F38*D38</f>
        <v>1848.2799999999995</v>
      </c>
      <c r="I38" s="133">
        <f>I37*2.05*2</f>
        <v>37.719999999999992</v>
      </c>
      <c r="J38" s="134"/>
      <c r="K38" s="134">
        <v>49</v>
      </c>
      <c r="L38" s="135"/>
      <c r="M38" s="130">
        <f t="shared" ref="M38:M46" si="16">K38*I38</f>
        <v>1848.2799999999995</v>
      </c>
      <c r="N38" s="136"/>
      <c r="O38" s="134"/>
      <c r="P38" s="134">
        <v>49</v>
      </c>
      <c r="Q38" s="135"/>
      <c r="R38" s="132">
        <f t="shared" ref="R38:R46" si="17">P38*N38</f>
        <v>0</v>
      </c>
      <c r="S38" s="133"/>
      <c r="T38" s="134"/>
      <c r="U38" s="134">
        <v>49</v>
      </c>
      <c r="V38" s="135"/>
      <c r="W38" s="130">
        <f t="shared" ref="W38:W46" si="18">U38*S38</f>
        <v>0</v>
      </c>
      <c r="X38" s="133"/>
      <c r="Y38" s="134"/>
      <c r="Z38" s="134">
        <v>49</v>
      </c>
      <c r="AA38" s="135"/>
      <c r="AB38" s="130">
        <f t="shared" ref="AB38:AB46" si="19">Z38*X38</f>
        <v>0</v>
      </c>
      <c r="AC38" s="406"/>
    </row>
    <row r="39" spans="1:29" ht="13.65" customHeight="1">
      <c r="A39" s="115"/>
      <c r="B39" s="48" t="s">
        <v>96</v>
      </c>
      <c r="C39" s="48" t="s">
        <v>46</v>
      </c>
      <c r="D39" s="133">
        <f>D37*1.4</f>
        <v>12.879999999999999</v>
      </c>
      <c r="E39" s="134"/>
      <c r="F39" s="134">
        <v>56.51</v>
      </c>
      <c r="G39" s="135"/>
      <c r="H39" s="130">
        <f t="shared" si="15"/>
        <v>727.84879999999987</v>
      </c>
      <c r="I39" s="133">
        <f>I37*1.4</f>
        <v>12.879999999999999</v>
      </c>
      <c r="J39" s="134"/>
      <c r="K39" s="134">
        <v>56.51</v>
      </c>
      <c r="L39" s="135"/>
      <c r="M39" s="130">
        <f t="shared" si="16"/>
        <v>727.84879999999987</v>
      </c>
      <c r="N39" s="136"/>
      <c r="O39" s="134"/>
      <c r="P39" s="134">
        <v>56.51</v>
      </c>
      <c r="Q39" s="135"/>
      <c r="R39" s="132">
        <f t="shared" si="17"/>
        <v>0</v>
      </c>
      <c r="S39" s="133"/>
      <c r="T39" s="134"/>
      <c r="U39" s="134">
        <v>56.51</v>
      </c>
      <c r="V39" s="135"/>
      <c r="W39" s="130">
        <f t="shared" si="18"/>
        <v>0</v>
      </c>
      <c r="X39" s="133"/>
      <c r="Y39" s="134"/>
      <c r="Z39" s="134">
        <v>56.51</v>
      </c>
      <c r="AA39" s="135"/>
      <c r="AB39" s="130">
        <f t="shared" si="19"/>
        <v>0</v>
      </c>
      <c r="AC39" s="406"/>
    </row>
    <row r="40" spans="1:29" ht="13.65" customHeight="1">
      <c r="A40" s="115"/>
      <c r="B40" s="48" t="s">
        <v>47</v>
      </c>
      <c r="C40" s="48" t="s">
        <v>46</v>
      </c>
      <c r="D40" s="133">
        <f>D37*8</f>
        <v>73.599999999999994</v>
      </c>
      <c r="E40" s="134"/>
      <c r="F40" s="134">
        <v>63.16</v>
      </c>
      <c r="G40" s="135"/>
      <c r="H40" s="130">
        <f t="shared" si="15"/>
        <v>4648.5759999999991</v>
      </c>
      <c r="I40" s="133">
        <f>I37*8</f>
        <v>73.599999999999994</v>
      </c>
      <c r="J40" s="134"/>
      <c r="K40" s="134">
        <v>63.16</v>
      </c>
      <c r="L40" s="135"/>
      <c r="M40" s="130">
        <f t="shared" si="16"/>
        <v>4648.5759999999991</v>
      </c>
      <c r="N40" s="136"/>
      <c r="O40" s="134"/>
      <c r="P40" s="134">
        <v>63.16</v>
      </c>
      <c r="Q40" s="135"/>
      <c r="R40" s="132">
        <f t="shared" si="17"/>
        <v>0</v>
      </c>
      <c r="S40" s="133"/>
      <c r="T40" s="134"/>
      <c r="U40" s="134">
        <v>63.16</v>
      </c>
      <c r="V40" s="135"/>
      <c r="W40" s="130">
        <f t="shared" si="18"/>
        <v>0</v>
      </c>
      <c r="X40" s="133"/>
      <c r="Y40" s="134"/>
      <c r="Z40" s="134">
        <v>63.16</v>
      </c>
      <c r="AA40" s="135"/>
      <c r="AB40" s="130">
        <f t="shared" si="19"/>
        <v>0</v>
      </c>
      <c r="AC40" s="406"/>
    </row>
    <row r="41" spans="1:29" ht="13.65" customHeight="1">
      <c r="A41" s="115"/>
      <c r="B41" s="48" t="s">
        <v>97</v>
      </c>
      <c r="C41" s="48" t="s">
        <v>46</v>
      </c>
      <c r="D41" s="133">
        <v>10</v>
      </c>
      <c r="E41" s="134"/>
      <c r="F41" s="134">
        <v>4.2</v>
      </c>
      <c r="G41" s="135"/>
      <c r="H41" s="130">
        <f t="shared" si="15"/>
        <v>42</v>
      </c>
      <c r="I41" s="133">
        <v>10</v>
      </c>
      <c r="J41" s="134"/>
      <c r="K41" s="134">
        <v>4.2</v>
      </c>
      <c r="L41" s="135"/>
      <c r="M41" s="130">
        <f t="shared" si="16"/>
        <v>42</v>
      </c>
      <c r="N41" s="136"/>
      <c r="O41" s="134"/>
      <c r="P41" s="134">
        <v>4.2</v>
      </c>
      <c r="Q41" s="135"/>
      <c r="R41" s="132">
        <f t="shared" si="17"/>
        <v>0</v>
      </c>
      <c r="S41" s="133"/>
      <c r="T41" s="134"/>
      <c r="U41" s="134">
        <v>4.2</v>
      </c>
      <c r="V41" s="135"/>
      <c r="W41" s="130">
        <f t="shared" si="18"/>
        <v>0</v>
      </c>
      <c r="X41" s="133"/>
      <c r="Y41" s="134"/>
      <c r="Z41" s="134">
        <v>4.2</v>
      </c>
      <c r="AA41" s="135"/>
      <c r="AB41" s="130">
        <f t="shared" si="19"/>
        <v>0</v>
      </c>
      <c r="AC41" s="406"/>
    </row>
    <row r="42" spans="1:29" ht="13.65" customHeight="1">
      <c r="A42" s="115"/>
      <c r="B42" s="48" t="s">
        <v>49</v>
      </c>
      <c r="C42" s="48" t="s">
        <v>21</v>
      </c>
      <c r="D42" s="133">
        <v>50</v>
      </c>
      <c r="E42" s="134"/>
      <c r="F42" s="134">
        <v>0.28999999999999998</v>
      </c>
      <c r="G42" s="135"/>
      <c r="H42" s="130">
        <f t="shared" si="15"/>
        <v>14.499999999999998</v>
      </c>
      <c r="I42" s="133">
        <v>50</v>
      </c>
      <c r="J42" s="134"/>
      <c r="K42" s="134">
        <v>0.28999999999999998</v>
      </c>
      <c r="L42" s="135"/>
      <c r="M42" s="130">
        <f t="shared" si="16"/>
        <v>14.499999999999998</v>
      </c>
      <c r="N42" s="136"/>
      <c r="O42" s="134"/>
      <c r="P42" s="134">
        <v>0.28999999999999998</v>
      </c>
      <c r="Q42" s="135"/>
      <c r="R42" s="132">
        <f t="shared" si="17"/>
        <v>0</v>
      </c>
      <c r="S42" s="133"/>
      <c r="T42" s="134"/>
      <c r="U42" s="134">
        <v>0.28999999999999998</v>
      </c>
      <c r="V42" s="135"/>
      <c r="W42" s="130">
        <f t="shared" si="18"/>
        <v>0</v>
      </c>
      <c r="X42" s="133"/>
      <c r="Y42" s="134"/>
      <c r="Z42" s="134">
        <v>0.28999999999999998</v>
      </c>
      <c r="AA42" s="135"/>
      <c r="AB42" s="130">
        <f t="shared" si="19"/>
        <v>0</v>
      </c>
      <c r="AC42" s="406"/>
    </row>
    <row r="43" spans="1:29" ht="13.65" customHeight="1">
      <c r="A43" s="115"/>
      <c r="B43" s="48" t="s">
        <v>98</v>
      </c>
      <c r="C43" s="48" t="s">
        <v>21</v>
      </c>
      <c r="D43" s="133">
        <v>200</v>
      </c>
      <c r="E43" s="134"/>
      <c r="F43" s="134">
        <v>0.09</v>
      </c>
      <c r="G43" s="135"/>
      <c r="H43" s="130">
        <f t="shared" si="15"/>
        <v>18</v>
      </c>
      <c r="I43" s="133">
        <v>200</v>
      </c>
      <c r="J43" s="134"/>
      <c r="K43" s="134">
        <v>0.09</v>
      </c>
      <c r="L43" s="135"/>
      <c r="M43" s="130">
        <f t="shared" si="16"/>
        <v>18</v>
      </c>
      <c r="N43" s="136"/>
      <c r="O43" s="134"/>
      <c r="P43" s="134">
        <v>0.09</v>
      </c>
      <c r="Q43" s="135"/>
      <c r="R43" s="132">
        <f t="shared" si="17"/>
        <v>0</v>
      </c>
      <c r="S43" s="133"/>
      <c r="T43" s="134"/>
      <c r="U43" s="134">
        <v>0.09</v>
      </c>
      <c r="V43" s="135"/>
      <c r="W43" s="130">
        <f t="shared" si="18"/>
        <v>0</v>
      </c>
      <c r="X43" s="133"/>
      <c r="Y43" s="134"/>
      <c r="Z43" s="134">
        <v>0.09</v>
      </c>
      <c r="AA43" s="135"/>
      <c r="AB43" s="130">
        <f t="shared" si="19"/>
        <v>0</v>
      </c>
      <c r="AC43" s="406"/>
    </row>
    <row r="44" spans="1:29" ht="13.65" customHeight="1">
      <c r="A44" s="115"/>
      <c r="B44" s="48" t="s">
        <v>51</v>
      </c>
      <c r="C44" s="48" t="s">
        <v>21</v>
      </c>
      <c r="D44" s="133">
        <f>D37*20</f>
        <v>184</v>
      </c>
      <c r="E44" s="134"/>
      <c r="F44" s="134">
        <v>0.23</v>
      </c>
      <c r="G44" s="135"/>
      <c r="H44" s="130">
        <f t="shared" si="15"/>
        <v>42.32</v>
      </c>
      <c r="I44" s="133">
        <f>I37*20</f>
        <v>184</v>
      </c>
      <c r="J44" s="134"/>
      <c r="K44" s="134">
        <v>0.23</v>
      </c>
      <c r="L44" s="135"/>
      <c r="M44" s="130">
        <f t="shared" si="16"/>
        <v>42.32</v>
      </c>
      <c r="N44" s="136"/>
      <c r="O44" s="134"/>
      <c r="P44" s="134">
        <v>0.23</v>
      </c>
      <c r="Q44" s="135"/>
      <c r="R44" s="132">
        <f t="shared" si="17"/>
        <v>0</v>
      </c>
      <c r="S44" s="133"/>
      <c r="T44" s="134"/>
      <c r="U44" s="134">
        <v>0.23</v>
      </c>
      <c r="V44" s="135"/>
      <c r="W44" s="130">
        <f t="shared" si="18"/>
        <v>0</v>
      </c>
      <c r="X44" s="133"/>
      <c r="Y44" s="134"/>
      <c r="Z44" s="134">
        <v>0.23</v>
      </c>
      <c r="AA44" s="135"/>
      <c r="AB44" s="130">
        <f t="shared" si="19"/>
        <v>0</v>
      </c>
      <c r="AC44" s="406"/>
    </row>
    <row r="45" spans="1:29" ht="13.65" customHeight="1">
      <c r="A45" s="115"/>
      <c r="B45" s="48" t="s">
        <v>99</v>
      </c>
      <c r="C45" s="48" t="s">
        <v>21</v>
      </c>
      <c r="D45" s="133">
        <f>D37*20</f>
        <v>184</v>
      </c>
      <c r="E45" s="134"/>
      <c r="F45" s="134">
        <v>0.23</v>
      </c>
      <c r="G45" s="135"/>
      <c r="H45" s="130">
        <f t="shared" si="15"/>
        <v>42.32</v>
      </c>
      <c r="I45" s="133">
        <f>I37*20</f>
        <v>184</v>
      </c>
      <c r="J45" s="134"/>
      <c r="K45" s="134">
        <v>0.23</v>
      </c>
      <c r="L45" s="135"/>
      <c r="M45" s="130">
        <f t="shared" si="16"/>
        <v>42.32</v>
      </c>
      <c r="N45" s="136"/>
      <c r="O45" s="134"/>
      <c r="P45" s="134">
        <v>0.23</v>
      </c>
      <c r="Q45" s="135"/>
      <c r="R45" s="132">
        <f t="shared" si="17"/>
        <v>0</v>
      </c>
      <c r="S45" s="133"/>
      <c r="T45" s="134"/>
      <c r="U45" s="134">
        <v>0.23</v>
      </c>
      <c r="V45" s="135"/>
      <c r="W45" s="130">
        <f t="shared" si="18"/>
        <v>0</v>
      </c>
      <c r="X45" s="133"/>
      <c r="Y45" s="134"/>
      <c r="Z45" s="134">
        <v>0.23</v>
      </c>
      <c r="AA45" s="135"/>
      <c r="AB45" s="130">
        <f t="shared" si="19"/>
        <v>0</v>
      </c>
      <c r="AC45" s="406"/>
    </row>
    <row r="46" spans="1:29" ht="13.65" customHeight="1">
      <c r="A46" s="115"/>
      <c r="B46" s="48" t="s">
        <v>52</v>
      </c>
      <c r="C46" s="48" t="s">
        <v>21</v>
      </c>
      <c r="D46" s="133">
        <v>28</v>
      </c>
      <c r="E46" s="134"/>
      <c r="F46" s="134">
        <v>5.94</v>
      </c>
      <c r="G46" s="135"/>
      <c r="H46" s="130">
        <f t="shared" si="15"/>
        <v>166.32000000000002</v>
      </c>
      <c r="I46" s="133">
        <v>28</v>
      </c>
      <c r="J46" s="134"/>
      <c r="K46" s="134">
        <v>5.94</v>
      </c>
      <c r="L46" s="135"/>
      <c r="M46" s="130">
        <f t="shared" si="16"/>
        <v>166.32000000000002</v>
      </c>
      <c r="N46" s="136"/>
      <c r="O46" s="134"/>
      <c r="P46" s="134">
        <v>5.94</v>
      </c>
      <c r="Q46" s="135"/>
      <c r="R46" s="132">
        <f t="shared" si="17"/>
        <v>0</v>
      </c>
      <c r="S46" s="133"/>
      <c r="T46" s="134"/>
      <c r="U46" s="134">
        <v>5.94</v>
      </c>
      <c r="V46" s="135"/>
      <c r="W46" s="130">
        <f t="shared" si="18"/>
        <v>0</v>
      </c>
      <c r="X46" s="133"/>
      <c r="Y46" s="134"/>
      <c r="Z46" s="134">
        <v>5.94</v>
      </c>
      <c r="AA46" s="135"/>
      <c r="AB46" s="130">
        <f t="shared" si="19"/>
        <v>0</v>
      </c>
      <c r="AC46" s="406"/>
    </row>
    <row r="47" spans="1:29" ht="13.65" customHeight="1">
      <c r="A47" s="115"/>
      <c r="B47" s="44" t="s">
        <v>101</v>
      </c>
      <c r="C47" s="43" t="s">
        <v>37</v>
      </c>
      <c r="D47" s="138">
        <v>58.72</v>
      </c>
      <c r="E47" s="129">
        <f t="shared" ref="E47:O47" si="20">220*1.1</f>
        <v>242.00000000000003</v>
      </c>
      <c r="F47" s="129"/>
      <c r="G47" s="129">
        <f>D47*E47</f>
        <v>14210.240000000002</v>
      </c>
      <c r="H47" s="130"/>
      <c r="I47" s="138"/>
      <c r="J47" s="129">
        <f t="shared" si="20"/>
        <v>242.00000000000003</v>
      </c>
      <c r="K47" s="129"/>
      <c r="L47" s="129">
        <f>I47*J47</f>
        <v>0</v>
      </c>
      <c r="M47" s="130"/>
      <c r="N47" s="138"/>
      <c r="O47" s="129">
        <f t="shared" si="20"/>
        <v>242.00000000000003</v>
      </c>
      <c r="P47" s="129"/>
      <c r="Q47" s="129">
        <f>N47*O47</f>
        <v>0</v>
      </c>
      <c r="R47" s="132"/>
      <c r="S47" s="138"/>
      <c r="T47" s="129">
        <f t="shared" ref="T47" si="21">220*1.1</f>
        <v>242.00000000000003</v>
      </c>
      <c r="U47" s="129"/>
      <c r="V47" s="129">
        <f>S47*T47</f>
        <v>0</v>
      </c>
      <c r="W47" s="130"/>
      <c r="X47" s="138"/>
      <c r="Y47" s="129">
        <f t="shared" ref="Y47" si="22">220*1.1</f>
        <v>242.00000000000003</v>
      </c>
      <c r="Z47" s="129"/>
      <c r="AA47" s="129">
        <f>X47*Y47</f>
        <v>0</v>
      </c>
      <c r="AB47" s="130"/>
      <c r="AC47" s="406"/>
    </row>
    <row r="48" spans="1:29" ht="13.65" customHeight="1">
      <c r="A48" s="115"/>
      <c r="B48" s="48" t="s">
        <v>102</v>
      </c>
      <c r="C48" s="48" t="s">
        <v>37</v>
      </c>
      <c r="D48" s="134">
        <f>D47*1.05</f>
        <v>61.655999999999999</v>
      </c>
      <c r="E48" s="134"/>
      <c r="F48" s="134">
        <v>49</v>
      </c>
      <c r="G48" s="135"/>
      <c r="H48" s="130">
        <f t="shared" ref="H48:H55" si="23">F48*D48</f>
        <v>3021.1439999999998</v>
      </c>
      <c r="I48" s="134"/>
      <c r="J48" s="134"/>
      <c r="K48" s="134">
        <v>49</v>
      </c>
      <c r="L48" s="135"/>
      <c r="M48" s="130">
        <f t="shared" ref="M48:M55" si="24">K48*I48</f>
        <v>0</v>
      </c>
      <c r="N48" s="134"/>
      <c r="O48" s="134"/>
      <c r="P48" s="134">
        <v>49</v>
      </c>
      <c r="Q48" s="135"/>
      <c r="R48" s="132">
        <f t="shared" ref="R48:R55" si="25">P48*N48</f>
        <v>0</v>
      </c>
      <c r="S48" s="134"/>
      <c r="T48" s="134"/>
      <c r="U48" s="134">
        <v>49</v>
      </c>
      <c r="V48" s="135"/>
      <c r="W48" s="130">
        <f t="shared" ref="W48:W55" si="26">U48*S48</f>
        <v>0</v>
      </c>
      <c r="X48" s="134"/>
      <c r="Y48" s="134"/>
      <c r="Z48" s="134">
        <v>49</v>
      </c>
      <c r="AA48" s="135"/>
      <c r="AB48" s="130">
        <f t="shared" ref="AB48:AB55" si="27">Z48*X48</f>
        <v>0</v>
      </c>
      <c r="AC48" s="406"/>
    </row>
    <row r="49" spans="1:29" ht="13.65" customHeight="1">
      <c r="A49" s="115"/>
      <c r="B49" s="48" t="s">
        <v>103</v>
      </c>
      <c r="C49" s="48" t="s">
        <v>46</v>
      </c>
      <c r="D49" s="134">
        <f>CEILING(D47*1.1,3)</f>
        <v>66</v>
      </c>
      <c r="E49" s="134"/>
      <c r="F49" s="134">
        <v>25</v>
      </c>
      <c r="G49" s="135"/>
      <c r="H49" s="130">
        <f t="shared" si="23"/>
        <v>1650</v>
      </c>
      <c r="I49" s="134"/>
      <c r="J49" s="134"/>
      <c r="K49" s="134">
        <v>25</v>
      </c>
      <c r="L49" s="135"/>
      <c r="M49" s="130">
        <f t="shared" si="24"/>
        <v>0</v>
      </c>
      <c r="N49" s="134"/>
      <c r="O49" s="134"/>
      <c r="P49" s="134">
        <v>25</v>
      </c>
      <c r="Q49" s="135"/>
      <c r="R49" s="132">
        <f t="shared" si="25"/>
        <v>0</v>
      </c>
      <c r="S49" s="134"/>
      <c r="T49" s="134"/>
      <c r="U49" s="134">
        <v>25</v>
      </c>
      <c r="V49" s="135"/>
      <c r="W49" s="130">
        <f t="shared" si="26"/>
        <v>0</v>
      </c>
      <c r="X49" s="134"/>
      <c r="Y49" s="134"/>
      <c r="Z49" s="134">
        <v>25</v>
      </c>
      <c r="AA49" s="135"/>
      <c r="AB49" s="130">
        <f t="shared" si="27"/>
        <v>0</v>
      </c>
      <c r="AC49" s="406"/>
    </row>
    <row r="50" spans="1:29" ht="13.65" customHeight="1">
      <c r="A50" s="115"/>
      <c r="B50" s="48" t="s">
        <v>104</v>
      </c>
      <c r="C50" s="48" t="s">
        <v>46</v>
      </c>
      <c r="D50" s="134">
        <v>120</v>
      </c>
      <c r="E50" s="134"/>
      <c r="F50" s="134">
        <v>38.57</v>
      </c>
      <c r="G50" s="135"/>
      <c r="H50" s="130">
        <f t="shared" si="23"/>
        <v>4628.3999999999996</v>
      </c>
      <c r="I50" s="134"/>
      <c r="J50" s="134"/>
      <c r="K50" s="134">
        <v>38.57</v>
      </c>
      <c r="L50" s="135"/>
      <c r="M50" s="130">
        <f t="shared" si="24"/>
        <v>0</v>
      </c>
      <c r="N50" s="134"/>
      <c r="O50" s="134"/>
      <c r="P50" s="134">
        <v>38.57</v>
      </c>
      <c r="Q50" s="135"/>
      <c r="R50" s="132">
        <f t="shared" si="25"/>
        <v>0</v>
      </c>
      <c r="S50" s="134"/>
      <c r="T50" s="134"/>
      <c r="U50" s="134">
        <v>38.57</v>
      </c>
      <c r="V50" s="135"/>
      <c r="W50" s="130">
        <f t="shared" si="26"/>
        <v>0</v>
      </c>
      <c r="X50" s="134"/>
      <c r="Y50" s="134"/>
      <c r="Z50" s="134">
        <v>38.57</v>
      </c>
      <c r="AA50" s="135"/>
      <c r="AB50" s="130">
        <f t="shared" si="27"/>
        <v>0</v>
      </c>
      <c r="AC50" s="406"/>
    </row>
    <row r="51" spans="1:29" ht="13.65" customHeight="1">
      <c r="A51" s="115"/>
      <c r="B51" s="48" t="s">
        <v>105</v>
      </c>
      <c r="C51" s="48" t="s">
        <v>46</v>
      </c>
      <c r="D51" s="134">
        <f>ROUNDUP(D47*0.9,1)</f>
        <v>52.9</v>
      </c>
      <c r="E51" s="134"/>
      <c r="F51" s="134">
        <v>1.94</v>
      </c>
      <c r="G51" s="135"/>
      <c r="H51" s="130">
        <f t="shared" si="23"/>
        <v>102.62599999999999</v>
      </c>
      <c r="I51" s="134"/>
      <c r="J51" s="134"/>
      <c r="K51" s="134">
        <v>1.94</v>
      </c>
      <c r="L51" s="135"/>
      <c r="M51" s="130">
        <f t="shared" si="24"/>
        <v>0</v>
      </c>
      <c r="N51" s="134"/>
      <c r="O51" s="134"/>
      <c r="P51" s="134">
        <v>1.94</v>
      </c>
      <c r="Q51" s="135"/>
      <c r="R51" s="132">
        <f t="shared" si="25"/>
        <v>0</v>
      </c>
      <c r="S51" s="134"/>
      <c r="T51" s="134"/>
      <c r="U51" s="134">
        <v>1.94</v>
      </c>
      <c r="V51" s="135"/>
      <c r="W51" s="130">
        <f t="shared" si="26"/>
        <v>0</v>
      </c>
      <c r="X51" s="134"/>
      <c r="Y51" s="134"/>
      <c r="Z51" s="134">
        <v>1.94</v>
      </c>
      <c r="AA51" s="135"/>
      <c r="AB51" s="130">
        <f t="shared" si="27"/>
        <v>0</v>
      </c>
      <c r="AC51" s="406"/>
    </row>
    <row r="52" spans="1:29" ht="13.65" customHeight="1">
      <c r="A52" s="115"/>
      <c r="B52" s="48" t="s">
        <v>49</v>
      </c>
      <c r="C52" s="48" t="s">
        <v>21</v>
      </c>
      <c r="D52" s="134">
        <f>ROUND(D47*5,2)</f>
        <v>293.60000000000002</v>
      </c>
      <c r="E52" s="134"/>
      <c r="F52" s="134">
        <v>0.84</v>
      </c>
      <c r="G52" s="135"/>
      <c r="H52" s="130">
        <f t="shared" si="23"/>
        <v>246.62400000000002</v>
      </c>
      <c r="I52" s="134"/>
      <c r="J52" s="134"/>
      <c r="K52" s="134">
        <v>0.84</v>
      </c>
      <c r="L52" s="135"/>
      <c r="M52" s="130">
        <f t="shared" si="24"/>
        <v>0</v>
      </c>
      <c r="N52" s="134"/>
      <c r="O52" s="134"/>
      <c r="P52" s="134">
        <v>0.84</v>
      </c>
      <c r="Q52" s="135"/>
      <c r="R52" s="132">
        <f t="shared" si="25"/>
        <v>0</v>
      </c>
      <c r="S52" s="134"/>
      <c r="T52" s="134"/>
      <c r="U52" s="134">
        <v>0.84</v>
      </c>
      <c r="V52" s="135"/>
      <c r="W52" s="130">
        <f t="shared" si="26"/>
        <v>0</v>
      </c>
      <c r="X52" s="134"/>
      <c r="Y52" s="134"/>
      <c r="Z52" s="134">
        <v>0.84</v>
      </c>
      <c r="AA52" s="135"/>
      <c r="AB52" s="130">
        <f t="shared" si="27"/>
        <v>0</v>
      </c>
      <c r="AC52" s="406"/>
    </row>
    <row r="53" spans="1:29" ht="13.65" customHeight="1">
      <c r="A53" s="115"/>
      <c r="B53" s="48" t="s">
        <v>98</v>
      </c>
      <c r="C53" s="48" t="s">
        <v>21</v>
      </c>
      <c r="D53" s="134">
        <f>ROUND(D47*6,0)</f>
        <v>352</v>
      </c>
      <c r="E53" s="134"/>
      <c r="F53" s="134">
        <v>0.09</v>
      </c>
      <c r="G53" s="135"/>
      <c r="H53" s="130">
        <f t="shared" si="23"/>
        <v>31.68</v>
      </c>
      <c r="I53" s="134"/>
      <c r="J53" s="134"/>
      <c r="K53" s="134">
        <v>0.09</v>
      </c>
      <c r="L53" s="135"/>
      <c r="M53" s="130">
        <f t="shared" si="24"/>
        <v>0</v>
      </c>
      <c r="N53" s="134"/>
      <c r="O53" s="134"/>
      <c r="P53" s="134">
        <v>0.09</v>
      </c>
      <c r="Q53" s="135"/>
      <c r="R53" s="132">
        <f t="shared" si="25"/>
        <v>0</v>
      </c>
      <c r="S53" s="134"/>
      <c r="T53" s="134"/>
      <c r="U53" s="134">
        <v>0.09</v>
      </c>
      <c r="V53" s="135"/>
      <c r="W53" s="130">
        <f t="shared" si="26"/>
        <v>0</v>
      </c>
      <c r="X53" s="134"/>
      <c r="Y53" s="134"/>
      <c r="Z53" s="134">
        <v>0.09</v>
      </c>
      <c r="AA53" s="135"/>
      <c r="AB53" s="130">
        <f t="shared" si="27"/>
        <v>0</v>
      </c>
      <c r="AC53" s="406"/>
    </row>
    <row r="54" spans="1:29" ht="13.65" customHeight="1">
      <c r="A54" s="115"/>
      <c r="B54" s="48" t="s">
        <v>51</v>
      </c>
      <c r="C54" s="48" t="s">
        <v>21</v>
      </c>
      <c r="D54" s="134">
        <f>ROUND(D47*20,2)</f>
        <v>1174.4000000000001</v>
      </c>
      <c r="E54" s="134"/>
      <c r="F54" s="134">
        <v>0.23</v>
      </c>
      <c r="G54" s="135"/>
      <c r="H54" s="130">
        <f t="shared" si="23"/>
        <v>270.11200000000002</v>
      </c>
      <c r="I54" s="134"/>
      <c r="J54" s="134"/>
      <c r="K54" s="134">
        <v>0.23</v>
      </c>
      <c r="L54" s="135"/>
      <c r="M54" s="130">
        <f t="shared" si="24"/>
        <v>0</v>
      </c>
      <c r="N54" s="134"/>
      <c r="O54" s="134"/>
      <c r="P54" s="134">
        <v>0.23</v>
      </c>
      <c r="Q54" s="135"/>
      <c r="R54" s="132">
        <f t="shared" si="25"/>
        <v>0</v>
      </c>
      <c r="S54" s="134"/>
      <c r="T54" s="134"/>
      <c r="U54" s="134">
        <v>0.23</v>
      </c>
      <c r="V54" s="135"/>
      <c r="W54" s="130">
        <f t="shared" si="26"/>
        <v>0</v>
      </c>
      <c r="X54" s="134"/>
      <c r="Y54" s="134"/>
      <c r="Z54" s="134">
        <v>0.23</v>
      </c>
      <c r="AA54" s="135"/>
      <c r="AB54" s="130">
        <f t="shared" si="27"/>
        <v>0</v>
      </c>
      <c r="AC54" s="406"/>
    </row>
    <row r="55" spans="1:29" ht="13.65" customHeight="1">
      <c r="A55" s="115"/>
      <c r="B55" s="48" t="s">
        <v>52</v>
      </c>
      <c r="C55" s="48" t="s">
        <v>21</v>
      </c>
      <c r="D55" s="134">
        <f>D47*1.1</f>
        <v>64.591999999999999</v>
      </c>
      <c r="E55" s="134"/>
      <c r="F55" s="134">
        <v>5.94</v>
      </c>
      <c r="G55" s="135"/>
      <c r="H55" s="130">
        <f t="shared" si="23"/>
        <v>383.67648000000003</v>
      </c>
      <c r="I55" s="134"/>
      <c r="J55" s="134"/>
      <c r="K55" s="134">
        <v>5.94</v>
      </c>
      <c r="L55" s="135"/>
      <c r="M55" s="130">
        <f t="shared" si="24"/>
        <v>0</v>
      </c>
      <c r="N55" s="134"/>
      <c r="O55" s="134"/>
      <c r="P55" s="134">
        <v>5.94</v>
      </c>
      <c r="Q55" s="135"/>
      <c r="R55" s="132">
        <f t="shared" si="25"/>
        <v>0</v>
      </c>
      <c r="S55" s="134"/>
      <c r="T55" s="134"/>
      <c r="U55" s="134">
        <v>5.94</v>
      </c>
      <c r="V55" s="135"/>
      <c r="W55" s="130">
        <f t="shared" si="26"/>
        <v>0</v>
      </c>
      <c r="X55" s="134"/>
      <c r="Y55" s="134"/>
      <c r="Z55" s="134">
        <v>5.94</v>
      </c>
      <c r="AA55" s="135"/>
      <c r="AB55" s="130">
        <f t="shared" si="27"/>
        <v>0</v>
      </c>
      <c r="AC55" s="406"/>
    </row>
    <row r="56" spans="1:29" ht="13.65" customHeight="1">
      <c r="A56" s="115"/>
      <c r="B56" s="139" t="s">
        <v>106</v>
      </c>
      <c r="C56" s="140" t="s">
        <v>37</v>
      </c>
      <c r="D56" s="141">
        <v>278.32</v>
      </c>
      <c r="E56" s="142">
        <v>70</v>
      </c>
      <c r="F56" s="142"/>
      <c r="G56" s="142">
        <f>D56*E56</f>
        <v>19482.399999999998</v>
      </c>
      <c r="H56" s="130"/>
      <c r="I56" s="143">
        <v>112</v>
      </c>
      <c r="J56" s="142">
        <v>70</v>
      </c>
      <c r="K56" s="142"/>
      <c r="L56" s="142">
        <f>I56*J56</f>
        <v>7840</v>
      </c>
      <c r="M56" s="130"/>
      <c r="N56" s="141">
        <v>29.7</v>
      </c>
      <c r="O56" s="142">
        <v>70</v>
      </c>
      <c r="P56" s="142"/>
      <c r="Q56" s="142">
        <f>N56*O56</f>
        <v>2079</v>
      </c>
      <c r="R56" s="132"/>
      <c r="S56" s="141"/>
      <c r="T56" s="142">
        <v>70</v>
      </c>
      <c r="U56" s="142"/>
      <c r="V56" s="142">
        <f>S56*T56</f>
        <v>0</v>
      </c>
      <c r="W56" s="130"/>
      <c r="X56" s="141"/>
      <c r="Y56" s="142">
        <v>70</v>
      </c>
      <c r="Z56" s="142"/>
      <c r="AA56" s="142">
        <f>X56*Y56</f>
        <v>0</v>
      </c>
      <c r="AB56" s="130"/>
      <c r="AC56" s="406"/>
    </row>
    <row r="57" spans="1:29" ht="13.65" customHeight="1">
      <c r="A57" s="115"/>
      <c r="B57" s="144" t="s">
        <v>107</v>
      </c>
      <c r="C57" s="144" t="s">
        <v>37</v>
      </c>
      <c r="D57" s="145">
        <v>278.32</v>
      </c>
      <c r="E57" s="145"/>
      <c r="F57" s="145">
        <v>55.6</v>
      </c>
      <c r="G57" s="146"/>
      <c r="H57" s="130">
        <f>F57*D57</f>
        <v>15474.592000000001</v>
      </c>
      <c r="I57" s="145">
        <f>I56</f>
        <v>112</v>
      </c>
      <c r="J57" s="145"/>
      <c r="K57" s="145">
        <v>55.6</v>
      </c>
      <c r="L57" s="146"/>
      <c r="M57" s="130">
        <f>K57*I57</f>
        <v>6227.2</v>
      </c>
      <c r="N57" s="145">
        <v>29.7</v>
      </c>
      <c r="O57" s="145"/>
      <c r="P57" s="145">
        <v>55.6</v>
      </c>
      <c r="Q57" s="146"/>
      <c r="R57" s="132">
        <f>P57*N57</f>
        <v>1651.32</v>
      </c>
      <c r="S57" s="145"/>
      <c r="T57" s="145"/>
      <c r="U57" s="145">
        <v>55.6</v>
      </c>
      <c r="V57" s="146"/>
      <c r="W57" s="130">
        <f>U57*S57</f>
        <v>0</v>
      </c>
      <c r="X57" s="145"/>
      <c r="Y57" s="145"/>
      <c r="Z57" s="145">
        <v>55.6</v>
      </c>
      <c r="AA57" s="146"/>
      <c r="AB57" s="130">
        <f>Z57*X57</f>
        <v>0</v>
      </c>
      <c r="AC57" s="406"/>
    </row>
    <row r="58" spans="1:29" ht="25.5" customHeight="1">
      <c r="A58" s="115"/>
      <c r="B58" s="44" t="s">
        <v>108</v>
      </c>
      <c r="C58" s="43" t="s">
        <v>37</v>
      </c>
      <c r="D58" s="138">
        <v>96.21</v>
      </c>
      <c r="E58" s="129">
        <v>40</v>
      </c>
      <c r="F58" s="129"/>
      <c r="G58" s="129">
        <f>D58*E58</f>
        <v>3848.3999999999996</v>
      </c>
      <c r="H58" s="130"/>
      <c r="I58" s="147">
        <v>95.6</v>
      </c>
      <c r="J58" s="129">
        <v>40</v>
      </c>
      <c r="K58" s="129"/>
      <c r="L58" s="129">
        <f>I58*J58</f>
        <v>3824</v>
      </c>
      <c r="M58" s="130"/>
      <c r="N58" s="138"/>
      <c r="O58" s="129">
        <v>40</v>
      </c>
      <c r="P58" s="129"/>
      <c r="Q58" s="129">
        <f>N58*O58</f>
        <v>0</v>
      </c>
      <c r="R58" s="132"/>
      <c r="S58" s="138"/>
      <c r="T58" s="129">
        <v>40</v>
      </c>
      <c r="U58" s="129"/>
      <c r="V58" s="129">
        <f>S58*T58</f>
        <v>0</v>
      </c>
      <c r="W58" s="130"/>
      <c r="X58" s="138"/>
      <c r="Y58" s="129">
        <v>40</v>
      </c>
      <c r="Z58" s="129"/>
      <c r="AA58" s="129">
        <f>X58*Y58</f>
        <v>0</v>
      </c>
      <c r="AB58" s="130"/>
      <c r="AC58" s="406"/>
    </row>
    <row r="59" spans="1:29" ht="13.65" customHeight="1">
      <c r="A59" s="115"/>
      <c r="B59" s="48" t="s">
        <v>102</v>
      </c>
      <c r="C59" s="48" t="s">
        <v>37</v>
      </c>
      <c r="D59" s="134">
        <f>D58*1.1</f>
        <v>105.831</v>
      </c>
      <c r="E59" s="134"/>
      <c r="F59" s="134">
        <v>49</v>
      </c>
      <c r="G59" s="135"/>
      <c r="H59" s="130">
        <f>F59*D59</f>
        <v>5185.7190000000001</v>
      </c>
      <c r="I59" s="134">
        <f>I58*1.1</f>
        <v>105.16</v>
      </c>
      <c r="J59" s="134"/>
      <c r="K59" s="134">
        <v>49</v>
      </c>
      <c r="L59" s="135"/>
      <c r="M59" s="130">
        <f>K59*I59</f>
        <v>5152.84</v>
      </c>
      <c r="N59" s="134"/>
      <c r="O59" s="134"/>
      <c r="P59" s="134">
        <v>49</v>
      </c>
      <c r="Q59" s="135"/>
      <c r="R59" s="132">
        <f>P59*N59</f>
        <v>0</v>
      </c>
      <c r="S59" s="134"/>
      <c r="T59" s="134"/>
      <c r="U59" s="134">
        <v>49</v>
      </c>
      <c r="V59" s="135"/>
      <c r="W59" s="130">
        <f>U59*S59</f>
        <v>0</v>
      </c>
      <c r="X59" s="134"/>
      <c r="Y59" s="134"/>
      <c r="Z59" s="134">
        <v>49</v>
      </c>
      <c r="AA59" s="135"/>
      <c r="AB59" s="130">
        <f>Z59*X59</f>
        <v>0</v>
      </c>
      <c r="AC59" s="406"/>
    </row>
    <row r="60" spans="1:29" ht="13.65" customHeight="1">
      <c r="A60" s="115"/>
      <c r="B60" s="48" t="s">
        <v>99</v>
      </c>
      <c r="C60" s="48" t="s">
        <v>21</v>
      </c>
      <c r="D60" s="148">
        <f>D58*20</f>
        <v>1924.1999999999998</v>
      </c>
      <c r="E60" s="134"/>
      <c r="F60" s="134">
        <v>0.23</v>
      </c>
      <c r="G60" s="135"/>
      <c r="H60" s="130">
        <f>F60*D60</f>
        <v>442.56599999999997</v>
      </c>
      <c r="I60" s="148">
        <f>I58*20</f>
        <v>1912</v>
      </c>
      <c r="J60" s="134"/>
      <c r="K60" s="134">
        <v>0.23</v>
      </c>
      <c r="L60" s="135"/>
      <c r="M60" s="130">
        <f>K60*I60</f>
        <v>439.76</v>
      </c>
      <c r="N60" s="136"/>
      <c r="O60" s="134"/>
      <c r="P60" s="134">
        <v>0.23</v>
      </c>
      <c r="Q60" s="135"/>
      <c r="R60" s="132">
        <f>P60*N60</f>
        <v>0</v>
      </c>
      <c r="S60" s="148"/>
      <c r="T60" s="134"/>
      <c r="U60" s="134">
        <v>0.23</v>
      </c>
      <c r="V60" s="135"/>
      <c r="W60" s="130">
        <f>U60*S60</f>
        <v>0</v>
      </c>
      <c r="X60" s="148"/>
      <c r="Y60" s="134"/>
      <c r="Z60" s="134">
        <v>0.23</v>
      </c>
      <c r="AA60" s="135"/>
      <c r="AB60" s="130">
        <f>Z60*X60</f>
        <v>0</v>
      </c>
      <c r="AC60" s="406"/>
    </row>
    <row r="61" spans="1:29" ht="13.65" customHeight="1">
      <c r="A61" s="115"/>
      <c r="B61" s="44" t="s">
        <v>109</v>
      </c>
      <c r="C61" s="43" t="s">
        <v>37</v>
      </c>
      <c r="D61" s="138">
        <f>D27*2+D37*2+D47</f>
        <v>615.36</v>
      </c>
      <c r="E61" s="129">
        <v>30</v>
      </c>
      <c r="F61" s="129"/>
      <c r="G61" s="129">
        <f>D61*E61</f>
        <v>18460.8</v>
      </c>
      <c r="H61" s="130"/>
      <c r="I61" s="138"/>
      <c r="J61" s="129">
        <v>30</v>
      </c>
      <c r="K61" s="129"/>
      <c r="L61" s="129">
        <f>I61*J61</f>
        <v>0</v>
      </c>
      <c r="M61" s="130"/>
      <c r="N61" s="138"/>
      <c r="O61" s="129">
        <v>30</v>
      </c>
      <c r="P61" s="129"/>
      <c r="Q61" s="129">
        <f>N61*O61</f>
        <v>0</v>
      </c>
      <c r="R61" s="132"/>
      <c r="S61" s="138">
        <f>S27*2+S37*2+S47</f>
        <v>24</v>
      </c>
      <c r="T61" s="129">
        <v>30</v>
      </c>
      <c r="U61" s="129"/>
      <c r="V61" s="129">
        <f>S61*T61</f>
        <v>720</v>
      </c>
      <c r="W61" s="130"/>
      <c r="X61" s="138"/>
      <c r="Y61" s="129">
        <v>30</v>
      </c>
      <c r="Z61" s="129"/>
      <c r="AA61" s="129">
        <f>X61*Y61</f>
        <v>0</v>
      </c>
      <c r="AB61" s="130"/>
      <c r="AC61" s="406"/>
    </row>
    <row r="62" spans="1:29" ht="13.65" customHeight="1">
      <c r="A62" s="115"/>
      <c r="B62" s="48" t="s">
        <v>110</v>
      </c>
      <c r="C62" s="48" t="s">
        <v>46</v>
      </c>
      <c r="D62" s="149">
        <f>D61*1.1</f>
        <v>676.89600000000007</v>
      </c>
      <c r="E62" s="134"/>
      <c r="F62" s="134">
        <v>1.5</v>
      </c>
      <c r="G62" s="135"/>
      <c r="H62" s="130">
        <f>F62*D62</f>
        <v>1015.3440000000001</v>
      </c>
      <c r="I62" s="149"/>
      <c r="J62" s="134"/>
      <c r="K62" s="134">
        <v>1.5</v>
      </c>
      <c r="L62" s="135"/>
      <c r="M62" s="130">
        <f>K62*I62</f>
        <v>0</v>
      </c>
      <c r="N62" s="149"/>
      <c r="O62" s="134"/>
      <c r="P62" s="134">
        <v>1.5</v>
      </c>
      <c r="Q62" s="135"/>
      <c r="R62" s="132">
        <f>P62*N62</f>
        <v>0</v>
      </c>
      <c r="S62" s="149">
        <f>S61*1.1</f>
        <v>26.400000000000002</v>
      </c>
      <c r="T62" s="134"/>
      <c r="U62" s="134">
        <v>1.5</v>
      </c>
      <c r="V62" s="135"/>
      <c r="W62" s="130">
        <f>U62*S62</f>
        <v>39.6</v>
      </c>
      <c r="X62" s="149"/>
      <c r="Y62" s="134"/>
      <c r="Z62" s="134">
        <v>1.5</v>
      </c>
      <c r="AA62" s="135"/>
      <c r="AB62" s="130">
        <f>Z62*X62</f>
        <v>0</v>
      </c>
      <c r="AC62" s="406"/>
    </row>
    <row r="63" spans="1:29" ht="13.65" customHeight="1">
      <c r="A63" s="115"/>
      <c r="B63" s="48" t="s">
        <v>111</v>
      </c>
      <c r="C63" s="48" t="s">
        <v>88</v>
      </c>
      <c r="D63" s="149">
        <f>D61*0.3</f>
        <v>184.608</v>
      </c>
      <c r="E63" s="134"/>
      <c r="F63" s="134">
        <v>6</v>
      </c>
      <c r="G63" s="135"/>
      <c r="H63" s="130">
        <f>F63*D63</f>
        <v>1107.6480000000001</v>
      </c>
      <c r="I63" s="149"/>
      <c r="J63" s="134"/>
      <c r="K63" s="134">
        <v>6</v>
      </c>
      <c r="L63" s="135"/>
      <c r="M63" s="130">
        <f>K63*I63</f>
        <v>0</v>
      </c>
      <c r="N63" s="149"/>
      <c r="O63" s="134"/>
      <c r="P63" s="134">
        <v>6</v>
      </c>
      <c r="Q63" s="135"/>
      <c r="R63" s="132">
        <f>P63*N63</f>
        <v>0</v>
      </c>
      <c r="S63" s="149">
        <f>S61*0.3</f>
        <v>7.1999999999999993</v>
      </c>
      <c r="T63" s="134"/>
      <c r="U63" s="134">
        <v>6</v>
      </c>
      <c r="V63" s="135"/>
      <c r="W63" s="130">
        <f>U63*S63</f>
        <v>43.199999999999996</v>
      </c>
      <c r="X63" s="149"/>
      <c r="Y63" s="134"/>
      <c r="Z63" s="134">
        <v>6</v>
      </c>
      <c r="AA63" s="135"/>
      <c r="AB63" s="130">
        <f>Z63*X63</f>
        <v>0</v>
      </c>
      <c r="AC63" s="406"/>
    </row>
    <row r="64" spans="1:29" ht="13.65" customHeight="1">
      <c r="A64" s="115"/>
      <c r="B64" s="150" t="s">
        <v>112</v>
      </c>
      <c r="C64" s="150" t="s">
        <v>37</v>
      </c>
      <c r="D64" s="151">
        <v>96.12</v>
      </c>
      <c r="E64" s="152">
        <v>22</v>
      </c>
      <c r="F64" s="153"/>
      <c r="G64" s="154">
        <f>D64*E64</f>
        <v>2114.6400000000003</v>
      </c>
      <c r="H64" s="155"/>
      <c r="I64" s="151"/>
      <c r="J64" s="152">
        <v>22</v>
      </c>
      <c r="K64" s="153"/>
      <c r="L64" s="154">
        <f>I64*J64</f>
        <v>0</v>
      </c>
      <c r="M64" s="155"/>
      <c r="N64" s="151"/>
      <c r="O64" s="152">
        <v>22</v>
      </c>
      <c r="P64" s="153"/>
      <c r="Q64" s="154">
        <f>N64*O64</f>
        <v>0</v>
      </c>
      <c r="R64" s="156"/>
      <c r="S64" s="151">
        <v>122</v>
      </c>
      <c r="T64" s="152">
        <v>22</v>
      </c>
      <c r="U64" s="153"/>
      <c r="V64" s="154">
        <f>S64*T64</f>
        <v>2684</v>
      </c>
      <c r="W64" s="155"/>
      <c r="X64" s="151">
        <v>9.9</v>
      </c>
      <c r="Y64" s="152">
        <v>22</v>
      </c>
      <c r="Z64" s="153"/>
      <c r="AA64" s="154">
        <f>X64*Y64</f>
        <v>217.8</v>
      </c>
      <c r="AB64" s="155"/>
      <c r="AC64" s="406"/>
    </row>
    <row r="65" spans="1:29" ht="13.65" customHeight="1">
      <c r="A65" s="115"/>
      <c r="B65" s="157" t="s">
        <v>113</v>
      </c>
      <c r="C65" s="157" t="s">
        <v>92</v>
      </c>
      <c r="D65" s="158">
        <f>CEILING(D64*0.25,1)</f>
        <v>25</v>
      </c>
      <c r="E65" s="159"/>
      <c r="F65" s="31">
        <v>20.02</v>
      </c>
      <c r="G65" s="154"/>
      <c r="H65" s="155">
        <f>F65*D65</f>
        <v>500.5</v>
      </c>
      <c r="I65" s="160"/>
      <c r="J65" s="159"/>
      <c r="K65" s="31">
        <v>20.02</v>
      </c>
      <c r="L65" s="154"/>
      <c r="M65" s="155">
        <f>K65*I65</f>
        <v>0</v>
      </c>
      <c r="N65" s="160"/>
      <c r="O65" s="159"/>
      <c r="P65" s="31">
        <v>20.02</v>
      </c>
      <c r="Q65" s="154"/>
      <c r="R65" s="156">
        <f>P65*N65</f>
        <v>0</v>
      </c>
      <c r="S65" s="158">
        <f>CEILING(S64*0.25,1)</f>
        <v>31</v>
      </c>
      <c r="T65" s="159"/>
      <c r="U65" s="31">
        <v>20.02</v>
      </c>
      <c r="V65" s="154"/>
      <c r="W65" s="155">
        <f>U65*S65</f>
        <v>620.62</v>
      </c>
      <c r="X65" s="158">
        <f>CEILING(X64*0.2,1)</f>
        <v>2</v>
      </c>
      <c r="Y65" s="159"/>
      <c r="Z65" s="31">
        <v>20.02</v>
      </c>
      <c r="AA65" s="154"/>
      <c r="AB65" s="155">
        <f>Z65*X65</f>
        <v>40.04</v>
      </c>
      <c r="AC65" s="406"/>
    </row>
    <row r="66" spans="1:29" ht="13.65" customHeight="1">
      <c r="A66" s="115"/>
      <c r="B66" s="150" t="s">
        <v>114</v>
      </c>
      <c r="C66" s="161" t="s">
        <v>37</v>
      </c>
      <c r="D66" s="151">
        <v>96.12</v>
      </c>
      <c r="E66" s="152">
        <v>420</v>
      </c>
      <c r="F66" s="152"/>
      <c r="G66" s="154">
        <f>D66*E66</f>
        <v>40370.400000000001</v>
      </c>
      <c r="H66" s="152"/>
      <c r="I66" s="151"/>
      <c r="J66" s="152">
        <v>420</v>
      </c>
      <c r="K66" s="152"/>
      <c r="L66" s="154">
        <f>I66*J66</f>
        <v>0</v>
      </c>
      <c r="M66" s="152"/>
      <c r="N66" s="151"/>
      <c r="O66" s="152">
        <v>420</v>
      </c>
      <c r="P66" s="152"/>
      <c r="Q66" s="154">
        <f>N66*O66</f>
        <v>0</v>
      </c>
      <c r="R66" s="162"/>
      <c r="S66" s="151">
        <v>122</v>
      </c>
      <c r="T66" s="152">
        <v>420</v>
      </c>
      <c r="U66" s="152"/>
      <c r="V66" s="154">
        <f>S66*T66</f>
        <v>51240</v>
      </c>
      <c r="W66" s="152"/>
      <c r="X66" s="151">
        <v>9.9</v>
      </c>
      <c r="Y66" s="152">
        <v>420</v>
      </c>
      <c r="Z66" s="152"/>
      <c r="AA66" s="154">
        <f>X66*Y66</f>
        <v>4158</v>
      </c>
      <c r="AB66" s="152"/>
      <c r="AC66" s="406"/>
    </row>
    <row r="67" spans="1:29" ht="13.65" customHeight="1">
      <c r="A67" s="115"/>
      <c r="B67" s="157" t="s">
        <v>115</v>
      </c>
      <c r="C67" s="157" t="s">
        <v>37</v>
      </c>
      <c r="D67" s="159">
        <f>D66*1.05</f>
        <v>100.92600000000002</v>
      </c>
      <c r="E67" s="159"/>
      <c r="F67" s="155">
        <v>140</v>
      </c>
      <c r="G67" s="155"/>
      <c r="H67" s="155">
        <f>F67*D67</f>
        <v>14129.640000000003</v>
      </c>
      <c r="I67" s="159"/>
      <c r="J67" s="159"/>
      <c r="K67" s="155">
        <v>140</v>
      </c>
      <c r="L67" s="155"/>
      <c r="M67" s="155">
        <f>K67*I67</f>
        <v>0</v>
      </c>
      <c r="N67" s="159"/>
      <c r="O67" s="159"/>
      <c r="P67" s="155">
        <v>140</v>
      </c>
      <c r="Q67" s="155"/>
      <c r="R67" s="156">
        <f>P67*N67</f>
        <v>0</v>
      </c>
      <c r="S67" s="159">
        <f>S66*1.05</f>
        <v>128.1</v>
      </c>
      <c r="T67" s="159"/>
      <c r="U67" s="155">
        <v>170.48</v>
      </c>
      <c r="V67" s="155"/>
      <c r="W67" s="155">
        <f>U67*S67</f>
        <v>21838.487999999998</v>
      </c>
      <c r="X67" s="159">
        <f>X66*1.05</f>
        <v>10.395000000000001</v>
      </c>
      <c r="Y67" s="159"/>
      <c r="Z67" s="155">
        <v>172</v>
      </c>
      <c r="AA67" s="155"/>
      <c r="AB67" s="155">
        <f>Z67*X67</f>
        <v>1787.9400000000003</v>
      </c>
      <c r="AC67" s="406"/>
    </row>
    <row r="68" spans="1:29" ht="13.65" customHeight="1">
      <c r="A68" s="115"/>
      <c r="B68" s="157" t="s">
        <v>116</v>
      </c>
      <c r="C68" s="157" t="s">
        <v>88</v>
      </c>
      <c r="D68" s="159">
        <f>CEILING(D66*6.5,1)</f>
        <v>625</v>
      </c>
      <c r="E68" s="159"/>
      <c r="F68" s="155">
        <v>5.5</v>
      </c>
      <c r="G68" s="155"/>
      <c r="H68" s="155">
        <f>F68*D68</f>
        <v>3437.5</v>
      </c>
      <c r="I68" s="159"/>
      <c r="J68" s="159"/>
      <c r="K68" s="155">
        <v>5.5</v>
      </c>
      <c r="L68" s="155"/>
      <c r="M68" s="155">
        <f>K68*I68</f>
        <v>0</v>
      </c>
      <c r="N68" s="159"/>
      <c r="O68" s="159"/>
      <c r="P68" s="155">
        <v>5.5</v>
      </c>
      <c r="Q68" s="155"/>
      <c r="R68" s="156">
        <f>P68*N68</f>
        <v>0</v>
      </c>
      <c r="S68" s="159">
        <f>CEILING(S66*5.5,1)</f>
        <v>671</v>
      </c>
      <c r="T68" s="159"/>
      <c r="U68" s="155">
        <v>5.5</v>
      </c>
      <c r="V68" s="155"/>
      <c r="W68" s="155">
        <f>U68*S68</f>
        <v>3690.5</v>
      </c>
      <c r="X68" s="159">
        <f>CEILING(X66*6.5,1)</f>
        <v>65</v>
      </c>
      <c r="Y68" s="159"/>
      <c r="Z68" s="155">
        <v>5.5</v>
      </c>
      <c r="AA68" s="155"/>
      <c r="AB68" s="155">
        <f>Z68*X68</f>
        <v>357.5</v>
      </c>
      <c r="AC68" s="406"/>
    </row>
    <row r="69" spans="1:29" ht="13.65" customHeight="1">
      <c r="A69" s="115"/>
      <c r="B69" s="48" t="s">
        <v>453</v>
      </c>
      <c r="C69" s="157" t="s">
        <v>88</v>
      </c>
      <c r="D69" s="159">
        <f>CEILING(D66*0.4,1)</f>
        <v>39</v>
      </c>
      <c r="E69" s="159"/>
      <c r="F69" s="155">
        <v>90</v>
      </c>
      <c r="G69" s="155"/>
      <c r="H69" s="155">
        <f>F69*D69</f>
        <v>3510</v>
      </c>
      <c r="I69" s="159"/>
      <c r="J69" s="159"/>
      <c r="K69" s="155">
        <v>90</v>
      </c>
      <c r="L69" s="155"/>
      <c r="M69" s="155">
        <f>K69*I69</f>
        <v>0</v>
      </c>
      <c r="N69" s="159"/>
      <c r="O69" s="159"/>
      <c r="P69" s="155">
        <v>90</v>
      </c>
      <c r="Q69" s="155"/>
      <c r="R69" s="156">
        <f>P69*N69</f>
        <v>0</v>
      </c>
      <c r="S69" s="159">
        <f>CEILING(S66*0.4,1)</f>
        <v>49</v>
      </c>
      <c r="T69" s="159"/>
      <c r="U69" s="155">
        <v>90</v>
      </c>
      <c r="V69" s="155"/>
      <c r="W69" s="155">
        <f>U69*S69</f>
        <v>4410</v>
      </c>
      <c r="X69" s="159">
        <f>CEILING(X66*0.4,1)</f>
        <v>4</v>
      </c>
      <c r="Y69" s="159"/>
      <c r="Z69" s="155">
        <v>90</v>
      </c>
      <c r="AA69" s="155"/>
      <c r="AB69" s="155">
        <f>Z69*X69</f>
        <v>360</v>
      </c>
      <c r="AC69" s="406"/>
    </row>
    <row r="70" spans="1:29" ht="13.65" customHeight="1">
      <c r="A70" s="115"/>
      <c r="B70" s="157" t="s">
        <v>117</v>
      </c>
      <c r="C70" s="157" t="s">
        <v>21</v>
      </c>
      <c r="D70" s="159">
        <f>CEILING(D66*22,1)</f>
        <v>2115</v>
      </c>
      <c r="E70" s="159"/>
      <c r="F70" s="155">
        <v>0.08</v>
      </c>
      <c r="G70" s="155"/>
      <c r="H70" s="155">
        <f>F70*D70</f>
        <v>169.20000000000002</v>
      </c>
      <c r="I70" s="159"/>
      <c r="J70" s="159"/>
      <c r="K70" s="155">
        <v>0.08</v>
      </c>
      <c r="L70" s="155"/>
      <c r="M70" s="155">
        <f>K70*I70</f>
        <v>0</v>
      </c>
      <c r="N70" s="159"/>
      <c r="O70" s="159"/>
      <c r="P70" s="155">
        <v>0.08</v>
      </c>
      <c r="Q70" s="155"/>
      <c r="R70" s="156">
        <f>P70*N70</f>
        <v>0</v>
      </c>
      <c r="S70" s="159">
        <f>CEILING(S66*22,1)</f>
        <v>2684</v>
      </c>
      <c r="T70" s="159"/>
      <c r="U70" s="155">
        <v>0.08</v>
      </c>
      <c r="V70" s="155"/>
      <c r="W70" s="155">
        <f>U70*S70</f>
        <v>214.72</v>
      </c>
      <c r="X70" s="159">
        <f>CEILING(X66*22,1)</f>
        <v>218</v>
      </c>
      <c r="Y70" s="159"/>
      <c r="Z70" s="155">
        <v>0.08</v>
      </c>
      <c r="AA70" s="155"/>
      <c r="AB70" s="155">
        <f>Z70*X70</f>
        <v>17.440000000000001</v>
      </c>
      <c r="AC70" s="406"/>
    </row>
    <row r="71" spans="1:29" ht="13.65" customHeight="1">
      <c r="A71" s="115"/>
      <c r="B71" s="157" t="s">
        <v>118</v>
      </c>
      <c r="C71" s="157" t="s">
        <v>21</v>
      </c>
      <c r="D71" s="159">
        <v>1</v>
      </c>
      <c r="E71" s="159"/>
      <c r="F71" s="155">
        <v>531</v>
      </c>
      <c r="G71" s="155"/>
      <c r="H71" s="155">
        <f>F71*D71</f>
        <v>531</v>
      </c>
      <c r="I71" s="159"/>
      <c r="J71" s="159"/>
      <c r="K71" s="155">
        <v>531</v>
      </c>
      <c r="L71" s="155"/>
      <c r="M71" s="155">
        <f>K71*I71</f>
        <v>0</v>
      </c>
      <c r="N71" s="159"/>
      <c r="O71" s="159"/>
      <c r="P71" s="155">
        <v>531</v>
      </c>
      <c r="Q71" s="155"/>
      <c r="R71" s="156">
        <f>P71*N71</f>
        <v>0</v>
      </c>
      <c r="S71" s="159">
        <v>1</v>
      </c>
      <c r="T71" s="159"/>
      <c r="U71" s="155">
        <v>531</v>
      </c>
      <c r="V71" s="155"/>
      <c r="W71" s="155">
        <f>U71*S71</f>
        <v>531</v>
      </c>
      <c r="X71" s="159">
        <v>0.1</v>
      </c>
      <c r="Y71" s="159"/>
      <c r="Z71" s="155">
        <v>531</v>
      </c>
      <c r="AA71" s="155"/>
      <c r="AB71" s="155">
        <f>Z71*X71</f>
        <v>53.1</v>
      </c>
      <c r="AC71" s="406"/>
    </row>
    <row r="72" spans="1:29" ht="14.4" customHeight="1">
      <c r="A72" s="115"/>
      <c r="B72" s="163"/>
      <c r="C72" s="163"/>
      <c r="D72" s="29"/>
      <c r="E72" s="30"/>
      <c r="F72" s="30"/>
      <c r="G72" s="30"/>
      <c r="H72" s="30"/>
      <c r="I72" s="29"/>
      <c r="J72" s="30"/>
      <c r="K72" s="30"/>
      <c r="L72" s="30"/>
      <c r="M72" s="30"/>
      <c r="N72" s="29"/>
      <c r="O72" s="30"/>
      <c r="P72" s="30"/>
      <c r="Q72" s="30"/>
      <c r="R72" s="164"/>
      <c r="S72" s="29"/>
      <c r="T72" s="30"/>
      <c r="U72" s="30"/>
      <c r="V72" s="30"/>
      <c r="W72" s="30"/>
      <c r="X72" s="29"/>
      <c r="Y72" s="30"/>
      <c r="Z72" s="30"/>
      <c r="AA72" s="30"/>
      <c r="AB72" s="30"/>
      <c r="AC72" s="406"/>
    </row>
    <row r="73" spans="1:29" ht="13.65" customHeight="1">
      <c r="A73" s="115"/>
      <c r="B73" s="150" t="s">
        <v>119</v>
      </c>
      <c r="C73" s="161" t="s">
        <v>37</v>
      </c>
      <c r="D73" s="151">
        <v>100</v>
      </c>
      <c r="E73" s="152">
        <v>25</v>
      </c>
      <c r="F73" s="152"/>
      <c r="G73" s="154">
        <f>D73*E73</f>
        <v>2500</v>
      </c>
      <c r="H73" s="30"/>
      <c r="I73" s="151">
        <v>70</v>
      </c>
      <c r="J73" s="152">
        <v>25</v>
      </c>
      <c r="K73" s="152"/>
      <c r="L73" s="154">
        <f>I73*J73</f>
        <v>1750</v>
      </c>
      <c r="M73" s="30"/>
      <c r="N73" s="151"/>
      <c r="O73" s="152">
        <v>25</v>
      </c>
      <c r="P73" s="152"/>
      <c r="Q73" s="154">
        <f>N73*O73</f>
        <v>0</v>
      </c>
      <c r="R73" s="164"/>
      <c r="S73" s="151"/>
      <c r="T73" s="152">
        <v>25</v>
      </c>
      <c r="U73" s="152"/>
      <c r="V73" s="154">
        <f>S73*T73</f>
        <v>0</v>
      </c>
      <c r="W73" s="30"/>
      <c r="X73" s="151"/>
      <c r="Y73" s="152">
        <v>25</v>
      </c>
      <c r="Z73" s="152"/>
      <c r="AA73" s="154">
        <f>X73*Y73</f>
        <v>0</v>
      </c>
      <c r="AB73" s="30"/>
      <c r="AC73" s="406"/>
    </row>
    <row r="74" spans="1:29" ht="13.65" customHeight="1">
      <c r="A74" s="115"/>
      <c r="B74" s="150" t="s">
        <v>120</v>
      </c>
      <c r="C74" s="161" t="s">
        <v>37</v>
      </c>
      <c r="D74" s="151">
        <v>100</v>
      </c>
      <c r="E74" s="152">
        <v>25</v>
      </c>
      <c r="F74" s="152"/>
      <c r="G74" s="154">
        <f>D74*E74</f>
        <v>2500</v>
      </c>
      <c r="H74" s="30"/>
      <c r="I74" s="151">
        <v>70</v>
      </c>
      <c r="J74" s="152">
        <v>25</v>
      </c>
      <c r="K74" s="152"/>
      <c r="L74" s="154">
        <f>I74*J74</f>
        <v>1750</v>
      </c>
      <c r="M74" s="30"/>
      <c r="N74" s="151"/>
      <c r="O74" s="152">
        <v>25</v>
      </c>
      <c r="P74" s="152"/>
      <c r="Q74" s="154">
        <f>N74*O74</f>
        <v>0</v>
      </c>
      <c r="R74" s="164"/>
      <c r="S74" s="151"/>
      <c r="T74" s="152">
        <v>25</v>
      </c>
      <c r="U74" s="152"/>
      <c r="V74" s="154">
        <f>S74*T74</f>
        <v>0</v>
      </c>
      <c r="W74" s="30"/>
      <c r="X74" s="151"/>
      <c r="Y74" s="152">
        <v>25</v>
      </c>
      <c r="Z74" s="152"/>
      <c r="AA74" s="154">
        <f>X74*Y74</f>
        <v>0</v>
      </c>
      <c r="AB74" s="30"/>
      <c r="AC74" s="406"/>
    </row>
    <row r="75" spans="1:29" ht="13.65" customHeight="1">
      <c r="A75" s="115"/>
      <c r="B75" s="150" t="s">
        <v>121</v>
      </c>
      <c r="C75" s="161" t="s">
        <v>122</v>
      </c>
      <c r="D75" s="151">
        <v>14</v>
      </c>
      <c r="E75" s="152"/>
      <c r="F75" s="152"/>
      <c r="G75" s="154">
        <v>5200</v>
      </c>
      <c r="H75" s="30"/>
      <c r="I75" s="151">
        <v>14</v>
      </c>
      <c r="J75" s="152"/>
      <c r="K75" s="152"/>
      <c r="L75" s="154">
        <v>5200</v>
      </c>
      <c r="M75" s="30"/>
      <c r="N75" s="151"/>
      <c r="O75" s="152"/>
      <c r="P75" s="152"/>
      <c r="Q75" s="154">
        <f>N75*O75</f>
        <v>0</v>
      </c>
      <c r="R75" s="164"/>
      <c r="S75" s="151"/>
      <c r="T75" s="152"/>
      <c r="U75" s="152"/>
      <c r="V75" s="154"/>
      <c r="W75" s="30"/>
      <c r="X75" s="151"/>
      <c r="Y75" s="152"/>
      <c r="Z75" s="152"/>
      <c r="AA75" s="154"/>
      <c r="AB75" s="30"/>
      <c r="AC75" s="406"/>
    </row>
    <row r="76" spans="1:29" ht="13.65" customHeight="1">
      <c r="A76" s="115"/>
      <c r="B76" s="150" t="s">
        <v>123</v>
      </c>
      <c r="C76" s="161" t="s">
        <v>124</v>
      </c>
      <c r="D76" s="151">
        <v>2</v>
      </c>
      <c r="E76" s="152">
        <v>1200</v>
      </c>
      <c r="F76" s="152"/>
      <c r="G76" s="154">
        <f>D76*E76</f>
        <v>2400</v>
      </c>
      <c r="H76" s="30"/>
      <c r="I76" s="151">
        <v>1</v>
      </c>
      <c r="J76" s="152">
        <v>1200</v>
      </c>
      <c r="K76" s="152"/>
      <c r="L76" s="154">
        <f>I76*J76</f>
        <v>1200</v>
      </c>
      <c r="M76" s="30"/>
      <c r="N76" s="151"/>
      <c r="O76" s="152">
        <v>1200</v>
      </c>
      <c r="P76" s="152"/>
      <c r="Q76" s="154">
        <f>N76*O76</f>
        <v>0</v>
      </c>
      <c r="R76" s="164"/>
      <c r="S76" s="151"/>
      <c r="T76" s="152">
        <v>1200</v>
      </c>
      <c r="U76" s="152"/>
      <c r="V76" s="154">
        <f>S76*T76</f>
        <v>0</v>
      </c>
      <c r="W76" s="30"/>
      <c r="X76" s="151"/>
      <c r="Y76" s="152">
        <v>1200</v>
      </c>
      <c r="Z76" s="152"/>
      <c r="AA76" s="154">
        <f>X76*Y76</f>
        <v>0</v>
      </c>
      <c r="AB76" s="30"/>
      <c r="AC76" s="406"/>
    </row>
    <row r="77" spans="1:29" ht="13.65" customHeight="1">
      <c r="A77" s="115"/>
      <c r="B77" s="165" t="s">
        <v>125</v>
      </c>
      <c r="C77" s="166" t="s">
        <v>126</v>
      </c>
      <c r="D77" s="133">
        <v>44</v>
      </c>
      <c r="E77" s="167">
        <v>750</v>
      </c>
      <c r="F77" s="167"/>
      <c r="G77" s="168">
        <f>D77*E77</f>
        <v>33000</v>
      </c>
      <c r="H77" s="30"/>
      <c r="I77" s="133">
        <v>30</v>
      </c>
      <c r="J77" s="167">
        <v>750</v>
      </c>
      <c r="K77" s="167"/>
      <c r="L77" s="168">
        <f>I77*J77</f>
        <v>22500</v>
      </c>
      <c r="M77" s="30"/>
      <c r="N77" s="133">
        <v>5</v>
      </c>
      <c r="O77" s="167">
        <v>750</v>
      </c>
      <c r="P77" s="167"/>
      <c r="Q77" s="168">
        <f>N77*O77</f>
        <v>3750</v>
      </c>
      <c r="R77" s="164"/>
      <c r="S77" s="133"/>
      <c r="T77" s="167">
        <v>750</v>
      </c>
      <c r="U77" s="167"/>
      <c r="V77" s="168">
        <f>S77*T77</f>
        <v>0</v>
      </c>
      <c r="W77" s="30"/>
      <c r="X77" s="133">
        <v>9</v>
      </c>
      <c r="Y77" s="167">
        <v>750</v>
      </c>
      <c r="Z77" s="167"/>
      <c r="AA77" s="168">
        <f>X77*Y77</f>
        <v>6750</v>
      </c>
      <c r="AB77" s="30"/>
      <c r="AC77" s="406"/>
    </row>
    <row r="78" spans="1:29" ht="13.65" customHeight="1">
      <c r="A78" s="454"/>
      <c r="B78" s="455" t="s">
        <v>127</v>
      </c>
      <c r="C78" s="456"/>
      <c r="D78" s="457"/>
      <c r="E78" s="458"/>
      <c r="F78" s="458"/>
      <c r="G78" s="458"/>
      <c r="H78" s="458"/>
      <c r="I78" s="457"/>
      <c r="J78" s="458"/>
      <c r="K78" s="458"/>
      <c r="L78" s="458"/>
      <c r="M78" s="458"/>
      <c r="N78" s="457"/>
      <c r="O78" s="458"/>
      <c r="P78" s="458"/>
      <c r="Q78" s="458"/>
      <c r="R78" s="459"/>
      <c r="S78" s="457"/>
      <c r="T78" s="458"/>
      <c r="U78" s="458"/>
      <c r="V78" s="458"/>
      <c r="W78" s="458"/>
      <c r="X78" s="457"/>
      <c r="Y78" s="458"/>
      <c r="Z78" s="458"/>
      <c r="AA78" s="458"/>
      <c r="AB78" s="458"/>
    </row>
    <row r="79" spans="1:29" ht="13.65" customHeight="1">
      <c r="A79" s="460"/>
      <c r="B79" s="682" t="s">
        <v>64</v>
      </c>
      <c r="C79" s="683"/>
      <c r="D79" s="683"/>
      <c r="E79" s="461"/>
      <c r="F79" s="462"/>
      <c r="G79" s="463">
        <f>SUM(G13:G78)</f>
        <v>368260.88</v>
      </c>
      <c r="H79" s="464"/>
      <c r="I79" s="465"/>
      <c r="J79" s="461"/>
      <c r="K79" s="462"/>
      <c r="L79" s="463">
        <f>SUM(L13:L78)</f>
        <v>166831.80000000002</v>
      </c>
      <c r="M79" s="464"/>
      <c r="N79" s="465"/>
      <c r="O79" s="461"/>
      <c r="P79" s="462"/>
      <c r="Q79" s="463">
        <f>SUM(Q13:Q78)</f>
        <v>17709</v>
      </c>
      <c r="R79" s="464"/>
      <c r="S79" s="466"/>
      <c r="T79" s="461"/>
      <c r="U79" s="462"/>
      <c r="V79" s="463">
        <f>SUM(V13:V78)</f>
        <v>59444</v>
      </c>
      <c r="W79" s="464"/>
      <c r="X79" s="466"/>
      <c r="Y79" s="461"/>
      <c r="Z79" s="462"/>
      <c r="AA79" s="463">
        <f>SUM(AA13:AA78)</f>
        <v>14405.8</v>
      </c>
      <c r="AB79" s="464"/>
    </row>
    <row r="80" spans="1:29" ht="13.65" customHeight="1">
      <c r="A80" s="460"/>
      <c r="B80" s="682" t="s">
        <v>65</v>
      </c>
      <c r="C80" s="683"/>
      <c r="D80" s="683"/>
      <c r="E80" s="461"/>
      <c r="F80" s="462"/>
      <c r="G80" s="463"/>
      <c r="H80" s="464">
        <f>SUM(H13:H79)</f>
        <v>228891.61680000002</v>
      </c>
      <c r="I80" s="465"/>
      <c r="J80" s="461"/>
      <c r="K80" s="462"/>
      <c r="L80" s="463"/>
      <c r="M80" s="464">
        <f>SUM(M13:M79)</f>
        <v>94243.064266666683</v>
      </c>
      <c r="N80" s="465"/>
      <c r="O80" s="461"/>
      <c r="P80" s="462"/>
      <c r="Q80" s="463"/>
      <c r="R80" s="464">
        <f>SUM(R13:R79)</f>
        <v>14569.0759</v>
      </c>
      <c r="S80" s="466"/>
      <c r="T80" s="461"/>
      <c r="U80" s="462"/>
      <c r="V80" s="463"/>
      <c r="W80" s="464">
        <f>SUM(W13:W79)</f>
        <v>37394.68</v>
      </c>
      <c r="X80" s="466"/>
      <c r="Y80" s="461"/>
      <c r="Z80" s="462"/>
      <c r="AA80" s="463"/>
      <c r="AB80" s="464">
        <f>SUM(AB13:AB79)</f>
        <v>6701.7831999999999</v>
      </c>
    </row>
    <row r="81" spans="1:28" ht="13.65" customHeight="1">
      <c r="A81" s="460"/>
      <c r="B81" s="682" t="s">
        <v>66</v>
      </c>
      <c r="C81" s="683"/>
      <c r="D81" s="683"/>
      <c r="E81" s="467">
        <v>0.1</v>
      </c>
      <c r="F81" s="462"/>
      <c r="G81" s="462"/>
      <c r="H81" s="461">
        <f>H80*E81</f>
        <v>22889.161680000005</v>
      </c>
      <c r="I81" s="465"/>
      <c r="J81" s="467">
        <v>0.1</v>
      </c>
      <c r="K81" s="462"/>
      <c r="L81" s="462"/>
      <c r="M81" s="461">
        <f>M80*J81</f>
        <v>9424.3064266666679</v>
      </c>
      <c r="N81" s="465"/>
      <c r="O81" s="467">
        <v>0.1</v>
      </c>
      <c r="P81" s="462"/>
      <c r="Q81" s="462"/>
      <c r="R81" s="461">
        <f>R80*O81</f>
        <v>1456.90759</v>
      </c>
      <c r="S81" s="466"/>
      <c r="T81" s="467">
        <v>0.1</v>
      </c>
      <c r="U81" s="462"/>
      <c r="V81" s="462"/>
      <c r="W81" s="461">
        <f>W80*T81</f>
        <v>3739.4680000000003</v>
      </c>
      <c r="X81" s="466"/>
      <c r="Y81" s="467">
        <v>0.1</v>
      </c>
      <c r="Z81" s="462"/>
      <c r="AA81" s="462"/>
      <c r="AB81" s="461">
        <f>AB80*Y81</f>
        <v>670.17831999999999</v>
      </c>
    </row>
    <row r="82" spans="1:28" ht="13.65" customHeight="1">
      <c r="A82" s="460"/>
      <c r="B82" s="682" t="s">
        <v>67</v>
      </c>
      <c r="C82" s="683"/>
      <c r="D82" s="683"/>
      <c r="E82" s="467">
        <v>0.1</v>
      </c>
      <c r="F82" s="462"/>
      <c r="G82" s="462">
        <f>G79*E82</f>
        <v>36826.088000000003</v>
      </c>
      <c r="H82" s="461"/>
      <c r="I82" s="465"/>
      <c r="J82" s="467">
        <v>0.1</v>
      </c>
      <c r="K82" s="462"/>
      <c r="L82" s="462">
        <f>L79*J82</f>
        <v>16683.180000000004</v>
      </c>
      <c r="M82" s="461"/>
      <c r="N82" s="465"/>
      <c r="O82" s="467">
        <v>0.1</v>
      </c>
      <c r="P82" s="462"/>
      <c r="Q82" s="462">
        <f>Q79*O82</f>
        <v>1770.9</v>
      </c>
      <c r="R82" s="461"/>
      <c r="S82" s="466"/>
      <c r="T82" s="467">
        <v>0.1</v>
      </c>
      <c r="U82" s="462"/>
      <c r="V82" s="462">
        <f>V79*T82</f>
        <v>5944.4000000000005</v>
      </c>
      <c r="W82" s="461"/>
      <c r="X82" s="466"/>
      <c r="Y82" s="467">
        <v>0.1</v>
      </c>
      <c r="Z82" s="462"/>
      <c r="AA82" s="462">
        <f>AA79*Y82</f>
        <v>1440.58</v>
      </c>
      <c r="AB82" s="461"/>
    </row>
    <row r="83" spans="1:28" ht="13.65" customHeight="1">
      <c r="A83" s="460"/>
      <c r="B83" s="682" t="s">
        <v>68</v>
      </c>
      <c r="C83" s="683"/>
      <c r="D83" s="683"/>
      <c r="E83" s="468">
        <v>0.05</v>
      </c>
      <c r="F83" s="462"/>
      <c r="G83" s="462"/>
      <c r="H83" s="461">
        <f>H80*E83</f>
        <v>11444.580840000002</v>
      </c>
      <c r="I83" s="465"/>
      <c r="J83" s="468">
        <v>0.05</v>
      </c>
      <c r="K83" s="462"/>
      <c r="L83" s="462"/>
      <c r="M83" s="461">
        <f>M80*J83</f>
        <v>4712.153213333334</v>
      </c>
      <c r="N83" s="465"/>
      <c r="O83" s="468">
        <v>0.05</v>
      </c>
      <c r="P83" s="462"/>
      <c r="Q83" s="462"/>
      <c r="R83" s="461">
        <f>R80*O83</f>
        <v>728.45379500000001</v>
      </c>
      <c r="S83" s="466"/>
      <c r="T83" s="468">
        <v>0.05</v>
      </c>
      <c r="U83" s="462"/>
      <c r="V83" s="462"/>
      <c r="W83" s="461">
        <f>W80*T83</f>
        <v>1869.7340000000002</v>
      </c>
      <c r="X83" s="466"/>
      <c r="Y83" s="468">
        <v>0.05</v>
      </c>
      <c r="Z83" s="462"/>
      <c r="AA83" s="462"/>
      <c r="AB83" s="461">
        <f>AB80*Y83</f>
        <v>335.08915999999999</v>
      </c>
    </row>
    <row r="84" spans="1:28" ht="13.65" customHeight="1">
      <c r="A84" s="460"/>
      <c r="B84" s="684" t="s">
        <v>69</v>
      </c>
      <c r="C84" s="685"/>
      <c r="D84" s="685"/>
      <c r="E84" s="685"/>
      <c r="F84" s="685"/>
      <c r="G84" s="685"/>
      <c r="H84" s="469">
        <f>SUM(G79:G83,H79:H83)</f>
        <v>668312.32732000004</v>
      </c>
      <c r="I84" s="465"/>
      <c r="J84" s="465"/>
      <c r="K84" s="465"/>
      <c r="L84" s="465"/>
      <c r="M84" s="469">
        <f>SUM(L79:L83,M79:M83)</f>
        <v>291894.50390666671</v>
      </c>
      <c r="N84" s="465"/>
      <c r="O84" s="465"/>
      <c r="P84" s="465"/>
      <c r="Q84" s="465"/>
      <c r="R84" s="469">
        <f>SUM(Q79:Q83,R79:R83)</f>
        <v>36234.337285000009</v>
      </c>
      <c r="S84" s="466"/>
      <c r="T84" s="466"/>
      <c r="U84" s="466"/>
      <c r="V84" s="466"/>
      <c r="W84" s="469">
        <f>SUM(V79:V83,W79:W83)</f>
        <v>108392.28199999999</v>
      </c>
      <c r="X84" s="466"/>
      <c r="Y84" s="466"/>
      <c r="Z84" s="466"/>
      <c r="AA84" s="466"/>
      <c r="AB84" s="469">
        <f>SUM(AA79:AA83,AB79:AB83)</f>
        <v>23553.430679999998</v>
      </c>
    </row>
    <row r="85" spans="1:28" ht="13.65" customHeight="1">
      <c r="A85" s="460"/>
      <c r="B85" s="470" t="s">
        <v>128</v>
      </c>
      <c r="C85" s="471"/>
      <c r="D85" s="472"/>
      <c r="E85" s="472"/>
      <c r="F85" s="473"/>
      <c r="G85" s="474"/>
      <c r="H85" s="475">
        <f>H84*0.2</f>
        <v>133662.46546400001</v>
      </c>
      <c r="I85" s="472"/>
      <c r="J85" s="472"/>
      <c r="K85" s="473"/>
      <c r="L85" s="474"/>
      <c r="M85" s="475">
        <f>M84*0.2</f>
        <v>58378.900781333345</v>
      </c>
      <c r="N85" s="472"/>
      <c r="O85" s="472"/>
      <c r="P85" s="473"/>
      <c r="Q85" s="474"/>
      <c r="R85" s="475">
        <f>R84*0.2</f>
        <v>7246.8674570000021</v>
      </c>
      <c r="S85" s="472"/>
      <c r="T85" s="472"/>
      <c r="U85" s="473"/>
      <c r="V85" s="474"/>
      <c r="W85" s="475">
        <f>W84*0.2</f>
        <v>21678.456399999999</v>
      </c>
      <c r="X85" s="472"/>
      <c r="Y85" s="472"/>
      <c r="Z85" s="473"/>
      <c r="AA85" s="474"/>
      <c r="AB85" s="475">
        <f>AB84*0.2</f>
        <v>4710.6861359999994</v>
      </c>
    </row>
    <row r="86" spans="1:28" s="409" customFormat="1" ht="15.75" customHeight="1">
      <c r="A86" s="460"/>
      <c r="B86" s="680" t="s">
        <v>71</v>
      </c>
      <c r="C86" s="681"/>
      <c r="D86" s="681"/>
      <c r="E86" s="681"/>
      <c r="F86" s="681"/>
      <c r="G86" s="681"/>
      <c r="H86" s="476">
        <f>SUM(H84:H85)</f>
        <v>801974.79278400005</v>
      </c>
      <c r="I86" s="465"/>
      <c r="J86" s="465"/>
      <c r="K86" s="465"/>
      <c r="L86" s="465"/>
      <c r="M86" s="476">
        <f>SUM(M84:M85)</f>
        <v>350273.40468800004</v>
      </c>
      <c r="N86" s="465"/>
      <c r="O86" s="465"/>
      <c r="P86" s="465"/>
      <c r="Q86" s="465"/>
      <c r="R86" s="476">
        <f>SUM(R84:R85)</f>
        <v>43481.204742000009</v>
      </c>
      <c r="S86" s="466"/>
      <c r="T86" s="466"/>
      <c r="U86" s="466"/>
      <c r="V86" s="466"/>
      <c r="W86" s="476">
        <f>SUM(W84:W85)</f>
        <v>130070.73839999999</v>
      </c>
      <c r="X86" s="466"/>
      <c r="Y86" s="466"/>
      <c r="Z86" s="466"/>
      <c r="AA86" s="466"/>
      <c r="AB86" s="476">
        <f>SUM(AB84:AB85)</f>
        <v>28264.116815999998</v>
      </c>
    </row>
    <row r="87" spans="1:28" s="409" customFormat="1" ht="14.1" customHeight="1">
      <c r="A87" s="238"/>
      <c r="B87" s="238"/>
      <c r="C87" s="238"/>
      <c r="D87" s="238"/>
      <c r="E87" s="238"/>
      <c r="F87" s="238"/>
      <c r="G87" s="238"/>
      <c r="H87" s="238"/>
      <c r="I87" s="238"/>
      <c r="J87" s="238"/>
      <c r="K87" s="238"/>
      <c r="L87" s="238"/>
      <c r="M87" s="238"/>
      <c r="N87" s="238"/>
      <c r="O87" s="238"/>
      <c r="P87" s="238"/>
      <c r="Q87" s="238"/>
      <c r="R87" s="238"/>
      <c r="S87" s="238"/>
      <c r="T87" s="238"/>
      <c r="U87" s="238"/>
      <c r="V87" s="238"/>
      <c r="W87" s="238"/>
      <c r="X87" s="238"/>
      <c r="Y87" s="238"/>
      <c r="Z87" s="238"/>
      <c r="AA87" s="238"/>
      <c r="AB87" s="238"/>
    </row>
    <row r="88" spans="1:28" s="409" customFormat="1" ht="12.75" customHeight="1">
      <c r="A88" s="411"/>
      <c r="B88" s="412" t="s">
        <v>129</v>
      </c>
      <c r="C88" s="413"/>
      <c r="D88" s="414"/>
      <c r="E88" s="414"/>
      <c r="F88" s="415"/>
      <c r="G88" s="415"/>
      <c r="H88" s="415"/>
      <c r="I88" s="414"/>
      <c r="J88" s="414"/>
      <c r="K88" s="415"/>
      <c r="L88" s="415"/>
      <c r="M88" s="415"/>
      <c r="N88" s="414"/>
      <c r="O88" s="414"/>
      <c r="P88" s="415"/>
      <c r="Q88" s="415"/>
      <c r="R88" s="415"/>
      <c r="S88" s="414"/>
      <c r="T88" s="414"/>
      <c r="U88" s="415"/>
      <c r="V88" s="415"/>
      <c r="W88" s="415"/>
      <c r="X88" s="414"/>
      <c r="Y88" s="414"/>
      <c r="Z88" s="415"/>
      <c r="AA88" s="415"/>
      <c r="AB88" s="415"/>
    </row>
    <row r="89" spans="1:28" s="409" customFormat="1" ht="12.75" customHeight="1">
      <c r="A89" s="411"/>
      <c r="B89" s="416" t="s">
        <v>130</v>
      </c>
      <c r="C89" s="413"/>
      <c r="D89" s="414"/>
      <c r="E89" s="417"/>
      <c r="F89" s="415"/>
      <c r="G89" s="415"/>
      <c r="H89" s="415"/>
      <c r="I89" s="414"/>
      <c r="J89" s="417"/>
      <c r="K89" s="415"/>
      <c r="L89" s="415"/>
      <c r="M89" s="415"/>
      <c r="N89" s="414"/>
      <c r="O89" s="417"/>
      <c r="P89" s="415"/>
      <c r="Q89" s="415"/>
      <c r="R89" s="415"/>
      <c r="S89" s="414"/>
      <c r="T89" s="417"/>
      <c r="U89" s="415"/>
      <c r="V89" s="415"/>
      <c r="W89" s="415"/>
      <c r="X89" s="414"/>
      <c r="Y89" s="417"/>
      <c r="Z89" s="415"/>
      <c r="AA89" s="415"/>
      <c r="AB89" s="415"/>
    </row>
    <row r="90" spans="1:28" s="409" customFormat="1" ht="12.75" customHeight="1">
      <c r="A90" s="411"/>
      <c r="B90" s="416" t="s">
        <v>131</v>
      </c>
      <c r="C90" s="416" t="s">
        <v>132</v>
      </c>
      <c r="D90" s="414"/>
      <c r="E90" s="418"/>
      <c r="F90" s="415"/>
      <c r="G90" s="415"/>
      <c r="H90" s="415"/>
      <c r="I90" s="414"/>
      <c r="J90" s="418"/>
      <c r="K90" s="415"/>
      <c r="L90" s="415"/>
      <c r="M90" s="415"/>
      <c r="N90" s="414"/>
      <c r="O90" s="418"/>
      <c r="P90" s="415"/>
      <c r="Q90" s="415"/>
      <c r="R90" s="415"/>
      <c r="S90" s="414"/>
      <c r="T90" s="418"/>
      <c r="U90" s="415"/>
      <c r="V90" s="415"/>
      <c r="W90" s="415"/>
      <c r="X90" s="414"/>
      <c r="Y90" s="418"/>
      <c r="Z90" s="415"/>
      <c r="AA90" s="415"/>
      <c r="AB90" s="415"/>
    </row>
    <row r="91" spans="1:28" s="409" customFormat="1" ht="13.2" customHeight="1">
      <c r="A91" s="411"/>
      <c r="B91" s="419"/>
      <c r="C91" s="413"/>
      <c r="D91" s="414"/>
      <c r="E91" s="418"/>
      <c r="F91" s="415"/>
      <c r="G91" s="415"/>
      <c r="H91" s="415"/>
      <c r="I91" s="414"/>
      <c r="J91" s="418"/>
      <c r="K91" s="415"/>
      <c r="L91" s="415"/>
      <c r="M91" s="415"/>
      <c r="N91" s="414"/>
      <c r="O91" s="418"/>
      <c r="P91" s="415"/>
      <c r="Q91" s="415"/>
      <c r="R91" s="415"/>
      <c r="S91" s="414"/>
      <c r="T91" s="418"/>
      <c r="U91" s="415"/>
      <c r="V91" s="415"/>
      <c r="W91" s="415"/>
      <c r="X91" s="414"/>
      <c r="Y91" s="418"/>
      <c r="Z91" s="415"/>
      <c r="AA91" s="415"/>
      <c r="AB91" s="415"/>
    </row>
    <row r="92" spans="1:28" s="409" customFormat="1" ht="13.2" customHeight="1">
      <c r="A92" s="411"/>
      <c r="B92" s="419"/>
      <c r="C92" s="413"/>
      <c r="D92" s="414"/>
      <c r="E92" s="418"/>
      <c r="F92" s="420"/>
      <c r="G92" s="420"/>
      <c r="H92" s="420"/>
      <c r="I92" s="414"/>
      <c r="J92" s="418"/>
      <c r="K92" s="420"/>
      <c r="L92" s="420"/>
      <c r="M92" s="420"/>
      <c r="N92" s="414"/>
      <c r="O92" s="418"/>
      <c r="P92" s="420"/>
      <c r="Q92" s="420"/>
      <c r="R92" s="420"/>
      <c r="S92" s="414"/>
      <c r="T92" s="418"/>
      <c r="U92" s="420"/>
      <c r="V92" s="420"/>
      <c r="W92" s="420"/>
      <c r="X92" s="414"/>
      <c r="Y92" s="418"/>
      <c r="Z92" s="420"/>
      <c r="AA92" s="420"/>
      <c r="AB92" s="420"/>
    </row>
    <row r="93" spans="1:28" s="409" customFormat="1" ht="13.2" customHeight="1">
      <c r="A93" s="421"/>
      <c r="B93" s="422"/>
      <c r="C93" s="422"/>
      <c r="D93" s="414"/>
      <c r="E93" s="414"/>
      <c r="F93" s="420"/>
      <c r="G93" s="420"/>
      <c r="H93" s="420"/>
      <c r="I93" s="414"/>
      <c r="J93" s="414"/>
      <c r="K93" s="420"/>
      <c r="L93" s="420"/>
      <c r="M93" s="420"/>
      <c r="N93" s="414"/>
      <c r="O93" s="414"/>
      <c r="P93" s="420"/>
      <c r="Q93" s="420"/>
      <c r="R93" s="420"/>
      <c r="S93" s="414"/>
      <c r="T93" s="414"/>
      <c r="U93" s="420"/>
      <c r="V93" s="420"/>
      <c r="W93" s="420"/>
      <c r="X93" s="414"/>
      <c r="Y93" s="414"/>
      <c r="Z93" s="420"/>
      <c r="AA93" s="420"/>
      <c r="AB93" s="420"/>
    </row>
    <row r="94" spans="1:28" s="409" customFormat="1" ht="12.75" customHeight="1">
      <c r="A94" s="421"/>
      <c r="B94" s="412" t="s">
        <v>133</v>
      </c>
      <c r="C94" s="422"/>
      <c r="D94" s="414"/>
      <c r="E94" s="414"/>
      <c r="F94" s="420"/>
      <c r="G94" s="420"/>
      <c r="H94" s="420"/>
      <c r="I94" s="414"/>
      <c r="J94" s="414"/>
      <c r="K94" s="420"/>
      <c r="L94" s="420"/>
      <c r="M94" s="420"/>
      <c r="N94" s="414"/>
      <c r="O94" s="414"/>
      <c r="P94" s="420"/>
      <c r="Q94" s="420"/>
      <c r="R94" s="420"/>
      <c r="S94" s="414"/>
      <c r="T94" s="414"/>
      <c r="U94" s="420"/>
      <c r="V94" s="420"/>
      <c r="W94" s="420"/>
      <c r="X94" s="414"/>
      <c r="Y94" s="414"/>
      <c r="Z94" s="420"/>
      <c r="AA94" s="420"/>
      <c r="AB94" s="420"/>
    </row>
    <row r="95" spans="1:28" s="409" customFormat="1" ht="12.75" customHeight="1">
      <c r="A95" s="238"/>
      <c r="B95" s="416" t="s">
        <v>134</v>
      </c>
      <c r="C95" s="423" t="str">
        <f>C90</f>
        <v>_________________________     2021 р.</v>
      </c>
      <c r="D95" s="414"/>
      <c r="E95" s="417"/>
      <c r="F95" s="420"/>
      <c r="G95" s="420"/>
      <c r="H95" s="420"/>
      <c r="I95" s="414"/>
      <c r="J95" s="417"/>
      <c r="K95" s="420"/>
      <c r="L95" s="420"/>
      <c r="M95" s="420"/>
      <c r="N95" s="414"/>
      <c r="O95" s="417"/>
      <c r="P95" s="420"/>
      <c r="Q95" s="420"/>
      <c r="R95" s="420"/>
      <c r="S95" s="414"/>
      <c r="T95" s="417"/>
      <c r="U95" s="420"/>
      <c r="V95" s="420"/>
      <c r="W95" s="420"/>
      <c r="X95" s="414"/>
      <c r="Y95" s="417"/>
      <c r="Z95" s="420"/>
      <c r="AA95" s="420"/>
      <c r="AB95" s="420"/>
    </row>
    <row r="96" spans="1:28" s="409" customFormat="1" ht="13.2" customHeight="1">
      <c r="A96" s="238"/>
      <c r="B96" s="413"/>
      <c r="C96" s="413"/>
      <c r="D96" s="414"/>
      <c r="E96" s="418"/>
      <c r="F96" s="420"/>
      <c r="G96" s="420"/>
      <c r="H96" s="420"/>
      <c r="I96" s="414"/>
      <c r="J96" s="418"/>
      <c r="K96" s="420"/>
      <c r="L96" s="420"/>
      <c r="M96" s="420"/>
      <c r="N96" s="414"/>
      <c r="O96" s="418"/>
      <c r="P96" s="420"/>
      <c r="Q96" s="420"/>
      <c r="R96" s="420"/>
      <c r="S96" s="414"/>
      <c r="T96" s="418"/>
      <c r="U96" s="420"/>
      <c r="V96" s="420"/>
      <c r="W96" s="420"/>
      <c r="X96" s="414"/>
      <c r="Y96" s="418"/>
      <c r="Z96" s="420"/>
      <c r="AA96" s="420"/>
      <c r="AB96" s="420"/>
    </row>
    <row r="97" spans="1:28" s="409" customFormat="1" ht="14.4" customHeight="1">
      <c r="A97" s="424"/>
      <c r="B97" s="424"/>
      <c r="C97" s="424"/>
      <c r="D97" s="424"/>
      <c r="E97" s="424"/>
      <c r="F97" s="424"/>
      <c r="G97" s="424"/>
      <c r="H97" s="425"/>
      <c r="I97" s="424"/>
      <c r="J97" s="424"/>
      <c r="K97" s="424"/>
      <c r="L97" s="424"/>
      <c r="M97" s="425"/>
      <c r="N97" s="424"/>
      <c r="O97" s="424"/>
      <c r="P97" s="424"/>
      <c r="Q97" s="424"/>
      <c r="R97" s="425"/>
      <c r="S97" s="424"/>
      <c r="T97" s="424"/>
      <c r="U97" s="424"/>
      <c r="V97" s="424"/>
      <c r="W97" s="425"/>
      <c r="X97" s="424"/>
      <c r="Y97" s="424"/>
      <c r="Z97" s="424"/>
      <c r="AA97" s="424"/>
      <c r="AB97" s="425"/>
    </row>
    <row r="98" spans="1:28" s="409" customFormat="1" ht="14.4" customHeight="1">
      <c r="A98" s="424"/>
      <c r="B98" s="424"/>
      <c r="C98" s="424"/>
      <c r="D98" s="424"/>
      <c r="E98" s="424"/>
      <c r="F98" s="424"/>
      <c r="G98" s="424"/>
      <c r="H98" s="425"/>
      <c r="I98" s="424"/>
      <c r="J98" s="424"/>
      <c r="K98" s="424"/>
      <c r="L98" s="424"/>
      <c r="M98" s="425"/>
      <c r="N98" s="424"/>
      <c r="O98" s="424"/>
      <c r="P98" s="424"/>
      <c r="Q98" s="424"/>
      <c r="R98" s="425"/>
      <c r="S98" s="424"/>
      <c r="T98" s="424"/>
      <c r="U98" s="424"/>
      <c r="V98" s="424"/>
      <c r="W98" s="425"/>
      <c r="X98" s="424"/>
      <c r="Y98" s="424"/>
      <c r="Z98" s="424"/>
      <c r="AA98" s="424"/>
      <c r="AB98" s="425"/>
    </row>
    <row r="99" spans="1:28" s="409" customFormat="1" ht="13.5" customHeight="1">
      <c r="A99" s="238"/>
      <c r="B99" s="238"/>
      <c r="C99" s="238"/>
      <c r="D99" s="238"/>
      <c r="E99" s="238"/>
      <c r="F99" s="238"/>
      <c r="G99" s="238"/>
      <c r="H99" s="238"/>
      <c r="I99" s="238"/>
      <c r="J99" s="238"/>
      <c r="K99" s="238"/>
      <c r="L99" s="238"/>
      <c r="M99" s="238"/>
      <c r="N99" s="238"/>
      <c r="O99" s="238"/>
      <c r="P99" s="238"/>
      <c r="Q99" s="238"/>
      <c r="R99" s="238"/>
      <c r="S99" s="238"/>
      <c r="T99" s="238"/>
      <c r="U99" s="238"/>
      <c r="V99" s="238"/>
      <c r="W99" s="238"/>
      <c r="X99" s="238"/>
      <c r="Y99" s="238"/>
      <c r="Z99" s="238"/>
      <c r="AA99" s="238"/>
      <c r="AB99" s="238"/>
    </row>
    <row r="100" spans="1:28" s="409" customFormat="1" ht="13.5" customHeight="1">
      <c r="A100" s="238"/>
      <c r="B100" s="238"/>
      <c r="C100" s="238"/>
      <c r="D100" s="238"/>
      <c r="E100" s="238"/>
      <c r="F100" s="238"/>
      <c r="G100" s="238"/>
      <c r="H100" s="238"/>
      <c r="I100" s="238"/>
      <c r="J100" s="238"/>
      <c r="K100" s="238"/>
      <c r="L100" s="238"/>
      <c r="M100" s="238"/>
      <c r="N100" s="238"/>
      <c r="O100" s="238"/>
      <c r="P100" s="238"/>
      <c r="Q100" s="238"/>
      <c r="R100" s="238"/>
      <c r="S100" s="238"/>
      <c r="T100" s="238"/>
      <c r="U100" s="238"/>
      <c r="V100" s="238"/>
      <c r="W100" s="238"/>
      <c r="X100" s="238"/>
      <c r="Y100" s="238"/>
      <c r="Z100" s="238"/>
      <c r="AA100" s="238"/>
      <c r="AB100" s="238"/>
    </row>
    <row r="101" spans="1:28" s="409" customFormat="1" ht="14.4" customHeight="1">
      <c r="A101" s="424"/>
      <c r="B101" s="424"/>
      <c r="C101" s="424"/>
      <c r="D101" s="424"/>
      <c r="E101" s="424"/>
      <c r="F101" s="424"/>
      <c r="G101" s="424"/>
      <c r="H101" s="425"/>
      <c r="I101" s="424"/>
      <c r="J101" s="424"/>
      <c r="K101" s="424"/>
      <c r="L101" s="424"/>
      <c r="M101" s="425"/>
      <c r="N101" s="424"/>
      <c r="O101" s="424"/>
      <c r="P101" s="424"/>
      <c r="Q101" s="424"/>
      <c r="R101" s="425"/>
      <c r="S101" s="424"/>
      <c r="T101" s="424"/>
      <c r="U101" s="424"/>
      <c r="V101" s="424"/>
      <c r="W101" s="425"/>
      <c r="X101" s="424"/>
      <c r="Y101" s="424"/>
      <c r="Z101" s="424"/>
      <c r="AA101" s="424"/>
      <c r="AB101" s="425"/>
    </row>
    <row r="102" spans="1:28" s="409" customFormat="1" ht="14.4" customHeight="1">
      <c r="A102" s="424"/>
      <c r="B102" s="424"/>
      <c r="C102" s="424"/>
      <c r="D102" s="424"/>
      <c r="E102" s="424"/>
      <c r="F102" s="424"/>
      <c r="G102" s="424"/>
      <c r="H102" s="425"/>
      <c r="I102" s="424"/>
      <c r="J102" s="424"/>
      <c r="K102" s="424"/>
      <c r="L102" s="424"/>
      <c r="M102" s="425"/>
      <c r="N102" s="424"/>
      <c r="O102" s="424"/>
      <c r="P102" s="424"/>
      <c r="Q102" s="424"/>
      <c r="R102" s="425"/>
      <c r="S102" s="424"/>
      <c r="T102" s="424"/>
      <c r="U102" s="424"/>
      <c r="V102" s="424"/>
      <c r="W102" s="425"/>
      <c r="X102" s="424"/>
      <c r="Y102" s="424"/>
      <c r="Z102" s="424"/>
      <c r="AA102" s="424"/>
      <c r="AB102" s="425"/>
    </row>
    <row r="103" spans="1:28" s="409" customFormat="1" ht="13.5" customHeight="1">
      <c r="A103" s="238"/>
      <c r="B103" s="238"/>
      <c r="C103" s="238"/>
      <c r="D103" s="238"/>
      <c r="E103" s="238"/>
      <c r="F103" s="238"/>
      <c r="G103" s="238"/>
      <c r="H103" s="238"/>
      <c r="I103" s="238"/>
      <c r="J103" s="238"/>
      <c r="K103" s="238"/>
      <c r="L103" s="238"/>
      <c r="M103" s="238"/>
      <c r="N103" s="238"/>
      <c r="O103" s="238"/>
      <c r="P103" s="238"/>
      <c r="Q103" s="238"/>
      <c r="R103" s="238"/>
      <c r="S103" s="238"/>
      <c r="T103" s="238"/>
      <c r="U103" s="238"/>
      <c r="V103" s="238"/>
      <c r="W103" s="238"/>
      <c r="X103" s="238"/>
      <c r="Y103" s="238"/>
      <c r="Z103" s="238"/>
      <c r="AA103" s="238"/>
      <c r="AB103" s="238"/>
    </row>
    <row r="104" spans="1:28" s="409" customFormat="1" ht="13.5" customHeight="1">
      <c r="A104" s="238"/>
      <c r="B104" s="238"/>
      <c r="C104" s="238"/>
      <c r="D104" s="238"/>
      <c r="E104" s="238"/>
      <c r="F104" s="238"/>
      <c r="G104" s="238"/>
      <c r="H104" s="238"/>
      <c r="I104" s="238"/>
      <c r="J104" s="238"/>
      <c r="K104" s="238"/>
      <c r="L104" s="238"/>
      <c r="M104" s="238"/>
      <c r="N104" s="238"/>
      <c r="O104" s="238"/>
      <c r="P104" s="238"/>
      <c r="Q104" s="238"/>
      <c r="R104" s="238"/>
      <c r="S104" s="238"/>
      <c r="T104" s="238"/>
      <c r="U104" s="238"/>
      <c r="V104" s="238"/>
      <c r="W104" s="238"/>
      <c r="X104" s="238"/>
      <c r="Y104" s="238"/>
      <c r="Z104" s="238"/>
      <c r="AA104" s="238"/>
      <c r="AB104" s="238"/>
    </row>
    <row r="105" spans="1:28" s="409" customFormat="1" ht="13.5" customHeight="1">
      <c r="A105" s="238"/>
      <c r="B105" s="238"/>
      <c r="C105" s="238"/>
      <c r="D105" s="238"/>
      <c r="E105" s="238"/>
      <c r="F105" s="238"/>
      <c r="G105" s="238"/>
      <c r="H105" s="238"/>
      <c r="I105" s="238"/>
      <c r="J105" s="238"/>
      <c r="K105" s="238"/>
      <c r="L105" s="238"/>
      <c r="M105" s="238"/>
      <c r="N105" s="238"/>
      <c r="O105" s="238"/>
      <c r="P105" s="238"/>
      <c r="Q105" s="238"/>
      <c r="R105" s="238"/>
      <c r="S105" s="238"/>
      <c r="T105" s="238"/>
      <c r="U105" s="238"/>
      <c r="V105" s="238"/>
      <c r="W105" s="238"/>
      <c r="X105" s="238"/>
      <c r="Y105" s="238"/>
      <c r="Z105" s="238"/>
      <c r="AA105" s="238"/>
      <c r="AB105" s="238"/>
    </row>
    <row r="106" spans="1:28" s="409" customFormat="1" ht="14.4" customHeight="1">
      <c r="A106" s="424"/>
      <c r="B106" s="424"/>
      <c r="C106" s="424"/>
      <c r="D106" s="424"/>
      <c r="E106" s="424"/>
      <c r="F106" s="424"/>
      <c r="G106" s="424"/>
      <c r="H106" s="425"/>
      <c r="I106" s="424"/>
      <c r="J106" s="424"/>
      <c r="K106" s="424"/>
      <c r="L106" s="424"/>
      <c r="M106" s="425"/>
      <c r="N106" s="424"/>
      <c r="O106" s="424"/>
      <c r="P106" s="424"/>
      <c r="Q106" s="424"/>
      <c r="R106" s="425"/>
      <c r="S106" s="424"/>
      <c r="T106" s="424"/>
      <c r="U106" s="424"/>
      <c r="V106" s="424"/>
      <c r="W106" s="425"/>
      <c r="X106" s="424"/>
      <c r="Y106" s="424"/>
      <c r="Z106" s="424"/>
      <c r="AA106" s="424"/>
      <c r="AB106" s="425"/>
    </row>
    <row r="107" spans="1:28" s="409" customFormat="1" ht="13.5" customHeight="1">
      <c r="A107" s="238"/>
      <c r="B107" s="238"/>
      <c r="C107" s="238"/>
      <c r="D107" s="238"/>
      <c r="E107" s="238"/>
      <c r="F107" s="238"/>
      <c r="G107" s="238"/>
      <c r="H107" s="238"/>
      <c r="I107" s="238"/>
      <c r="J107" s="238"/>
      <c r="K107" s="238"/>
      <c r="L107" s="238"/>
      <c r="M107" s="238"/>
      <c r="N107" s="238"/>
      <c r="O107" s="238"/>
      <c r="P107" s="238"/>
      <c r="Q107" s="238"/>
      <c r="R107" s="238"/>
      <c r="S107" s="238"/>
      <c r="T107" s="238"/>
      <c r="U107" s="238"/>
      <c r="V107" s="238"/>
      <c r="W107" s="238"/>
      <c r="X107" s="238"/>
      <c r="Y107" s="238"/>
      <c r="Z107" s="238"/>
      <c r="AA107" s="238"/>
      <c r="AB107" s="238"/>
    </row>
    <row r="108" spans="1:28" s="409" customFormat="1" ht="13.5" customHeight="1">
      <c r="A108" s="238"/>
      <c r="B108" s="238"/>
      <c r="C108" s="238"/>
      <c r="D108" s="238"/>
      <c r="E108" s="238"/>
      <c r="F108" s="238"/>
      <c r="G108" s="238"/>
      <c r="H108" s="238"/>
      <c r="I108" s="238"/>
      <c r="J108" s="238"/>
      <c r="K108" s="238"/>
      <c r="L108" s="238"/>
      <c r="M108" s="238"/>
      <c r="N108" s="238"/>
      <c r="O108" s="238"/>
      <c r="P108" s="238"/>
      <c r="Q108" s="238"/>
      <c r="R108" s="238"/>
      <c r="S108" s="238"/>
      <c r="T108" s="238"/>
      <c r="U108" s="238"/>
      <c r="V108" s="238"/>
      <c r="W108" s="238"/>
      <c r="X108" s="238"/>
      <c r="Y108" s="238"/>
      <c r="Z108" s="238"/>
      <c r="AA108" s="238"/>
      <c r="AB108" s="238"/>
    </row>
    <row r="109" spans="1:28" s="409" customFormat="1" ht="13.5" customHeight="1">
      <c r="A109" s="238"/>
      <c r="B109" s="238"/>
      <c r="C109" s="238"/>
      <c r="D109" s="238"/>
      <c r="E109" s="238"/>
      <c r="F109" s="238"/>
      <c r="G109" s="238"/>
      <c r="H109" s="238"/>
      <c r="I109" s="238"/>
      <c r="J109" s="238"/>
      <c r="K109" s="238"/>
      <c r="L109" s="238"/>
      <c r="M109" s="238"/>
      <c r="N109" s="238"/>
      <c r="O109" s="238"/>
      <c r="P109" s="238"/>
      <c r="Q109" s="238"/>
      <c r="R109" s="238"/>
      <c r="S109" s="238"/>
      <c r="T109" s="238"/>
      <c r="U109" s="238"/>
      <c r="V109" s="238"/>
      <c r="W109" s="238"/>
      <c r="X109" s="238"/>
      <c r="Y109" s="238"/>
      <c r="Z109" s="238"/>
      <c r="AA109" s="238"/>
      <c r="AB109" s="238"/>
    </row>
    <row r="110" spans="1:28" s="409" customFormat="1" ht="13.5" customHeight="1">
      <c r="A110" s="238"/>
      <c r="B110" s="238"/>
      <c r="C110" s="238"/>
      <c r="D110" s="238"/>
      <c r="E110" s="238"/>
      <c r="F110" s="238"/>
      <c r="G110" s="238"/>
      <c r="H110" s="238"/>
      <c r="I110" s="238"/>
      <c r="J110" s="238"/>
      <c r="K110" s="238"/>
      <c r="L110" s="238"/>
      <c r="M110" s="238"/>
      <c r="N110" s="238"/>
      <c r="O110" s="238"/>
      <c r="P110" s="238"/>
      <c r="Q110" s="238"/>
      <c r="R110" s="238"/>
      <c r="S110" s="238"/>
      <c r="T110" s="238"/>
      <c r="U110" s="238"/>
      <c r="V110" s="238"/>
      <c r="W110" s="238"/>
      <c r="X110" s="238"/>
      <c r="Y110" s="238"/>
      <c r="Z110" s="238"/>
      <c r="AA110" s="238"/>
      <c r="AB110" s="238"/>
    </row>
    <row r="111" spans="1:28" s="409" customFormat="1" ht="13.5" customHeight="1">
      <c r="A111" s="238"/>
      <c r="B111" s="238"/>
      <c r="C111" s="238"/>
      <c r="D111" s="238"/>
      <c r="E111" s="238"/>
      <c r="F111" s="238"/>
      <c r="G111" s="238"/>
      <c r="H111" s="238"/>
      <c r="I111" s="238"/>
      <c r="J111" s="238"/>
      <c r="K111" s="238"/>
      <c r="L111" s="238"/>
      <c r="M111" s="238"/>
      <c r="N111" s="238"/>
      <c r="O111" s="238"/>
      <c r="P111" s="238"/>
      <c r="Q111" s="238"/>
      <c r="R111" s="238"/>
      <c r="S111" s="238"/>
      <c r="T111" s="238"/>
      <c r="U111" s="238"/>
      <c r="V111" s="238"/>
      <c r="W111" s="238"/>
      <c r="X111" s="238"/>
      <c r="Y111" s="238"/>
      <c r="Z111" s="238"/>
      <c r="AA111" s="238"/>
      <c r="AB111" s="238"/>
    </row>
    <row r="112" spans="1:28" s="409" customFormat="1" ht="13.5" customHeight="1">
      <c r="A112" s="238"/>
      <c r="B112" s="238"/>
      <c r="C112" s="238"/>
      <c r="D112" s="238"/>
      <c r="E112" s="238"/>
      <c r="F112" s="238"/>
      <c r="G112" s="238"/>
      <c r="H112" s="238"/>
      <c r="I112" s="238"/>
      <c r="J112" s="238"/>
      <c r="K112" s="238"/>
      <c r="L112" s="238"/>
      <c r="M112" s="238"/>
      <c r="N112" s="238"/>
      <c r="O112" s="238"/>
      <c r="P112" s="238"/>
      <c r="Q112" s="238"/>
      <c r="R112" s="238"/>
      <c r="S112" s="238"/>
      <c r="T112" s="238"/>
      <c r="U112" s="238"/>
      <c r="V112" s="238"/>
      <c r="W112" s="238"/>
      <c r="X112" s="238"/>
      <c r="Y112" s="238"/>
      <c r="Z112" s="238"/>
      <c r="AA112" s="238"/>
      <c r="AB112" s="238"/>
    </row>
    <row r="113" spans="1:28" s="409" customFormat="1" ht="13.5" customHeight="1">
      <c r="A113" s="238"/>
      <c r="B113" s="238"/>
      <c r="C113" s="238"/>
      <c r="D113" s="238"/>
      <c r="E113" s="238"/>
      <c r="F113" s="238"/>
      <c r="G113" s="238"/>
      <c r="H113" s="238"/>
      <c r="I113" s="238"/>
      <c r="J113" s="238"/>
      <c r="K113" s="238"/>
      <c r="L113" s="238"/>
      <c r="M113" s="238"/>
      <c r="N113" s="238"/>
      <c r="O113" s="238"/>
      <c r="P113" s="238"/>
      <c r="Q113" s="238"/>
      <c r="R113" s="238"/>
      <c r="S113" s="238"/>
      <c r="T113" s="238"/>
      <c r="U113" s="238"/>
      <c r="V113" s="238"/>
      <c r="W113" s="238"/>
      <c r="X113" s="238"/>
      <c r="Y113" s="238"/>
      <c r="Z113" s="238"/>
      <c r="AA113" s="238"/>
      <c r="AB113" s="238"/>
    </row>
    <row r="114" spans="1:28" s="409" customFormat="1" ht="13.5" customHeight="1">
      <c r="A114" s="410"/>
      <c r="B114" s="410"/>
      <c r="C114" s="410"/>
      <c r="D114" s="410"/>
      <c r="E114" s="410"/>
      <c r="F114" s="410"/>
      <c r="G114" s="410"/>
      <c r="H114" s="410"/>
      <c r="I114" s="410"/>
      <c r="J114" s="410"/>
      <c r="K114" s="410"/>
      <c r="L114" s="410"/>
      <c r="M114" s="410"/>
      <c r="N114" s="410"/>
      <c r="O114" s="410"/>
      <c r="P114" s="410"/>
      <c r="Q114" s="410"/>
      <c r="R114" s="410"/>
      <c r="S114" s="410"/>
      <c r="T114" s="410"/>
      <c r="U114" s="410"/>
      <c r="V114" s="410"/>
      <c r="W114" s="410"/>
      <c r="X114" s="410"/>
      <c r="Y114" s="410"/>
      <c r="Z114" s="410"/>
      <c r="AA114" s="410"/>
      <c r="AB114" s="410"/>
    </row>
    <row r="115" spans="1:28" ht="13.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</row>
    <row r="116" spans="1:28" ht="13.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</row>
    <row r="117" spans="1:28" ht="13.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</row>
    <row r="118" spans="1:28" ht="13.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</row>
    <row r="119" spans="1:28" ht="13.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</row>
    <row r="120" spans="1:28" ht="13.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</row>
    <row r="121" spans="1:28" ht="13.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</row>
    <row r="122" spans="1:28" ht="13.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</row>
    <row r="123" spans="1:28" ht="13.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</row>
    <row r="124" spans="1:28" ht="13.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</row>
    <row r="125" spans="1:28" ht="13.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</row>
    <row r="126" spans="1:28" ht="13.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</row>
    <row r="127" spans="1:28" ht="13.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</row>
    <row r="128" spans="1:28" ht="13.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</row>
    <row r="129" spans="1:28" ht="13.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</row>
    <row r="130" spans="1:28" ht="13.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</row>
    <row r="131" spans="1:28" ht="13.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</row>
    <row r="132" spans="1:28" ht="13.5" customHeight="1">
      <c r="A132" s="92"/>
      <c r="B132" s="92"/>
      <c r="C132" s="92"/>
      <c r="D132" s="92"/>
      <c r="E132" s="92"/>
      <c r="F132" s="92"/>
      <c r="G132" s="92"/>
      <c r="H132" s="93"/>
      <c r="I132" s="92"/>
      <c r="J132" s="92"/>
      <c r="K132" s="92"/>
      <c r="L132" s="92"/>
      <c r="M132" s="93"/>
      <c r="N132" s="92"/>
      <c r="O132" s="92"/>
      <c r="P132" s="92"/>
      <c r="Q132" s="92"/>
      <c r="R132" s="93"/>
      <c r="S132" s="92"/>
      <c r="T132" s="92"/>
      <c r="U132" s="92"/>
      <c r="V132" s="92"/>
      <c r="W132" s="93"/>
      <c r="X132" s="92"/>
      <c r="Y132" s="92"/>
      <c r="Z132" s="92"/>
      <c r="AA132" s="92"/>
      <c r="AB132" s="93"/>
    </row>
  </sheetData>
  <mergeCells count="22">
    <mergeCell ref="Z8:AB8"/>
    <mergeCell ref="X12:AB12"/>
    <mergeCell ref="A1:X1"/>
    <mergeCell ref="A2:AA2"/>
    <mergeCell ref="A5:X5"/>
    <mergeCell ref="U8:W8"/>
    <mergeCell ref="A4:D4"/>
    <mergeCell ref="F8:H8"/>
    <mergeCell ref="A9:H9"/>
    <mergeCell ref="P8:R8"/>
    <mergeCell ref="N12:R12"/>
    <mergeCell ref="K8:M8"/>
    <mergeCell ref="I12:M12"/>
    <mergeCell ref="A10:H10"/>
    <mergeCell ref="A11:H11"/>
    <mergeCell ref="B86:G86"/>
    <mergeCell ref="B79:D79"/>
    <mergeCell ref="B80:D80"/>
    <mergeCell ref="B81:D81"/>
    <mergeCell ref="B82:D82"/>
    <mergeCell ref="B83:D83"/>
    <mergeCell ref="B84:G84"/>
  </mergeCells>
  <pageMargins left="0.25" right="0.25" top="0.75" bottom="0.75" header="0.3" footer="0.3"/>
  <pageSetup scale="36" orientation="portrait" r:id="rId1"/>
  <headerFooter>
    <oddFooter>&amp;C&amp;"Helvetica Neue,Regular"&amp;12&amp;K000000&amp;P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160"/>
  <sheetViews>
    <sheetView showGridLines="0" topLeftCell="A54" workbookViewId="0">
      <selection activeCell="A61" sqref="A61:XFD63"/>
    </sheetView>
  </sheetViews>
  <sheetFormatPr defaultColWidth="10.109375" defaultRowHeight="15" customHeight="1"/>
  <cols>
    <col min="1" max="1" width="8.109375" style="5" customWidth="1"/>
    <col min="2" max="2" width="35.109375" style="5" customWidth="1"/>
    <col min="3" max="3" width="10.109375" style="5" customWidth="1"/>
    <col min="4" max="8" width="10.44140625" style="5" hidden="1" customWidth="1"/>
    <col min="9" max="13" width="9.44140625" style="5" hidden="1" customWidth="1"/>
    <col min="14" max="23" width="10.44140625" style="5" hidden="1" customWidth="1"/>
    <col min="24" max="28" width="10.44140625" style="5" customWidth="1"/>
    <col min="29" max="16384" width="10.109375" style="5"/>
  </cols>
  <sheetData>
    <row r="1" spans="1:29" s="409" customFormat="1" ht="16.649999999999999" customHeight="1">
      <c r="A1" s="688" t="s">
        <v>73</v>
      </c>
      <c r="B1" s="688"/>
      <c r="C1" s="688"/>
      <c r="D1" s="688"/>
      <c r="E1" s="688"/>
      <c r="F1" s="688"/>
      <c r="G1" s="688"/>
      <c r="H1" s="688"/>
      <c r="I1" s="688"/>
      <c r="J1" s="688"/>
      <c r="K1" s="688"/>
      <c r="L1" s="688"/>
      <c r="M1" s="688"/>
      <c r="N1" s="688"/>
      <c r="O1" s="688"/>
      <c r="P1" s="688"/>
      <c r="Q1" s="688"/>
      <c r="R1" s="688"/>
      <c r="S1" s="688"/>
      <c r="T1" s="688"/>
      <c r="U1" s="688"/>
      <c r="V1" s="688"/>
      <c r="W1" s="688"/>
      <c r="X1" s="688"/>
      <c r="Y1" s="430"/>
      <c r="Z1" s="238"/>
      <c r="AA1" s="238"/>
      <c r="AB1" s="238"/>
    </row>
    <row r="2" spans="1:29" s="409" customFormat="1" ht="16.649999999999999" customHeight="1">
      <c r="A2" s="688" t="s">
        <v>74</v>
      </c>
      <c r="B2" s="688"/>
      <c r="C2" s="688"/>
      <c r="D2" s="688"/>
      <c r="E2" s="688"/>
      <c r="F2" s="688"/>
      <c r="G2" s="688"/>
      <c r="H2" s="688"/>
      <c r="I2" s="688"/>
      <c r="J2" s="688"/>
      <c r="K2" s="688"/>
      <c r="L2" s="688"/>
      <c r="M2" s="688"/>
      <c r="N2" s="688"/>
      <c r="O2" s="688"/>
      <c r="P2" s="688"/>
      <c r="Q2" s="688"/>
      <c r="R2" s="688"/>
      <c r="S2" s="688"/>
      <c r="T2" s="688"/>
      <c r="U2" s="688"/>
      <c r="V2" s="688"/>
      <c r="W2" s="688"/>
      <c r="X2" s="688"/>
      <c r="Y2" s="688"/>
      <c r="Z2" s="688"/>
      <c r="AA2" s="688"/>
      <c r="AB2" s="238"/>
    </row>
    <row r="3" spans="1:29" s="409" customFormat="1" ht="16.649999999999999" customHeight="1">
      <c r="A3" s="431"/>
      <c r="B3" s="431"/>
      <c r="C3" s="422"/>
      <c r="D3" s="422"/>
      <c r="E3" s="422"/>
      <c r="F3" s="238"/>
      <c r="G3" s="238"/>
      <c r="H3" s="238"/>
      <c r="I3" s="422"/>
      <c r="J3" s="422"/>
      <c r="K3" s="238"/>
      <c r="L3" s="238"/>
      <c r="M3" s="238"/>
      <c r="N3" s="422"/>
      <c r="O3" s="422"/>
      <c r="P3" s="238"/>
      <c r="Q3" s="238"/>
      <c r="R3" s="238"/>
      <c r="S3" s="422"/>
      <c r="T3" s="422"/>
      <c r="U3" s="238"/>
      <c r="V3" s="238"/>
      <c r="W3" s="238"/>
      <c r="X3" s="422"/>
      <c r="Y3" s="422"/>
      <c r="Z3" s="238"/>
      <c r="AA3" s="238"/>
      <c r="AB3" s="238"/>
    </row>
    <row r="4" spans="1:29" s="409" customFormat="1" ht="16.649999999999999" customHeight="1">
      <c r="A4" s="688" t="s">
        <v>75</v>
      </c>
      <c r="B4" s="689"/>
      <c r="C4" s="689"/>
      <c r="D4" s="689"/>
      <c r="E4" s="432"/>
      <c r="F4" s="238"/>
      <c r="G4" s="238"/>
      <c r="H4" s="238"/>
      <c r="I4" s="238"/>
      <c r="J4" s="432"/>
      <c r="K4" s="238"/>
      <c r="L4" s="238"/>
      <c r="M4" s="238"/>
      <c r="N4" s="238"/>
      <c r="O4" s="432"/>
      <c r="P4" s="238"/>
      <c r="Q4" s="238"/>
      <c r="R4" s="238"/>
      <c r="S4" s="433"/>
      <c r="T4" s="432"/>
      <c r="U4" s="238"/>
      <c r="V4" s="238"/>
      <c r="W4" s="238"/>
      <c r="Y4" s="432"/>
      <c r="Z4" s="238"/>
      <c r="AA4" s="238"/>
      <c r="AB4" s="238"/>
    </row>
    <row r="5" spans="1:29" s="409" customFormat="1" ht="16.649999999999999" customHeight="1">
      <c r="A5" s="688" t="s">
        <v>76</v>
      </c>
      <c r="B5" s="688"/>
      <c r="C5" s="688"/>
      <c r="D5" s="688"/>
      <c r="E5" s="688"/>
      <c r="F5" s="688"/>
      <c r="G5" s="688"/>
      <c r="H5" s="688"/>
      <c r="I5" s="688"/>
      <c r="J5" s="688"/>
      <c r="K5" s="688"/>
      <c r="L5" s="688"/>
      <c r="M5" s="688"/>
      <c r="N5" s="688"/>
      <c r="O5" s="688"/>
      <c r="P5" s="688"/>
      <c r="Q5" s="688"/>
      <c r="R5" s="688"/>
      <c r="S5" s="688"/>
      <c r="T5" s="688"/>
      <c r="U5" s="688"/>
      <c r="V5" s="688"/>
      <c r="W5" s="688"/>
      <c r="X5" s="688"/>
      <c r="Y5" s="432"/>
      <c r="Z5" s="238"/>
      <c r="AA5" s="238"/>
      <c r="AB5" s="238"/>
    </row>
    <row r="6" spans="1:29" s="409" customFormat="1" ht="15.6" customHeight="1">
      <c r="A6" s="431"/>
      <c r="B6" s="434"/>
      <c r="C6" s="432"/>
      <c r="D6" s="432"/>
      <c r="E6" s="432"/>
      <c r="F6" s="238"/>
      <c r="G6" s="238"/>
      <c r="H6" s="238"/>
      <c r="I6" s="432"/>
      <c r="J6" s="432"/>
      <c r="K6" s="238"/>
      <c r="L6" s="238"/>
      <c r="M6" s="238"/>
      <c r="N6" s="432"/>
      <c r="O6" s="432"/>
      <c r="P6" s="238"/>
      <c r="Q6" s="238"/>
      <c r="R6" s="238"/>
      <c r="S6" s="432"/>
      <c r="T6" s="432"/>
      <c r="U6" s="238"/>
      <c r="V6" s="238"/>
      <c r="W6" s="238"/>
      <c r="X6" s="432"/>
      <c r="Y6" s="432"/>
      <c r="Z6" s="238"/>
      <c r="AA6" s="238"/>
      <c r="AB6" s="238"/>
    </row>
    <row r="7" spans="1:29" s="409" customFormat="1" ht="15.9" customHeight="1">
      <c r="A7" s="435" t="s">
        <v>77</v>
      </c>
      <c r="B7" s="436"/>
      <c r="C7" s="436"/>
      <c r="D7" s="436"/>
      <c r="E7" s="437"/>
      <c r="F7" s="438"/>
      <c r="G7" s="438"/>
      <c r="H7" s="438"/>
      <c r="I7" s="436"/>
      <c r="J7" s="437"/>
      <c r="K7" s="438"/>
      <c r="L7" s="438"/>
      <c r="M7" s="438"/>
      <c r="N7" s="436"/>
      <c r="O7" s="437"/>
      <c r="P7" s="438"/>
      <c r="Q7" s="438"/>
      <c r="R7" s="438"/>
    </row>
    <row r="8" spans="1:29" s="409" customFormat="1" ht="12.75" customHeight="1">
      <c r="A8" s="439"/>
      <c r="B8" s="238"/>
      <c r="C8" s="238"/>
      <c r="D8" s="477"/>
      <c r="E8" s="478"/>
      <c r="F8" s="694" t="s">
        <v>138</v>
      </c>
      <c r="G8" s="695"/>
      <c r="H8" s="695"/>
      <c r="I8" s="477"/>
      <c r="J8" s="478"/>
      <c r="K8" s="695"/>
      <c r="L8" s="695"/>
      <c r="M8" s="695"/>
      <c r="N8" s="477"/>
      <c r="O8" s="478"/>
      <c r="P8" s="694" t="s">
        <v>138</v>
      </c>
      <c r="Q8" s="695"/>
      <c r="R8" s="695"/>
      <c r="S8" s="477"/>
      <c r="T8" s="478"/>
      <c r="U8" s="694" t="s">
        <v>138</v>
      </c>
      <c r="V8" s="695"/>
      <c r="W8" s="695"/>
      <c r="X8" s="477"/>
      <c r="Y8" s="478"/>
      <c r="Z8" s="694"/>
      <c r="AA8" s="695"/>
      <c r="AB8" s="695"/>
    </row>
    <row r="9" spans="1:29" s="409" customFormat="1" ht="15.75" customHeight="1">
      <c r="A9" s="690" t="s">
        <v>445</v>
      </c>
      <c r="B9" s="691"/>
      <c r="C9" s="691"/>
      <c r="D9" s="691"/>
      <c r="E9" s="691"/>
      <c r="F9" s="691"/>
      <c r="G9" s="691"/>
      <c r="H9" s="691"/>
      <c r="I9" s="424"/>
      <c r="J9" s="424"/>
      <c r="K9" s="424"/>
      <c r="L9" s="424"/>
      <c r="M9" s="424"/>
      <c r="N9" s="424"/>
      <c r="O9" s="424"/>
      <c r="P9" s="424"/>
      <c r="Q9" s="424"/>
      <c r="R9" s="424"/>
      <c r="S9" s="433"/>
      <c r="T9" s="433"/>
    </row>
    <row r="10" spans="1:29" s="409" customFormat="1" ht="15.75" customHeight="1">
      <c r="A10" s="690" t="s">
        <v>78</v>
      </c>
      <c r="B10" s="691"/>
      <c r="C10" s="691"/>
      <c r="D10" s="691"/>
      <c r="E10" s="691"/>
      <c r="F10" s="691"/>
      <c r="G10" s="691"/>
      <c r="H10" s="691"/>
      <c r="I10" s="424"/>
      <c r="J10" s="424"/>
      <c r="K10" s="424"/>
      <c r="L10" s="424"/>
      <c r="M10" s="424"/>
      <c r="N10" s="424"/>
      <c r="O10" s="424"/>
      <c r="P10" s="424"/>
      <c r="Q10" s="424"/>
      <c r="R10" s="424"/>
      <c r="S10" s="433"/>
      <c r="T10" s="433"/>
    </row>
    <row r="11" spans="1:29" s="409" customFormat="1" ht="16.5" customHeight="1">
      <c r="A11" s="690" t="s">
        <v>505</v>
      </c>
      <c r="B11" s="691"/>
      <c r="C11" s="691"/>
      <c r="D11" s="691"/>
      <c r="E11" s="691"/>
      <c r="F11" s="691"/>
      <c r="G11" s="691"/>
      <c r="H11" s="691"/>
      <c r="I11" s="424"/>
      <c r="J11" s="424"/>
      <c r="K11" s="424"/>
      <c r="L11" s="424"/>
      <c r="M11" s="424"/>
      <c r="N11" s="424"/>
      <c r="O11" s="424"/>
      <c r="P11" s="424"/>
      <c r="Q11" s="424"/>
      <c r="R11" s="424"/>
      <c r="S11" s="433"/>
      <c r="T11" s="433"/>
    </row>
    <row r="12" spans="1:29" s="409" customFormat="1" ht="15.75" customHeight="1">
      <c r="A12" s="404"/>
      <c r="B12" s="442"/>
      <c r="C12" s="442"/>
      <c r="D12" s="477"/>
      <c r="E12" s="478"/>
      <c r="F12" s="442"/>
      <c r="G12" s="442"/>
      <c r="H12" s="478"/>
      <c r="I12" s="692" t="s">
        <v>80</v>
      </c>
      <c r="J12" s="693"/>
      <c r="K12" s="693"/>
      <c r="L12" s="693"/>
      <c r="M12" s="693"/>
      <c r="N12" s="692" t="s">
        <v>139</v>
      </c>
      <c r="O12" s="693"/>
      <c r="P12" s="693"/>
      <c r="Q12" s="693"/>
      <c r="R12" s="693"/>
      <c r="S12" s="477"/>
      <c r="T12" s="478"/>
      <c r="U12" s="442"/>
      <c r="V12" s="442"/>
      <c r="W12" s="479">
        <v>44535</v>
      </c>
      <c r="X12" s="698" t="s">
        <v>502</v>
      </c>
      <c r="Y12" s="698"/>
      <c r="Z12" s="698"/>
      <c r="AA12" s="698"/>
      <c r="AB12" s="698"/>
    </row>
    <row r="13" spans="1:29" s="409" customFormat="1" ht="51" customHeight="1">
      <c r="A13" s="452" t="s">
        <v>9</v>
      </c>
      <c r="B13" s="452" t="s">
        <v>10</v>
      </c>
      <c r="C13" s="452" t="s">
        <v>11</v>
      </c>
      <c r="D13" s="452" t="s">
        <v>12</v>
      </c>
      <c r="E13" s="452" t="s">
        <v>13</v>
      </c>
      <c r="F13" s="452" t="s">
        <v>14</v>
      </c>
      <c r="G13" s="452" t="s">
        <v>15</v>
      </c>
      <c r="H13" s="452" t="s">
        <v>16</v>
      </c>
      <c r="I13" s="452" t="s">
        <v>12</v>
      </c>
      <c r="J13" s="452" t="s">
        <v>13</v>
      </c>
      <c r="K13" s="452" t="s">
        <v>14</v>
      </c>
      <c r="L13" s="452" t="s">
        <v>15</v>
      </c>
      <c r="M13" s="452" t="s">
        <v>16</v>
      </c>
      <c r="N13" s="452" t="s">
        <v>12</v>
      </c>
      <c r="O13" s="452" t="s">
        <v>13</v>
      </c>
      <c r="P13" s="452" t="s">
        <v>14</v>
      </c>
      <c r="Q13" s="452" t="s">
        <v>15</v>
      </c>
      <c r="R13" s="452" t="s">
        <v>16</v>
      </c>
      <c r="S13" s="452" t="s">
        <v>12</v>
      </c>
      <c r="T13" s="452" t="s">
        <v>13</v>
      </c>
      <c r="U13" s="452" t="s">
        <v>14</v>
      </c>
      <c r="V13" s="452" t="s">
        <v>15</v>
      </c>
      <c r="W13" s="452" t="s">
        <v>16</v>
      </c>
      <c r="X13" s="452" t="s">
        <v>12</v>
      </c>
      <c r="Y13" s="452" t="s">
        <v>13</v>
      </c>
      <c r="Z13" s="452" t="s">
        <v>14</v>
      </c>
      <c r="AA13" s="452" t="s">
        <v>15</v>
      </c>
      <c r="AB13" s="452" t="s">
        <v>16</v>
      </c>
    </row>
    <row r="14" spans="1:29" ht="15.75" customHeight="1">
      <c r="A14" s="481"/>
      <c r="B14" s="482" t="s">
        <v>140</v>
      </c>
      <c r="C14" s="483"/>
      <c r="D14" s="484"/>
      <c r="E14" s="484"/>
      <c r="F14" s="484"/>
      <c r="G14" s="484"/>
      <c r="H14" s="484"/>
      <c r="I14" s="484"/>
      <c r="J14" s="484"/>
      <c r="K14" s="484"/>
      <c r="L14" s="484"/>
      <c r="M14" s="484"/>
      <c r="N14" s="484"/>
      <c r="O14" s="484"/>
      <c r="P14" s="484"/>
      <c r="Q14" s="484"/>
      <c r="R14" s="484"/>
      <c r="S14" s="484"/>
      <c r="T14" s="484"/>
      <c r="U14" s="484"/>
      <c r="V14" s="484"/>
      <c r="W14" s="484"/>
      <c r="X14" s="484"/>
      <c r="Y14" s="484"/>
      <c r="Z14" s="484"/>
      <c r="AA14" s="484"/>
      <c r="AB14" s="484"/>
    </row>
    <row r="15" spans="1:29" ht="15.6" customHeight="1">
      <c r="A15" s="481"/>
      <c r="B15" s="485"/>
      <c r="C15" s="483"/>
      <c r="D15" s="484"/>
      <c r="E15" s="484"/>
      <c r="F15" s="484"/>
      <c r="G15" s="484"/>
      <c r="H15" s="484"/>
      <c r="I15" s="484"/>
      <c r="J15" s="484"/>
      <c r="K15" s="484"/>
      <c r="L15" s="484"/>
      <c r="M15" s="484"/>
      <c r="N15" s="484"/>
      <c r="O15" s="484"/>
      <c r="P15" s="484"/>
      <c r="Q15" s="484"/>
      <c r="R15" s="484"/>
      <c r="S15" s="484"/>
      <c r="T15" s="484"/>
      <c r="U15" s="484"/>
      <c r="V15" s="484"/>
      <c r="W15" s="484"/>
      <c r="X15" s="484"/>
      <c r="Y15" s="484"/>
      <c r="Z15" s="484"/>
      <c r="AA15" s="484"/>
      <c r="AB15" s="484"/>
    </row>
    <row r="16" spans="1:29" ht="13.65" customHeight="1">
      <c r="A16" s="481"/>
      <c r="B16" s="486" t="s">
        <v>141</v>
      </c>
      <c r="C16" s="487" t="s">
        <v>37</v>
      </c>
      <c r="D16" s="488">
        <v>88</v>
      </c>
      <c r="E16" s="489">
        <v>15</v>
      </c>
      <c r="F16" s="489"/>
      <c r="G16" s="490">
        <f>D16*E16</f>
        <v>1320</v>
      </c>
      <c r="H16" s="489"/>
      <c r="I16" s="488"/>
      <c r="J16" s="489">
        <v>30</v>
      </c>
      <c r="K16" s="489"/>
      <c r="L16" s="490">
        <f>I16*J16</f>
        <v>0</v>
      </c>
      <c r="M16" s="489"/>
      <c r="N16" s="488">
        <v>41.28</v>
      </c>
      <c r="O16" s="489">
        <v>15</v>
      </c>
      <c r="P16" s="489"/>
      <c r="Q16" s="490">
        <f>N16*O16</f>
        <v>619.20000000000005</v>
      </c>
      <c r="R16" s="489"/>
      <c r="S16" s="488">
        <v>0</v>
      </c>
      <c r="T16" s="489">
        <v>15</v>
      </c>
      <c r="U16" s="489"/>
      <c r="V16" s="490">
        <f>S16*T16</f>
        <v>0</v>
      </c>
      <c r="W16" s="489"/>
      <c r="X16" s="488">
        <v>46.72</v>
      </c>
      <c r="Y16" s="489">
        <v>15</v>
      </c>
      <c r="Z16" s="489"/>
      <c r="AA16" s="490">
        <f>X16*Y16</f>
        <v>700.8</v>
      </c>
      <c r="AB16" s="489"/>
      <c r="AC16" s="407"/>
    </row>
    <row r="17" spans="1:29" ht="13.65" customHeight="1">
      <c r="A17" s="481"/>
      <c r="B17" s="486" t="s">
        <v>142</v>
      </c>
      <c r="C17" s="487" t="s">
        <v>37</v>
      </c>
      <c r="D17" s="488">
        <f>D19</f>
        <v>88</v>
      </c>
      <c r="E17" s="489">
        <v>20</v>
      </c>
      <c r="F17" s="489"/>
      <c r="G17" s="490">
        <f>D17*E17</f>
        <v>1760</v>
      </c>
      <c r="H17" s="489"/>
      <c r="I17" s="488"/>
      <c r="J17" s="489">
        <v>30</v>
      </c>
      <c r="K17" s="489"/>
      <c r="L17" s="490">
        <f>I17*J17</f>
        <v>0</v>
      </c>
      <c r="M17" s="489"/>
      <c r="N17" s="488">
        <v>41.28</v>
      </c>
      <c r="O17" s="489">
        <v>20</v>
      </c>
      <c r="P17" s="489"/>
      <c r="Q17" s="490">
        <f>N17*O17</f>
        <v>825.6</v>
      </c>
      <c r="R17" s="489"/>
      <c r="S17" s="488">
        <v>47.1</v>
      </c>
      <c r="T17" s="489">
        <v>20</v>
      </c>
      <c r="U17" s="489"/>
      <c r="V17" s="490">
        <f>S17*T17</f>
        <v>942</v>
      </c>
      <c r="W17" s="489"/>
      <c r="X17" s="488">
        <v>46.72</v>
      </c>
      <c r="Y17" s="489">
        <v>20</v>
      </c>
      <c r="Z17" s="489"/>
      <c r="AA17" s="490">
        <f>X17*Y17</f>
        <v>934.4</v>
      </c>
      <c r="AB17" s="489"/>
      <c r="AC17" s="407"/>
    </row>
    <row r="18" spans="1:29" ht="13.65" customHeight="1">
      <c r="A18" s="481"/>
      <c r="B18" s="491" t="s">
        <v>113</v>
      </c>
      <c r="C18" s="491" t="s">
        <v>92</v>
      </c>
      <c r="D18" s="492">
        <f>CEILING(D17*0.2,1)</f>
        <v>18</v>
      </c>
      <c r="E18" s="492"/>
      <c r="F18" s="493">
        <v>20.02</v>
      </c>
      <c r="G18" s="493"/>
      <c r="H18" s="493">
        <f>F18*D18</f>
        <v>360.36</v>
      </c>
      <c r="I18" s="492"/>
      <c r="J18" s="492"/>
      <c r="K18" s="493">
        <v>20.02</v>
      </c>
      <c r="L18" s="493"/>
      <c r="M18" s="493">
        <f>K18*I18</f>
        <v>0</v>
      </c>
      <c r="N18" s="492">
        <f>CEILING(N17*0.2,1)</f>
        <v>9</v>
      </c>
      <c r="O18" s="492"/>
      <c r="P18" s="493">
        <v>20.02</v>
      </c>
      <c r="Q18" s="493"/>
      <c r="R18" s="493">
        <f>P18*N18</f>
        <v>180.18</v>
      </c>
      <c r="S18" s="492">
        <f>CEILING(S17*0.2,1)</f>
        <v>10</v>
      </c>
      <c r="T18" s="492"/>
      <c r="U18" s="493">
        <v>20.02</v>
      </c>
      <c r="V18" s="493"/>
      <c r="W18" s="493">
        <f>U18*S18</f>
        <v>200.2</v>
      </c>
      <c r="X18" s="492">
        <f>X17*0.2</f>
        <v>9.3439999999999994</v>
      </c>
      <c r="Y18" s="492"/>
      <c r="Z18" s="493">
        <v>20.02</v>
      </c>
      <c r="AA18" s="493"/>
      <c r="AB18" s="493">
        <f>Z18*X18</f>
        <v>187.06688</v>
      </c>
      <c r="AC18" s="407"/>
    </row>
    <row r="19" spans="1:29" ht="15.75" customHeight="1">
      <c r="A19" s="494"/>
      <c r="B19" s="495" t="s">
        <v>143</v>
      </c>
      <c r="C19" s="496" t="s">
        <v>37</v>
      </c>
      <c r="D19" s="497">
        <v>88</v>
      </c>
      <c r="E19" s="497">
        <v>60</v>
      </c>
      <c r="F19" s="497"/>
      <c r="G19" s="497">
        <f>D19*E19</f>
        <v>5280</v>
      </c>
      <c r="H19" s="497"/>
      <c r="I19" s="497"/>
      <c r="J19" s="497">
        <v>60</v>
      </c>
      <c r="K19" s="497"/>
      <c r="L19" s="497">
        <f>I19*J19</f>
        <v>0</v>
      </c>
      <c r="M19" s="497"/>
      <c r="N19" s="497">
        <v>41.28</v>
      </c>
      <c r="O19" s="497">
        <v>60</v>
      </c>
      <c r="P19" s="497"/>
      <c r="Q19" s="497">
        <f>N19*O19</f>
        <v>2476.8000000000002</v>
      </c>
      <c r="R19" s="497"/>
      <c r="S19" s="497"/>
      <c r="T19" s="497">
        <v>60</v>
      </c>
      <c r="U19" s="497"/>
      <c r="V19" s="497">
        <f>S19*T19</f>
        <v>0</v>
      </c>
      <c r="W19" s="497"/>
      <c r="X19" s="497">
        <v>46.72</v>
      </c>
      <c r="Y19" s="497">
        <v>60</v>
      </c>
      <c r="Z19" s="497"/>
      <c r="AA19" s="497">
        <f>X19*Y19</f>
        <v>2803.2</v>
      </c>
      <c r="AB19" s="497"/>
      <c r="AC19" s="407"/>
    </row>
    <row r="20" spans="1:29" ht="15.75" customHeight="1">
      <c r="A20" s="494"/>
      <c r="B20" s="498" t="s">
        <v>144</v>
      </c>
      <c r="C20" s="496" t="s">
        <v>145</v>
      </c>
      <c r="D20" s="497">
        <v>9</v>
      </c>
      <c r="E20" s="497"/>
      <c r="F20" s="497">
        <v>299.04000000000002</v>
      </c>
      <c r="G20" s="497"/>
      <c r="H20" s="497">
        <f>D20*F20</f>
        <v>2691.36</v>
      </c>
      <c r="I20" s="497"/>
      <c r="J20" s="497"/>
      <c r="K20" s="497">
        <v>299.04000000000002</v>
      </c>
      <c r="L20" s="497"/>
      <c r="M20" s="497">
        <f>I20*K20</f>
        <v>0</v>
      </c>
      <c r="N20" s="497">
        <v>5</v>
      </c>
      <c r="O20" s="497"/>
      <c r="P20" s="497">
        <v>299.04000000000002</v>
      </c>
      <c r="Q20" s="497"/>
      <c r="R20" s="497">
        <f>N20*P20</f>
        <v>1495.2</v>
      </c>
      <c r="S20" s="497"/>
      <c r="T20" s="497"/>
      <c r="U20" s="497">
        <v>299.04000000000002</v>
      </c>
      <c r="V20" s="497"/>
      <c r="W20" s="497">
        <f>S20*U20</f>
        <v>0</v>
      </c>
      <c r="X20" s="497">
        <v>4</v>
      </c>
      <c r="Y20" s="497"/>
      <c r="Z20" s="497">
        <v>299.04000000000002</v>
      </c>
      <c r="AA20" s="497"/>
      <c r="AB20" s="497">
        <f>X20*Z20</f>
        <v>1196.1600000000001</v>
      </c>
      <c r="AC20" s="407"/>
    </row>
    <row r="21" spans="1:29" ht="15.75" customHeight="1">
      <c r="A21" s="494"/>
      <c r="B21" s="495" t="s">
        <v>146</v>
      </c>
      <c r="C21" s="496" t="s">
        <v>27</v>
      </c>
      <c r="D21" s="497">
        <v>100</v>
      </c>
      <c r="E21" s="497">
        <v>50</v>
      </c>
      <c r="F21" s="497"/>
      <c r="G21" s="497">
        <f>D21*E21</f>
        <v>5000</v>
      </c>
      <c r="H21" s="497"/>
      <c r="I21" s="497"/>
      <c r="J21" s="497">
        <v>50</v>
      </c>
      <c r="K21" s="497"/>
      <c r="L21" s="497">
        <f>I21*J21</f>
        <v>0</v>
      </c>
      <c r="M21" s="497"/>
      <c r="N21" s="497">
        <v>60</v>
      </c>
      <c r="O21" s="497">
        <v>50</v>
      </c>
      <c r="P21" s="497"/>
      <c r="Q21" s="497">
        <f>N21*O21</f>
        <v>3000</v>
      </c>
      <c r="R21" s="497"/>
      <c r="S21" s="497"/>
      <c r="T21" s="497">
        <v>50</v>
      </c>
      <c r="U21" s="497"/>
      <c r="V21" s="497">
        <f>S21*T21</f>
        <v>0</v>
      </c>
      <c r="W21" s="497"/>
      <c r="X21" s="497">
        <v>40</v>
      </c>
      <c r="Y21" s="497">
        <v>50</v>
      </c>
      <c r="Z21" s="497"/>
      <c r="AA21" s="497">
        <f>X21*Y21</f>
        <v>2000</v>
      </c>
      <c r="AB21" s="497"/>
      <c r="AC21" s="407"/>
    </row>
    <row r="22" spans="1:29" ht="15.75" customHeight="1">
      <c r="A22" s="494"/>
      <c r="B22" s="498" t="s">
        <v>147</v>
      </c>
      <c r="C22" s="496" t="s">
        <v>145</v>
      </c>
      <c r="D22" s="497">
        <v>5</v>
      </c>
      <c r="E22" s="497"/>
      <c r="F22" s="497">
        <v>810.02</v>
      </c>
      <c r="G22" s="497"/>
      <c r="H22" s="497">
        <f t="shared" ref="H22:H29" si="0">D22*F22</f>
        <v>4050.1</v>
      </c>
      <c r="I22" s="497"/>
      <c r="J22" s="497"/>
      <c r="K22" s="497">
        <v>810.02</v>
      </c>
      <c r="L22" s="497"/>
      <c r="M22" s="497">
        <f t="shared" ref="M22:M29" si="1">I22*K22</f>
        <v>0</v>
      </c>
      <c r="N22" s="497">
        <v>3</v>
      </c>
      <c r="O22" s="497"/>
      <c r="P22" s="497">
        <v>810.02</v>
      </c>
      <c r="Q22" s="497"/>
      <c r="R22" s="497">
        <f t="shared" ref="R22:R29" si="2">N22*P22</f>
        <v>2430.06</v>
      </c>
      <c r="S22" s="497"/>
      <c r="T22" s="497"/>
      <c r="U22" s="497">
        <v>810.02</v>
      </c>
      <c r="V22" s="497"/>
      <c r="W22" s="497">
        <f t="shared" ref="W22:W29" si="3">S22*U22</f>
        <v>0</v>
      </c>
      <c r="X22" s="497">
        <v>3</v>
      </c>
      <c r="Y22" s="497"/>
      <c r="Z22" s="497">
        <v>810.02</v>
      </c>
      <c r="AA22" s="497"/>
      <c r="AB22" s="497">
        <f t="shared" ref="AB22:AB29" si="4">X22*Z22</f>
        <v>2430.06</v>
      </c>
      <c r="AC22" s="407"/>
    </row>
    <row r="23" spans="1:29" ht="15.75" customHeight="1">
      <c r="A23" s="494"/>
      <c r="B23" s="498" t="s">
        <v>148</v>
      </c>
      <c r="C23" s="496" t="s">
        <v>27</v>
      </c>
      <c r="D23" s="497">
        <v>110</v>
      </c>
      <c r="E23" s="497"/>
      <c r="F23" s="497">
        <v>50</v>
      </c>
      <c r="G23" s="497"/>
      <c r="H23" s="497">
        <f t="shared" si="0"/>
        <v>5500</v>
      </c>
      <c r="I23" s="497"/>
      <c r="J23" s="497"/>
      <c r="K23" s="497">
        <v>50</v>
      </c>
      <c r="L23" s="497"/>
      <c r="M23" s="497">
        <f t="shared" si="1"/>
        <v>0</v>
      </c>
      <c r="N23" s="497">
        <v>60</v>
      </c>
      <c r="O23" s="497"/>
      <c r="P23" s="497">
        <v>50</v>
      </c>
      <c r="Q23" s="497"/>
      <c r="R23" s="497">
        <f t="shared" si="2"/>
        <v>3000</v>
      </c>
      <c r="S23" s="497"/>
      <c r="T23" s="497"/>
      <c r="U23" s="497">
        <v>50</v>
      </c>
      <c r="V23" s="497"/>
      <c r="W23" s="497">
        <f t="shared" si="3"/>
        <v>0</v>
      </c>
      <c r="X23" s="497">
        <v>50</v>
      </c>
      <c r="Y23" s="497"/>
      <c r="Z23" s="497">
        <v>50</v>
      </c>
      <c r="AA23" s="497"/>
      <c r="AB23" s="497">
        <f t="shared" si="4"/>
        <v>2500</v>
      </c>
      <c r="AC23" s="407"/>
    </row>
    <row r="24" spans="1:29" ht="15.6" customHeight="1">
      <c r="A24" s="494"/>
      <c r="B24" s="495" t="s">
        <v>454</v>
      </c>
      <c r="C24" s="496" t="s">
        <v>37</v>
      </c>
      <c r="D24" s="497">
        <v>88</v>
      </c>
      <c r="E24" s="497">
        <v>420</v>
      </c>
      <c r="F24" s="497"/>
      <c r="G24" s="497">
        <f>D24*E24</f>
        <v>36960</v>
      </c>
      <c r="H24" s="497">
        <f t="shared" si="0"/>
        <v>0</v>
      </c>
      <c r="I24" s="497"/>
      <c r="J24" s="497">
        <v>420</v>
      </c>
      <c r="K24" s="497"/>
      <c r="L24" s="497">
        <f>I24*J24</f>
        <v>0</v>
      </c>
      <c r="M24" s="497">
        <f t="shared" si="1"/>
        <v>0</v>
      </c>
      <c r="N24" s="497"/>
      <c r="O24" s="497">
        <v>420</v>
      </c>
      <c r="P24" s="497"/>
      <c r="Q24" s="497">
        <f>N24*O24</f>
        <v>0</v>
      </c>
      <c r="R24" s="497">
        <f t="shared" si="2"/>
        <v>0</v>
      </c>
      <c r="S24" s="497">
        <v>47.1</v>
      </c>
      <c r="T24" s="497">
        <v>420</v>
      </c>
      <c r="U24" s="497"/>
      <c r="V24" s="497">
        <f>S24*T24</f>
        <v>19782</v>
      </c>
      <c r="W24" s="497">
        <f t="shared" si="3"/>
        <v>0</v>
      </c>
      <c r="X24" s="497">
        <v>32</v>
      </c>
      <c r="Y24" s="497">
        <v>420</v>
      </c>
      <c r="Z24" s="497"/>
      <c r="AA24" s="497">
        <f>X24*Y24</f>
        <v>13440</v>
      </c>
      <c r="AB24" s="497">
        <f t="shared" si="4"/>
        <v>0</v>
      </c>
      <c r="AC24" s="407"/>
    </row>
    <row r="25" spans="1:29" ht="44.25" customHeight="1">
      <c r="A25" s="494"/>
      <c r="B25" s="499" t="s">
        <v>504</v>
      </c>
      <c r="C25" s="496" t="s">
        <v>37</v>
      </c>
      <c r="D25" s="497">
        <f>D24*1.05</f>
        <v>92.4</v>
      </c>
      <c r="E25" s="497"/>
      <c r="F25" s="497">
        <v>192</v>
      </c>
      <c r="G25" s="497"/>
      <c r="H25" s="497">
        <f t="shared" si="0"/>
        <v>17740.800000000003</v>
      </c>
      <c r="I25" s="497"/>
      <c r="J25" s="497"/>
      <c r="K25" s="497">
        <v>168</v>
      </c>
      <c r="L25" s="497"/>
      <c r="M25" s="497">
        <f t="shared" si="1"/>
        <v>0</v>
      </c>
      <c r="N25" s="497"/>
      <c r="O25" s="497"/>
      <c r="P25" s="497">
        <v>192</v>
      </c>
      <c r="Q25" s="497"/>
      <c r="R25" s="497">
        <f t="shared" si="2"/>
        <v>0</v>
      </c>
      <c r="S25" s="497">
        <f>S24*1.05</f>
        <v>49.455000000000005</v>
      </c>
      <c r="T25" s="497"/>
      <c r="U25" s="497">
        <v>171.89</v>
      </c>
      <c r="V25" s="497"/>
      <c r="W25" s="497">
        <f t="shared" si="3"/>
        <v>8500.819950000001</v>
      </c>
      <c r="X25" s="497">
        <f>X24*1.05-27.3</f>
        <v>6.3000000000000007</v>
      </c>
      <c r="Y25" s="497"/>
      <c r="Z25" s="497">
        <v>192</v>
      </c>
      <c r="AA25" s="497"/>
      <c r="AB25" s="497">
        <f t="shared" si="4"/>
        <v>1209.6000000000001</v>
      </c>
      <c r="AC25" s="407"/>
    </row>
    <row r="26" spans="1:29" ht="15.6" customHeight="1">
      <c r="A26" s="494"/>
      <c r="B26" s="498" t="s">
        <v>149</v>
      </c>
      <c r="C26" s="496" t="s">
        <v>145</v>
      </c>
      <c r="D26" s="497">
        <v>21</v>
      </c>
      <c r="E26" s="497"/>
      <c r="F26" s="497">
        <f t="shared" ref="F26:P26" si="5">5.3*25</f>
        <v>132.5</v>
      </c>
      <c r="G26" s="497"/>
      <c r="H26" s="497">
        <f t="shared" si="0"/>
        <v>2782.5</v>
      </c>
      <c r="I26" s="497"/>
      <c r="J26" s="497"/>
      <c r="K26" s="497">
        <f t="shared" si="5"/>
        <v>132.5</v>
      </c>
      <c r="L26" s="497"/>
      <c r="M26" s="497">
        <f t="shared" si="1"/>
        <v>0</v>
      </c>
      <c r="N26" s="497"/>
      <c r="O26" s="497"/>
      <c r="P26" s="497">
        <f t="shared" si="5"/>
        <v>132.5</v>
      </c>
      <c r="Q26" s="497"/>
      <c r="R26" s="497">
        <f t="shared" si="2"/>
        <v>0</v>
      </c>
      <c r="S26" s="497">
        <f>S24*5.5/25</f>
        <v>10.362</v>
      </c>
      <c r="T26" s="497"/>
      <c r="U26" s="497">
        <f t="shared" ref="U26" si="6">5.3*25</f>
        <v>132.5</v>
      </c>
      <c r="V26" s="497"/>
      <c r="W26" s="497">
        <f t="shared" si="3"/>
        <v>1372.9649999999999</v>
      </c>
      <c r="X26" s="497">
        <v>10</v>
      </c>
      <c r="Y26" s="497"/>
      <c r="Z26" s="497">
        <f t="shared" ref="Z26" si="7">5.3*25</f>
        <v>132.5</v>
      </c>
      <c r="AA26" s="497"/>
      <c r="AB26" s="497">
        <f t="shared" si="4"/>
        <v>1325</v>
      </c>
      <c r="AC26" s="407"/>
    </row>
    <row r="27" spans="1:29" ht="15.6" customHeight="1">
      <c r="A27" s="494"/>
      <c r="B27" s="498" t="s">
        <v>452</v>
      </c>
      <c r="C27" s="496" t="s">
        <v>88</v>
      </c>
      <c r="D27" s="497">
        <f>D24*0.6</f>
        <v>52.8</v>
      </c>
      <c r="E27" s="497"/>
      <c r="F27" s="497">
        <v>90</v>
      </c>
      <c r="G27" s="497"/>
      <c r="H27" s="497">
        <f t="shared" si="0"/>
        <v>4752</v>
      </c>
      <c r="I27" s="497"/>
      <c r="J27" s="497"/>
      <c r="K27" s="497">
        <v>90</v>
      </c>
      <c r="L27" s="497"/>
      <c r="M27" s="497">
        <f t="shared" si="1"/>
        <v>0</v>
      </c>
      <c r="N27" s="497"/>
      <c r="O27" s="497"/>
      <c r="P27" s="497">
        <v>90</v>
      </c>
      <c r="Q27" s="497"/>
      <c r="R27" s="497">
        <f t="shared" si="2"/>
        <v>0</v>
      </c>
      <c r="S27" s="497">
        <f>S24*0.6</f>
        <v>28.26</v>
      </c>
      <c r="T27" s="497"/>
      <c r="U27" s="497">
        <v>90</v>
      </c>
      <c r="V27" s="497"/>
      <c r="W27" s="497">
        <f t="shared" si="3"/>
        <v>2543.4</v>
      </c>
      <c r="X27" s="497">
        <f>X24*0.6</f>
        <v>19.2</v>
      </c>
      <c r="Y27" s="497"/>
      <c r="Z27" s="497">
        <v>90</v>
      </c>
      <c r="AA27" s="497"/>
      <c r="AB27" s="497">
        <f t="shared" si="4"/>
        <v>1728</v>
      </c>
      <c r="AC27" s="407"/>
    </row>
    <row r="28" spans="1:29" ht="15.6" customHeight="1">
      <c r="A28" s="494"/>
      <c r="B28" s="498" t="s">
        <v>150</v>
      </c>
      <c r="C28" s="496" t="s">
        <v>21</v>
      </c>
      <c r="D28" s="497">
        <v>1</v>
      </c>
      <c r="E28" s="497"/>
      <c r="F28" s="497">
        <v>685</v>
      </c>
      <c r="G28" s="497"/>
      <c r="H28" s="497">
        <f t="shared" si="0"/>
        <v>685</v>
      </c>
      <c r="I28" s="497"/>
      <c r="J28" s="497"/>
      <c r="K28" s="497">
        <v>685</v>
      </c>
      <c r="L28" s="497"/>
      <c r="M28" s="497">
        <f t="shared" si="1"/>
        <v>0</v>
      </c>
      <c r="N28" s="497"/>
      <c r="O28" s="497"/>
      <c r="P28" s="497">
        <v>685</v>
      </c>
      <c r="Q28" s="497"/>
      <c r="R28" s="497">
        <f t="shared" si="2"/>
        <v>0</v>
      </c>
      <c r="S28" s="497">
        <v>1</v>
      </c>
      <c r="T28" s="497"/>
      <c r="U28" s="497">
        <v>685</v>
      </c>
      <c r="V28" s="497"/>
      <c r="W28" s="497">
        <f t="shared" si="3"/>
        <v>685</v>
      </c>
      <c r="X28" s="497">
        <v>0.4</v>
      </c>
      <c r="Y28" s="497"/>
      <c r="Z28" s="497">
        <v>685</v>
      </c>
      <c r="AA28" s="497"/>
      <c r="AB28" s="497">
        <f t="shared" si="4"/>
        <v>274</v>
      </c>
      <c r="AC28" s="407"/>
    </row>
    <row r="29" spans="1:29" ht="30" hidden="1" customHeight="1">
      <c r="A29" s="494"/>
      <c r="B29" s="500" t="s">
        <v>151</v>
      </c>
      <c r="C29" s="496" t="s">
        <v>21</v>
      </c>
      <c r="D29" s="497">
        <v>20</v>
      </c>
      <c r="E29" s="497">
        <v>140</v>
      </c>
      <c r="F29" s="497"/>
      <c r="G29" s="497">
        <f>D29*E29</f>
        <v>2800</v>
      </c>
      <c r="H29" s="497">
        <f t="shared" si="0"/>
        <v>0</v>
      </c>
      <c r="I29" s="497"/>
      <c r="J29" s="497">
        <v>20</v>
      </c>
      <c r="K29" s="497"/>
      <c r="L29" s="497">
        <f>I29*J29</f>
        <v>0</v>
      </c>
      <c r="M29" s="497">
        <f t="shared" si="1"/>
        <v>0</v>
      </c>
      <c r="N29" s="497"/>
      <c r="O29" s="497">
        <v>140</v>
      </c>
      <c r="P29" s="497"/>
      <c r="Q29" s="497">
        <f>N29*O29</f>
        <v>0</v>
      </c>
      <c r="R29" s="497">
        <f t="shared" si="2"/>
        <v>0</v>
      </c>
      <c r="S29" s="497">
        <v>51</v>
      </c>
      <c r="T29" s="497">
        <v>140</v>
      </c>
      <c r="U29" s="497"/>
      <c r="V29" s="497">
        <f>S29*T29</f>
        <v>7140</v>
      </c>
      <c r="W29" s="497">
        <f t="shared" si="3"/>
        <v>0</v>
      </c>
      <c r="X29" s="497"/>
      <c r="Y29" s="497">
        <v>140</v>
      </c>
      <c r="Z29" s="497"/>
      <c r="AA29" s="497">
        <f>X29*Y29</f>
        <v>0</v>
      </c>
      <c r="AB29" s="497">
        <f t="shared" si="4"/>
        <v>0</v>
      </c>
      <c r="AC29" s="407"/>
    </row>
    <row r="30" spans="1:29" ht="15.6" hidden="1" customHeight="1">
      <c r="A30" s="494"/>
      <c r="B30" s="501"/>
      <c r="C30" s="483"/>
      <c r="D30" s="497"/>
      <c r="E30" s="497"/>
      <c r="F30" s="497"/>
      <c r="G30" s="497"/>
      <c r="H30" s="497"/>
      <c r="I30" s="497"/>
      <c r="J30" s="497"/>
      <c r="K30" s="497"/>
      <c r="L30" s="497"/>
      <c r="M30" s="497"/>
      <c r="N30" s="497"/>
      <c r="O30" s="497"/>
      <c r="P30" s="497"/>
      <c r="Q30" s="497"/>
      <c r="R30" s="497"/>
      <c r="S30" s="497"/>
      <c r="T30" s="497"/>
      <c r="U30" s="497"/>
      <c r="V30" s="497"/>
      <c r="W30" s="497"/>
      <c r="X30" s="497"/>
      <c r="Y30" s="497"/>
      <c r="Z30" s="497"/>
      <c r="AA30" s="497"/>
      <c r="AB30" s="497"/>
      <c r="AC30" s="407"/>
    </row>
    <row r="31" spans="1:29" ht="15.6" customHeight="1">
      <c r="A31" s="494"/>
      <c r="B31" s="495" t="s">
        <v>152</v>
      </c>
      <c r="C31" s="496" t="s">
        <v>37</v>
      </c>
      <c r="D31" s="497">
        <v>88</v>
      </c>
      <c r="E31" s="497">
        <v>20</v>
      </c>
      <c r="F31" s="497"/>
      <c r="G31" s="497">
        <f>D31*E31</f>
        <v>1760</v>
      </c>
      <c r="H31" s="497">
        <f>D31*F31</f>
        <v>0</v>
      </c>
      <c r="I31" s="497"/>
      <c r="J31" s="497">
        <v>20</v>
      </c>
      <c r="K31" s="497"/>
      <c r="L31" s="497">
        <f>I31*J31</f>
        <v>0</v>
      </c>
      <c r="M31" s="497">
        <f>I31*K31</f>
        <v>0</v>
      </c>
      <c r="N31" s="497"/>
      <c r="O31" s="497">
        <v>20</v>
      </c>
      <c r="P31" s="497"/>
      <c r="Q31" s="497">
        <f>N31*O31</f>
        <v>0</v>
      </c>
      <c r="R31" s="497">
        <f>N31*P31</f>
        <v>0</v>
      </c>
      <c r="S31" s="497"/>
      <c r="T31" s="497">
        <v>20</v>
      </c>
      <c r="U31" s="497"/>
      <c r="V31" s="497">
        <f>S31*T31</f>
        <v>0</v>
      </c>
      <c r="W31" s="497">
        <f>S31*U31</f>
        <v>0</v>
      </c>
      <c r="X31" s="497">
        <v>88</v>
      </c>
      <c r="Y31" s="497">
        <v>20</v>
      </c>
      <c r="Z31" s="497"/>
      <c r="AA31" s="497">
        <f>X31*Y31</f>
        <v>1760</v>
      </c>
      <c r="AB31" s="497">
        <f>X31*Z31</f>
        <v>0</v>
      </c>
      <c r="AC31" s="407"/>
    </row>
    <row r="32" spans="1:29" ht="15.6" customHeight="1">
      <c r="A32" s="494"/>
      <c r="B32" s="498" t="s">
        <v>153</v>
      </c>
      <c r="C32" s="496" t="s">
        <v>37</v>
      </c>
      <c r="D32" s="497">
        <v>100</v>
      </c>
      <c r="E32" s="497"/>
      <c r="F32" s="497">
        <v>12</v>
      </c>
      <c r="G32" s="497"/>
      <c r="H32" s="497">
        <f>D32*F32</f>
        <v>1200</v>
      </c>
      <c r="I32" s="497"/>
      <c r="J32" s="497"/>
      <c r="K32" s="497">
        <v>12</v>
      </c>
      <c r="L32" s="497"/>
      <c r="M32" s="497">
        <f>I32*K32</f>
        <v>0</v>
      </c>
      <c r="N32" s="497"/>
      <c r="O32" s="497"/>
      <c r="P32" s="497">
        <v>12</v>
      </c>
      <c r="Q32" s="497"/>
      <c r="R32" s="497">
        <f>N32*P32</f>
        <v>0</v>
      </c>
      <c r="S32" s="497"/>
      <c r="T32" s="497"/>
      <c r="U32" s="497">
        <v>12</v>
      </c>
      <c r="V32" s="497"/>
      <c r="W32" s="497">
        <f>S32*U32</f>
        <v>0</v>
      </c>
      <c r="X32" s="497">
        <v>100</v>
      </c>
      <c r="Y32" s="497"/>
      <c r="Z32" s="497">
        <v>12</v>
      </c>
      <c r="AA32" s="497"/>
      <c r="AB32" s="497">
        <f>X32*Z32</f>
        <v>1200</v>
      </c>
      <c r="AC32" s="407"/>
    </row>
    <row r="33" spans="1:29" ht="15.6" customHeight="1">
      <c r="A33" s="494"/>
      <c r="B33" s="498" t="s">
        <v>154</v>
      </c>
      <c r="C33" s="496" t="s">
        <v>21</v>
      </c>
      <c r="D33" s="497">
        <v>2</v>
      </c>
      <c r="E33" s="497"/>
      <c r="F33" s="497">
        <v>35</v>
      </c>
      <c r="G33" s="497"/>
      <c r="H33" s="497">
        <f>D33*F33</f>
        <v>70</v>
      </c>
      <c r="I33" s="497"/>
      <c r="J33" s="497"/>
      <c r="K33" s="497">
        <v>35</v>
      </c>
      <c r="L33" s="497"/>
      <c r="M33" s="497">
        <f>I33*K33</f>
        <v>0</v>
      </c>
      <c r="N33" s="497"/>
      <c r="O33" s="497"/>
      <c r="P33" s="497">
        <v>35</v>
      </c>
      <c r="Q33" s="497"/>
      <c r="R33" s="497">
        <f>N33*P33</f>
        <v>0</v>
      </c>
      <c r="S33" s="497"/>
      <c r="T33" s="497"/>
      <c r="U33" s="497">
        <v>35</v>
      </c>
      <c r="V33" s="497"/>
      <c r="W33" s="497">
        <f>S33*U33</f>
        <v>0</v>
      </c>
      <c r="X33" s="497">
        <v>2</v>
      </c>
      <c r="Y33" s="497"/>
      <c r="Z33" s="497">
        <v>35</v>
      </c>
      <c r="AA33" s="497"/>
      <c r="AB33" s="497">
        <f>X33*Z33</f>
        <v>70</v>
      </c>
      <c r="AC33" s="407"/>
    </row>
    <row r="34" spans="1:29" ht="14.4" customHeight="1">
      <c r="A34" s="481"/>
      <c r="B34" s="502"/>
      <c r="C34" s="502"/>
      <c r="D34" s="503"/>
      <c r="E34" s="504"/>
      <c r="F34" s="504"/>
      <c r="G34" s="504"/>
      <c r="H34" s="504"/>
      <c r="I34" s="503"/>
      <c r="J34" s="504"/>
      <c r="K34" s="504"/>
      <c r="L34" s="504"/>
      <c r="M34" s="504"/>
      <c r="N34" s="503"/>
      <c r="O34" s="504"/>
      <c r="P34" s="504"/>
      <c r="Q34" s="504"/>
      <c r="R34" s="504"/>
      <c r="S34" s="503"/>
      <c r="T34" s="504"/>
      <c r="U34" s="504"/>
      <c r="V34" s="504"/>
      <c r="W34" s="504"/>
      <c r="X34" s="503"/>
      <c r="Y34" s="504"/>
      <c r="Z34" s="504"/>
      <c r="AA34" s="504"/>
      <c r="AB34" s="504"/>
      <c r="AC34" s="407"/>
    </row>
    <row r="35" spans="1:29" ht="15.6" customHeight="1">
      <c r="A35" s="481"/>
      <c r="B35" s="482" t="s">
        <v>155</v>
      </c>
      <c r="C35" s="483"/>
      <c r="D35" s="484"/>
      <c r="E35" s="484"/>
      <c r="F35" s="484"/>
      <c r="G35" s="484"/>
      <c r="H35" s="484"/>
      <c r="I35" s="484"/>
      <c r="J35" s="484"/>
      <c r="K35" s="484"/>
      <c r="L35" s="484"/>
      <c r="M35" s="484"/>
      <c r="N35" s="484"/>
      <c r="O35" s="484"/>
      <c r="P35" s="484"/>
      <c r="Q35" s="484"/>
      <c r="R35" s="484"/>
      <c r="S35" s="484"/>
      <c r="T35" s="484"/>
      <c r="U35" s="484"/>
      <c r="V35" s="484"/>
      <c r="W35" s="484"/>
      <c r="X35" s="484"/>
      <c r="Y35" s="484"/>
      <c r="Z35" s="484"/>
      <c r="AA35" s="484"/>
      <c r="AB35" s="484"/>
      <c r="AC35" s="407"/>
    </row>
    <row r="36" spans="1:29" ht="27.6" hidden="1" customHeight="1">
      <c r="A36" s="481"/>
      <c r="B36" s="486" t="s">
        <v>156</v>
      </c>
      <c r="C36" s="487" t="s">
        <v>37</v>
      </c>
      <c r="D36" s="488">
        <v>88</v>
      </c>
      <c r="E36" s="489"/>
      <c r="F36" s="489"/>
      <c r="G36" s="490">
        <f>D36*E36</f>
        <v>0</v>
      </c>
      <c r="H36" s="489"/>
      <c r="I36" s="488"/>
      <c r="J36" s="489"/>
      <c r="K36" s="489"/>
      <c r="L36" s="490">
        <f>I36*J36</f>
        <v>0</v>
      </c>
      <c r="M36" s="489"/>
      <c r="N36" s="488"/>
      <c r="O36" s="489"/>
      <c r="P36" s="489"/>
      <c r="Q36" s="490">
        <f>N36*O36</f>
        <v>0</v>
      </c>
      <c r="R36" s="489"/>
      <c r="S36" s="488">
        <v>88</v>
      </c>
      <c r="T36" s="489"/>
      <c r="U36" s="489"/>
      <c r="V36" s="490">
        <f>S36*T36</f>
        <v>0</v>
      </c>
      <c r="W36" s="489"/>
      <c r="X36" s="488">
        <v>88</v>
      </c>
      <c r="Y36" s="489"/>
      <c r="Z36" s="489"/>
      <c r="AA36" s="490">
        <f>X36*Y36</f>
        <v>0</v>
      </c>
      <c r="AB36" s="489"/>
      <c r="AC36" s="407"/>
    </row>
    <row r="37" spans="1:29" ht="15.6" hidden="1" customHeight="1">
      <c r="A37" s="481"/>
      <c r="B37" s="696" t="s">
        <v>157</v>
      </c>
      <c r="C37" s="697"/>
      <c r="D37" s="697"/>
      <c r="E37" s="697"/>
      <c r="F37" s="697"/>
      <c r="G37" s="484"/>
      <c r="H37" s="484"/>
      <c r="I37" s="505"/>
      <c r="J37" s="505"/>
      <c r="K37" s="505"/>
      <c r="L37" s="484"/>
      <c r="M37" s="484"/>
      <c r="N37" s="505"/>
      <c r="O37" s="505"/>
      <c r="P37" s="505"/>
      <c r="Q37" s="484"/>
      <c r="R37" s="484"/>
      <c r="S37" s="506"/>
      <c r="T37" s="506"/>
      <c r="U37" s="466"/>
      <c r="V37" s="484"/>
      <c r="W37" s="484"/>
      <c r="X37" s="466"/>
      <c r="Y37" s="466"/>
      <c r="Z37" s="466"/>
      <c r="AA37" s="484"/>
      <c r="AB37" s="484"/>
      <c r="AC37" s="407"/>
    </row>
    <row r="38" spans="1:29" ht="15.6" hidden="1" customHeight="1">
      <c r="A38" s="481"/>
      <c r="B38" s="697"/>
      <c r="C38" s="697"/>
      <c r="D38" s="697"/>
      <c r="E38" s="697"/>
      <c r="F38" s="697"/>
      <c r="G38" s="484"/>
      <c r="H38" s="484"/>
      <c r="I38" s="505"/>
      <c r="J38" s="505"/>
      <c r="K38" s="505"/>
      <c r="L38" s="484"/>
      <c r="M38" s="484"/>
      <c r="N38" s="505"/>
      <c r="O38" s="505"/>
      <c r="P38" s="505"/>
      <c r="Q38" s="484"/>
      <c r="R38" s="484"/>
      <c r="S38" s="506"/>
      <c r="T38" s="506"/>
      <c r="U38" s="466"/>
      <c r="V38" s="484"/>
      <c r="W38" s="484"/>
      <c r="X38" s="466"/>
      <c r="Y38" s="466"/>
      <c r="Z38" s="466"/>
      <c r="AA38" s="484"/>
      <c r="AB38" s="484"/>
      <c r="AC38" s="407"/>
    </row>
    <row r="39" spans="1:29" ht="15.6" hidden="1" customHeight="1">
      <c r="A39" s="481"/>
      <c r="B39" s="697"/>
      <c r="C39" s="697"/>
      <c r="D39" s="697"/>
      <c r="E39" s="697"/>
      <c r="F39" s="697"/>
      <c r="G39" s="484"/>
      <c r="H39" s="484"/>
      <c r="I39" s="505"/>
      <c r="J39" s="505"/>
      <c r="K39" s="505"/>
      <c r="L39" s="484"/>
      <c r="M39" s="484"/>
      <c r="N39" s="505"/>
      <c r="O39" s="505"/>
      <c r="P39" s="505"/>
      <c r="Q39" s="484"/>
      <c r="R39" s="484"/>
      <c r="S39" s="506"/>
      <c r="T39" s="506"/>
      <c r="U39" s="466"/>
      <c r="V39" s="484"/>
      <c r="W39" s="484"/>
      <c r="X39" s="466"/>
      <c r="Y39" s="466"/>
      <c r="Z39" s="466"/>
      <c r="AA39" s="484"/>
      <c r="AB39" s="484"/>
      <c r="AC39" s="407"/>
    </row>
    <row r="40" spans="1:29" ht="15.6" hidden="1" customHeight="1">
      <c r="A40" s="481"/>
      <c r="B40" s="697"/>
      <c r="C40" s="697"/>
      <c r="D40" s="697"/>
      <c r="E40" s="697"/>
      <c r="F40" s="697"/>
      <c r="G40" s="484"/>
      <c r="H40" s="484"/>
      <c r="I40" s="505"/>
      <c r="J40" s="505"/>
      <c r="K40" s="505"/>
      <c r="L40" s="484"/>
      <c r="M40" s="484"/>
      <c r="N40" s="505"/>
      <c r="O40" s="505"/>
      <c r="P40" s="505"/>
      <c r="Q40" s="484"/>
      <c r="R40" s="484"/>
      <c r="S40" s="506"/>
      <c r="T40" s="506"/>
      <c r="U40" s="466"/>
      <c r="V40" s="484"/>
      <c r="W40" s="484"/>
      <c r="X40" s="466"/>
      <c r="Y40" s="466"/>
      <c r="Z40" s="466"/>
      <c r="AA40" s="484"/>
      <c r="AB40" s="484"/>
      <c r="AC40" s="407"/>
    </row>
    <row r="41" spans="1:29" ht="15.6" hidden="1" customHeight="1">
      <c r="A41" s="481"/>
      <c r="B41" s="697"/>
      <c r="C41" s="697"/>
      <c r="D41" s="697"/>
      <c r="E41" s="697"/>
      <c r="F41" s="697"/>
      <c r="G41" s="484"/>
      <c r="H41" s="484"/>
      <c r="I41" s="505"/>
      <c r="J41" s="505"/>
      <c r="K41" s="505"/>
      <c r="L41" s="484"/>
      <c r="M41" s="484"/>
      <c r="N41" s="505"/>
      <c r="O41" s="505"/>
      <c r="P41" s="505"/>
      <c r="Q41" s="484"/>
      <c r="R41" s="484"/>
      <c r="S41" s="506"/>
      <c r="T41" s="506"/>
      <c r="U41" s="466"/>
      <c r="V41" s="484"/>
      <c r="W41" s="484"/>
      <c r="X41" s="466"/>
      <c r="Y41" s="466"/>
      <c r="Z41" s="466"/>
      <c r="AA41" s="484"/>
      <c r="AB41" s="484"/>
      <c r="AC41" s="407"/>
    </row>
    <row r="42" spans="1:29" ht="15.6" hidden="1" customHeight="1">
      <c r="A42" s="481"/>
      <c r="B42" s="697"/>
      <c r="C42" s="697"/>
      <c r="D42" s="697"/>
      <c r="E42" s="697"/>
      <c r="F42" s="697"/>
      <c r="G42" s="484"/>
      <c r="H42" s="484"/>
      <c r="I42" s="505"/>
      <c r="J42" s="505"/>
      <c r="K42" s="505"/>
      <c r="L42" s="484"/>
      <c r="M42" s="484"/>
      <c r="N42" s="505"/>
      <c r="O42" s="505"/>
      <c r="P42" s="505"/>
      <c r="Q42" s="484"/>
      <c r="R42" s="484"/>
      <c r="S42" s="506"/>
      <c r="T42" s="506"/>
      <c r="U42" s="466"/>
      <c r="V42" s="484"/>
      <c r="W42" s="484"/>
      <c r="X42" s="466"/>
      <c r="Y42" s="466"/>
      <c r="Z42" s="466"/>
      <c r="AA42" s="484"/>
      <c r="AB42" s="484"/>
      <c r="AC42" s="407"/>
    </row>
    <row r="43" spans="1:29" ht="27.6" hidden="1" customHeight="1">
      <c r="A43" s="481"/>
      <c r="B43" s="486" t="s">
        <v>158</v>
      </c>
      <c r="C43" s="487" t="s">
        <v>37</v>
      </c>
      <c r="D43" s="488">
        <v>88</v>
      </c>
      <c r="E43" s="489">
        <v>340</v>
      </c>
      <c r="F43" s="489"/>
      <c r="G43" s="490">
        <f>D43*E43</f>
        <v>29920</v>
      </c>
      <c r="H43" s="489"/>
      <c r="I43" s="507">
        <v>7</v>
      </c>
      <c r="J43" s="489">
        <f>340*1.2</f>
        <v>408</v>
      </c>
      <c r="K43" s="489"/>
      <c r="L43" s="490">
        <f>I43*J43</f>
        <v>2856</v>
      </c>
      <c r="M43" s="489"/>
      <c r="N43" s="488"/>
      <c r="O43" s="489">
        <v>340</v>
      </c>
      <c r="P43" s="489"/>
      <c r="Q43" s="490">
        <f>N43*O43</f>
        <v>0</v>
      </c>
      <c r="R43" s="489"/>
      <c r="S43" s="488">
        <v>47</v>
      </c>
      <c r="T43" s="489">
        <v>340</v>
      </c>
      <c r="U43" s="489"/>
      <c r="V43" s="490">
        <f>S43*T43</f>
        <v>15980</v>
      </c>
      <c r="W43" s="489"/>
      <c r="X43" s="488">
        <v>54</v>
      </c>
      <c r="Y43" s="489">
        <v>340</v>
      </c>
      <c r="Z43" s="489"/>
      <c r="AA43" s="490"/>
      <c r="AB43" s="489"/>
      <c r="AC43" s="407"/>
    </row>
    <row r="44" spans="1:29" ht="27.6" hidden="1" customHeight="1">
      <c r="A44" s="481"/>
      <c r="B44" s="491" t="s">
        <v>43</v>
      </c>
      <c r="C44" s="491" t="s">
        <v>37</v>
      </c>
      <c r="D44" s="492">
        <f>CEILING(D43*1.05,3)</f>
        <v>93</v>
      </c>
      <c r="E44" s="492"/>
      <c r="F44" s="493">
        <v>49</v>
      </c>
      <c r="G44" s="493"/>
      <c r="H44" s="493">
        <f t="shared" ref="H44:H52" si="8">F44*D44</f>
        <v>4557</v>
      </c>
      <c r="I44" s="492">
        <f>CEILING(I43*1.05,3)</f>
        <v>9</v>
      </c>
      <c r="J44" s="492"/>
      <c r="K44" s="493">
        <v>49</v>
      </c>
      <c r="L44" s="493"/>
      <c r="M44" s="493">
        <f t="shared" ref="M44:M52" si="9">K44*I44</f>
        <v>441</v>
      </c>
      <c r="N44" s="492"/>
      <c r="O44" s="492"/>
      <c r="P44" s="493">
        <v>49</v>
      </c>
      <c r="Q44" s="493"/>
      <c r="R44" s="493">
        <f t="shared" ref="R44:R52" si="10">P44*N44</f>
        <v>0</v>
      </c>
      <c r="S44" s="492">
        <f>CEILING(S43*1.05,3)</f>
        <v>51</v>
      </c>
      <c r="T44" s="492"/>
      <c r="U44" s="493">
        <v>49</v>
      </c>
      <c r="V44" s="493"/>
      <c r="W44" s="493">
        <f t="shared" ref="W44:W52" si="11">U44*S44</f>
        <v>2499</v>
      </c>
      <c r="X44" s="492"/>
      <c r="Y44" s="492"/>
      <c r="Z44" s="493">
        <v>49</v>
      </c>
      <c r="AA44" s="493"/>
      <c r="AB44" s="493">
        <f t="shared" ref="AB44:AB52" si="12">Z44*X44</f>
        <v>0</v>
      </c>
      <c r="AC44" s="407"/>
    </row>
    <row r="45" spans="1:29" ht="14.4" hidden="1" customHeight="1">
      <c r="A45" s="481"/>
      <c r="B45" s="491" t="s">
        <v>159</v>
      </c>
      <c r="C45" s="491" t="s">
        <v>46</v>
      </c>
      <c r="D45" s="492">
        <f>CEILING(D43*2.1,3)</f>
        <v>186</v>
      </c>
      <c r="E45" s="508"/>
      <c r="F45" s="493">
        <v>25</v>
      </c>
      <c r="G45" s="493"/>
      <c r="H45" s="493">
        <f t="shared" si="8"/>
        <v>4650</v>
      </c>
      <c r="I45" s="492">
        <f>CEILING(I43*2.1,3)</f>
        <v>15</v>
      </c>
      <c r="J45" s="508"/>
      <c r="K45" s="493">
        <v>25</v>
      </c>
      <c r="L45" s="493"/>
      <c r="M45" s="493">
        <f t="shared" si="9"/>
        <v>375</v>
      </c>
      <c r="N45" s="492"/>
      <c r="O45" s="508"/>
      <c r="P45" s="493">
        <v>25</v>
      </c>
      <c r="Q45" s="493"/>
      <c r="R45" s="493">
        <f t="shared" si="10"/>
        <v>0</v>
      </c>
      <c r="S45" s="492">
        <f>CEILING(S43*2.1,3)</f>
        <v>99</v>
      </c>
      <c r="T45" s="508"/>
      <c r="U45" s="493">
        <v>25</v>
      </c>
      <c r="V45" s="493"/>
      <c r="W45" s="493">
        <f t="shared" si="11"/>
        <v>2475</v>
      </c>
      <c r="X45" s="492"/>
      <c r="Y45" s="508"/>
      <c r="Z45" s="493">
        <v>25</v>
      </c>
      <c r="AA45" s="493"/>
      <c r="AB45" s="493">
        <f t="shared" si="12"/>
        <v>0</v>
      </c>
      <c r="AC45" s="407"/>
    </row>
    <row r="46" spans="1:29" ht="14.4" hidden="1" customHeight="1">
      <c r="A46" s="481"/>
      <c r="B46" s="491" t="s">
        <v>160</v>
      </c>
      <c r="C46" s="491" t="s">
        <v>46</v>
      </c>
      <c r="D46" s="492">
        <f>CEILING(D43*3,3)</f>
        <v>264</v>
      </c>
      <c r="E46" s="492"/>
      <c r="F46" s="493">
        <v>38.57</v>
      </c>
      <c r="G46" s="493"/>
      <c r="H46" s="493">
        <f t="shared" si="8"/>
        <v>10182.48</v>
      </c>
      <c r="I46" s="492">
        <f>CEILING(I43*3,3)</f>
        <v>21</v>
      </c>
      <c r="J46" s="492"/>
      <c r="K46" s="493">
        <v>38.57</v>
      </c>
      <c r="L46" s="493"/>
      <c r="M46" s="493">
        <f t="shared" si="9"/>
        <v>809.97</v>
      </c>
      <c r="N46" s="492"/>
      <c r="O46" s="492"/>
      <c r="P46" s="493">
        <v>38.57</v>
      </c>
      <c r="Q46" s="493"/>
      <c r="R46" s="493">
        <f t="shared" si="10"/>
        <v>0</v>
      </c>
      <c r="S46" s="492">
        <f>CEILING(S43*3,3)</f>
        <v>141</v>
      </c>
      <c r="T46" s="492"/>
      <c r="U46" s="493">
        <v>38.57</v>
      </c>
      <c r="V46" s="493"/>
      <c r="W46" s="493">
        <f t="shared" si="11"/>
        <v>5438.37</v>
      </c>
      <c r="X46" s="492"/>
      <c r="Y46" s="492"/>
      <c r="Z46" s="493">
        <v>38.57</v>
      </c>
      <c r="AA46" s="493"/>
      <c r="AB46" s="493">
        <f t="shared" si="12"/>
        <v>0</v>
      </c>
      <c r="AC46" s="407"/>
    </row>
    <row r="47" spans="1:29" ht="14.4" hidden="1" customHeight="1">
      <c r="A47" s="481"/>
      <c r="B47" s="491" t="s">
        <v>161</v>
      </c>
      <c r="C47" s="491" t="s">
        <v>21</v>
      </c>
      <c r="D47" s="492">
        <f>ROUNDUP(D43*1,0)</f>
        <v>88</v>
      </c>
      <c r="E47" s="492"/>
      <c r="F47" s="493">
        <v>8.52</v>
      </c>
      <c r="G47" s="493"/>
      <c r="H47" s="493">
        <f t="shared" si="8"/>
        <v>749.76</v>
      </c>
      <c r="I47" s="492">
        <f>ROUNDUP(I43*1,0)</f>
        <v>7</v>
      </c>
      <c r="J47" s="492"/>
      <c r="K47" s="493">
        <v>8.52</v>
      </c>
      <c r="L47" s="493"/>
      <c r="M47" s="493">
        <f t="shared" si="9"/>
        <v>59.64</v>
      </c>
      <c r="N47" s="492"/>
      <c r="O47" s="492"/>
      <c r="P47" s="493">
        <v>8.52</v>
      </c>
      <c r="Q47" s="493"/>
      <c r="R47" s="493">
        <f t="shared" si="10"/>
        <v>0</v>
      </c>
      <c r="S47" s="492">
        <f>ROUNDUP(S43*1,0)</f>
        <v>47</v>
      </c>
      <c r="T47" s="492"/>
      <c r="U47" s="493">
        <v>8.52</v>
      </c>
      <c r="V47" s="493"/>
      <c r="W47" s="493">
        <f t="shared" si="11"/>
        <v>400.44</v>
      </c>
      <c r="X47" s="492"/>
      <c r="Y47" s="492"/>
      <c r="Z47" s="493">
        <v>8.52</v>
      </c>
      <c r="AA47" s="493"/>
      <c r="AB47" s="493">
        <f t="shared" si="12"/>
        <v>0</v>
      </c>
      <c r="AC47" s="407"/>
    </row>
    <row r="48" spans="1:29" ht="14.4" hidden="1" customHeight="1">
      <c r="A48" s="481"/>
      <c r="B48" s="491" t="s">
        <v>98</v>
      </c>
      <c r="C48" s="491" t="s">
        <v>21</v>
      </c>
      <c r="D48" s="492">
        <f>ROUND(D43*4,0)</f>
        <v>352</v>
      </c>
      <c r="E48" s="492"/>
      <c r="F48" s="493">
        <v>0.18</v>
      </c>
      <c r="G48" s="493"/>
      <c r="H48" s="493">
        <f t="shared" si="8"/>
        <v>63.36</v>
      </c>
      <c r="I48" s="492">
        <f>ROUND(I43*4,0)</f>
        <v>28</v>
      </c>
      <c r="J48" s="492"/>
      <c r="K48" s="493">
        <v>0.18</v>
      </c>
      <c r="L48" s="493"/>
      <c r="M48" s="493">
        <f t="shared" si="9"/>
        <v>5.04</v>
      </c>
      <c r="N48" s="492"/>
      <c r="O48" s="492"/>
      <c r="P48" s="493">
        <v>0.18</v>
      </c>
      <c r="Q48" s="493"/>
      <c r="R48" s="493">
        <f t="shared" si="10"/>
        <v>0</v>
      </c>
      <c r="S48" s="492">
        <f>ROUND(S43*4,0)</f>
        <v>188</v>
      </c>
      <c r="T48" s="492"/>
      <c r="U48" s="493">
        <v>0.18</v>
      </c>
      <c r="V48" s="493"/>
      <c r="W48" s="493">
        <f t="shared" si="11"/>
        <v>33.839999999999996</v>
      </c>
      <c r="X48" s="492"/>
      <c r="Y48" s="492"/>
      <c r="Z48" s="493">
        <v>0.18</v>
      </c>
      <c r="AA48" s="493"/>
      <c r="AB48" s="493">
        <f t="shared" si="12"/>
        <v>0</v>
      </c>
      <c r="AC48" s="407"/>
    </row>
    <row r="49" spans="1:29" ht="14.4" hidden="1" customHeight="1">
      <c r="A49" s="481"/>
      <c r="B49" s="491" t="s">
        <v>162</v>
      </c>
      <c r="C49" s="491" t="s">
        <v>21</v>
      </c>
      <c r="D49" s="492">
        <v>220</v>
      </c>
      <c r="E49" s="492"/>
      <c r="F49" s="493">
        <v>22.38</v>
      </c>
      <c r="G49" s="493"/>
      <c r="H49" s="493">
        <f t="shared" si="8"/>
        <v>4923.5999999999995</v>
      </c>
      <c r="I49" s="492">
        <f>ROUNDUP(I43*1.7,0)</f>
        <v>12</v>
      </c>
      <c r="J49" s="492"/>
      <c r="K49" s="493">
        <v>22.38</v>
      </c>
      <c r="L49" s="493"/>
      <c r="M49" s="493">
        <f t="shared" si="9"/>
        <v>268.56</v>
      </c>
      <c r="N49" s="492"/>
      <c r="O49" s="492"/>
      <c r="P49" s="493">
        <v>22.38</v>
      </c>
      <c r="Q49" s="493"/>
      <c r="R49" s="493">
        <f t="shared" si="10"/>
        <v>0</v>
      </c>
      <c r="S49" s="492">
        <f>S43*2.2</f>
        <v>103.4</v>
      </c>
      <c r="T49" s="492"/>
      <c r="U49" s="493">
        <v>22.38</v>
      </c>
      <c r="V49" s="493"/>
      <c r="W49" s="493">
        <f t="shared" si="11"/>
        <v>2314.0920000000001</v>
      </c>
      <c r="X49" s="492"/>
      <c r="Y49" s="492"/>
      <c r="Z49" s="493">
        <v>22.38</v>
      </c>
      <c r="AA49" s="493"/>
      <c r="AB49" s="493">
        <f t="shared" si="12"/>
        <v>0</v>
      </c>
      <c r="AC49" s="407"/>
    </row>
    <row r="50" spans="1:29" ht="14.4" hidden="1" customHeight="1">
      <c r="A50" s="481"/>
      <c r="B50" s="491" t="s">
        <v>49</v>
      </c>
      <c r="C50" s="491" t="s">
        <v>21</v>
      </c>
      <c r="D50" s="492">
        <f>ROUND(D43*5,2)</f>
        <v>440</v>
      </c>
      <c r="E50" s="492"/>
      <c r="F50" s="493">
        <v>0.83</v>
      </c>
      <c r="G50" s="493"/>
      <c r="H50" s="493">
        <f t="shared" si="8"/>
        <v>365.2</v>
      </c>
      <c r="I50" s="492">
        <f>ROUND(I43*5,2)</f>
        <v>35</v>
      </c>
      <c r="J50" s="492"/>
      <c r="K50" s="493">
        <v>0.83</v>
      </c>
      <c r="L50" s="493"/>
      <c r="M50" s="493">
        <f t="shared" si="9"/>
        <v>29.049999999999997</v>
      </c>
      <c r="N50" s="492"/>
      <c r="O50" s="492"/>
      <c r="P50" s="493">
        <v>0.83</v>
      </c>
      <c r="Q50" s="493"/>
      <c r="R50" s="493">
        <f t="shared" si="10"/>
        <v>0</v>
      </c>
      <c r="S50" s="492">
        <f>ROUND(S43*5,2)</f>
        <v>235</v>
      </c>
      <c r="T50" s="492"/>
      <c r="U50" s="493">
        <v>0.83</v>
      </c>
      <c r="V50" s="493"/>
      <c r="W50" s="493">
        <f t="shared" si="11"/>
        <v>195.04999999999998</v>
      </c>
      <c r="X50" s="492"/>
      <c r="Y50" s="492"/>
      <c r="Z50" s="493">
        <v>0.83</v>
      </c>
      <c r="AA50" s="493"/>
      <c r="AB50" s="493">
        <f t="shared" si="12"/>
        <v>0</v>
      </c>
      <c r="AC50" s="407"/>
    </row>
    <row r="51" spans="1:29" ht="14.4" hidden="1" customHeight="1">
      <c r="A51" s="481"/>
      <c r="B51" s="491" t="s">
        <v>51</v>
      </c>
      <c r="C51" s="491" t="s">
        <v>21</v>
      </c>
      <c r="D51" s="492">
        <f>ROUND(D43*23,2)</f>
        <v>2024</v>
      </c>
      <c r="E51" s="492"/>
      <c r="F51" s="493">
        <v>0.23</v>
      </c>
      <c r="G51" s="493"/>
      <c r="H51" s="493">
        <f t="shared" si="8"/>
        <v>465.52000000000004</v>
      </c>
      <c r="I51" s="492">
        <f>ROUND(I43*23,2)</f>
        <v>161</v>
      </c>
      <c r="J51" s="492"/>
      <c r="K51" s="493">
        <v>0.23</v>
      </c>
      <c r="L51" s="493"/>
      <c r="M51" s="493">
        <f t="shared" si="9"/>
        <v>37.03</v>
      </c>
      <c r="N51" s="492"/>
      <c r="O51" s="492"/>
      <c r="P51" s="493">
        <v>0.23</v>
      </c>
      <c r="Q51" s="493"/>
      <c r="R51" s="493">
        <f t="shared" si="10"/>
        <v>0</v>
      </c>
      <c r="S51" s="492">
        <f>ROUND(S43*23,2)</f>
        <v>1081</v>
      </c>
      <c r="T51" s="492"/>
      <c r="U51" s="493">
        <v>0.23</v>
      </c>
      <c r="V51" s="493"/>
      <c r="W51" s="493">
        <f t="shared" si="11"/>
        <v>248.63000000000002</v>
      </c>
      <c r="X51" s="492"/>
      <c r="Y51" s="492"/>
      <c r="Z51" s="493">
        <v>0.23</v>
      </c>
      <c r="AA51" s="493"/>
      <c r="AB51" s="493">
        <f t="shared" si="12"/>
        <v>0</v>
      </c>
      <c r="AC51" s="407"/>
    </row>
    <row r="52" spans="1:29" ht="14.4" hidden="1" customHeight="1">
      <c r="A52" s="481"/>
      <c r="B52" s="491" t="s">
        <v>163</v>
      </c>
      <c r="C52" s="491" t="s">
        <v>21</v>
      </c>
      <c r="D52" s="492">
        <v>1000</v>
      </c>
      <c r="E52" s="492"/>
      <c r="F52" s="493">
        <v>0.5</v>
      </c>
      <c r="G52" s="493"/>
      <c r="H52" s="493">
        <f t="shared" si="8"/>
        <v>500</v>
      </c>
      <c r="I52" s="492">
        <f>I43*12</f>
        <v>84</v>
      </c>
      <c r="J52" s="492"/>
      <c r="K52" s="493">
        <v>0.5</v>
      </c>
      <c r="L52" s="493"/>
      <c r="M52" s="493">
        <f t="shared" si="9"/>
        <v>42</v>
      </c>
      <c r="N52" s="492"/>
      <c r="O52" s="492"/>
      <c r="P52" s="493">
        <v>0.5</v>
      </c>
      <c r="Q52" s="493"/>
      <c r="R52" s="493">
        <f t="shared" si="10"/>
        <v>0</v>
      </c>
      <c r="S52" s="492">
        <f>S43*8</f>
        <v>376</v>
      </c>
      <c r="T52" s="492"/>
      <c r="U52" s="493">
        <v>0.5</v>
      </c>
      <c r="V52" s="493"/>
      <c r="W52" s="493">
        <f t="shared" si="11"/>
        <v>188</v>
      </c>
      <c r="X52" s="492"/>
      <c r="Y52" s="492"/>
      <c r="Z52" s="493">
        <v>0.5</v>
      </c>
      <c r="AA52" s="493"/>
      <c r="AB52" s="493">
        <f t="shared" si="12"/>
        <v>0</v>
      </c>
      <c r="AC52" s="407"/>
    </row>
    <row r="53" spans="1:29" ht="14.4" customHeight="1">
      <c r="A53" s="481"/>
      <c r="B53" s="509" t="s">
        <v>164</v>
      </c>
      <c r="C53" s="510" t="s">
        <v>37</v>
      </c>
      <c r="D53" s="511">
        <f>D58</f>
        <v>88</v>
      </c>
      <c r="E53" s="512">
        <v>32</v>
      </c>
      <c r="F53" s="513"/>
      <c r="G53" s="512">
        <f>ROUND(D53*E53,2)</f>
        <v>2816</v>
      </c>
      <c r="H53" s="512"/>
      <c r="I53" s="511"/>
      <c r="J53" s="512">
        <v>32</v>
      </c>
      <c r="K53" s="513"/>
      <c r="L53" s="512">
        <f>ROUND(I53*J53,2)</f>
        <v>0</v>
      </c>
      <c r="M53" s="512"/>
      <c r="N53" s="511"/>
      <c r="O53" s="512">
        <v>32</v>
      </c>
      <c r="P53" s="513"/>
      <c r="Q53" s="512">
        <f>ROUND(N53*O53,2)</f>
        <v>0</v>
      </c>
      <c r="R53" s="512"/>
      <c r="S53" s="511"/>
      <c r="T53" s="512">
        <v>32</v>
      </c>
      <c r="U53" s="513"/>
      <c r="V53" s="512">
        <f>ROUND(S53*T53,2)</f>
        <v>0</v>
      </c>
      <c r="W53" s="512"/>
      <c r="X53" s="511">
        <f>X58</f>
        <v>54</v>
      </c>
      <c r="Y53" s="512">
        <v>32</v>
      </c>
      <c r="Z53" s="513"/>
      <c r="AA53" s="512">
        <f>ROUND(X53*Y53,2)</f>
        <v>1728</v>
      </c>
      <c r="AB53" s="512"/>
      <c r="AC53" s="407"/>
    </row>
    <row r="54" spans="1:29" ht="14.4" customHeight="1">
      <c r="A54" s="481"/>
      <c r="B54" s="514" t="s">
        <v>165</v>
      </c>
      <c r="C54" s="514" t="s">
        <v>88</v>
      </c>
      <c r="D54" s="515">
        <f>D53*0.45</f>
        <v>39.6</v>
      </c>
      <c r="E54" s="513"/>
      <c r="F54" s="516">
        <v>6</v>
      </c>
      <c r="G54" s="513"/>
      <c r="H54" s="513">
        <f>ROUND(D54*F54,2)</f>
        <v>237.6</v>
      </c>
      <c r="I54" s="515"/>
      <c r="J54" s="513"/>
      <c r="K54" s="516">
        <v>6</v>
      </c>
      <c r="L54" s="513"/>
      <c r="M54" s="513">
        <f>ROUND(I54*K54,2)</f>
        <v>0</v>
      </c>
      <c r="N54" s="515"/>
      <c r="O54" s="513"/>
      <c r="P54" s="516">
        <v>6</v>
      </c>
      <c r="Q54" s="513"/>
      <c r="R54" s="513">
        <f>ROUND(N54*P54,2)</f>
        <v>0</v>
      </c>
      <c r="S54" s="515"/>
      <c r="T54" s="513"/>
      <c r="U54" s="516">
        <v>6</v>
      </c>
      <c r="V54" s="513"/>
      <c r="W54" s="513">
        <f>ROUND(S54*U54,2)</f>
        <v>0</v>
      </c>
      <c r="X54" s="515">
        <f>X53*0.45</f>
        <v>24.3</v>
      </c>
      <c r="Y54" s="513"/>
      <c r="Z54" s="516">
        <v>6</v>
      </c>
      <c r="AA54" s="513"/>
      <c r="AB54" s="513">
        <f>ROUND(X54*Z54,2)</f>
        <v>145.80000000000001</v>
      </c>
      <c r="AC54" s="407"/>
    </row>
    <row r="55" spans="1:29" ht="14.4" customHeight="1">
      <c r="A55" s="481"/>
      <c r="B55" s="514" t="s">
        <v>166</v>
      </c>
      <c r="C55" s="514" t="s">
        <v>46</v>
      </c>
      <c r="D55" s="513">
        <f>D53*1.2</f>
        <v>105.6</v>
      </c>
      <c r="E55" s="513"/>
      <c r="F55" s="516">
        <v>1.5</v>
      </c>
      <c r="G55" s="513"/>
      <c r="H55" s="513">
        <f>ROUND(D55*F55,2)</f>
        <v>158.4</v>
      </c>
      <c r="I55" s="513"/>
      <c r="J55" s="513"/>
      <c r="K55" s="516">
        <v>1.5</v>
      </c>
      <c r="L55" s="513"/>
      <c r="M55" s="513">
        <f>ROUND(I55*K55,2)</f>
        <v>0</v>
      </c>
      <c r="N55" s="513"/>
      <c r="O55" s="513"/>
      <c r="P55" s="516">
        <v>1.5</v>
      </c>
      <c r="Q55" s="513"/>
      <c r="R55" s="513">
        <f>ROUND(N55*P55,2)</f>
        <v>0</v>
      </c>
      <c r="S55" s="513"/>
      <c r="T55" s="513"/>
      <c r="U55" s="516">
        <v>1.5</v>
      </c>
      <c r="V55" s="513"/>
      <c r="W55" s="513">
        <f>ROUND(S55*U55,2)</f>
        <v>0</v>
      </c>
      <c r="X55" s="513">
        <f>X53*1.2</f>
        <v>64.8</v>
      </c>
      <c r="Y55" s="513"/>
      <c r="Z55" s="516">
        <v>1.5</v>
      </c>
      <c r="AA55" s="513"/>
      <c r="AB55" s="513">
        <f>ROUND(X55*Z55,2)</f>
        <v>97.2</v>
      </c>
      <c r="AC55" s="407"/>
    </row>
    <row r="56" spans="1:29" ht="14.4" customHeight="1">
      <c r="A56" s="481"/>
      <c r="B56" s="486" t="s">
        <v>167</v>
      </c>
      <c r="C56" s="487" t="s">
        <v>37</v>
      </c>
      <c r="D56" s="488">
        <f>D58+D61</f>
        <v>176</v>
      </c>
      <c r="E56" s="489">
        <v>25</v>
      </c>
      <c r="F56" s="489"/>
      <c r="G56" s="490">
        <f>D56*E56</f>
        <v>4400</v>
      </c>
      <c r="H56" s="489"/>
      <c r="I56" s="488"/>
      <c r="J56" s="489">
        <v>30</v>
      </c>
      <c r="K56" s="489"/>
      <c r="L56" s="490">
        <f>I56*J56</f>
        <v>0</v>
      </c>
      <c r="M56" s="489"/>
      <c r="N56" s="488"/>
      <c r="O56" s="489">
        <v>25</v>
      </c>
      <c r="P56" s="489"/>
      <c r="Q56" s="490">
        <f>N56*O56</f>
        <v>0</v>
      </c>
      <c r="R56" s="489"/>
      <c r="S56" s="488"/>
      <c r="T56" s="489">
        <v>25</v>
      </c>
      <c r="U56" s="489"/>
      <c r="V56" s="490">
        <f>S56*T56</f>
        <v>0</v>
      </c>
      <c r="W56" s="489"/>
      <c r="X56" s="488">
        <f>X58+X61</f>
        <v>108</v>
      </c>
      <c r="Y56" s="489">
        <v>25</v>
      </c>
      <c r="Z56" s="489"/>
      <c r="AA56" s="490">
        <f>X56*Y56</f>
        <v>2700</v>
      </c>
      <c r="AB56" s="489"/>
      <c r="AC56" s="407"/>
    </row>
    <row r="57" spans="1:29" ht="14.4" customHeight="1">
      <c r="A57" s="481"/>
      <c r="B57" s="491" t="s">
        <v>113</v>
      </c>
      <c r="C57" s="491" t="s">
        <v>92</v>
      </c>
      <c r="D57" s="492">
        <f>CEILING(D56*0.2,1)</f>
        <v>36</v>
      </c>
      <c r="E57" s="492"/>
      <c r="F57" s="493">
        <v>20.02</v>
      </c>
      <c r="G57" s="493"/>
      <c r="H57" s="493">
        <f>F57*D57</f>
        <v>720.72</v>
      </c>
      <c r="I57" s="492"/>
      <c r="J57" s="492"/>
      <c r="K57" s="493">
        <v>20.02</v>
      </c>
      <c r="L57" s="493"/>
      <c r="M57" s="493">
        <f>K57*I57</f>
        <v>0</v>
      </c>
      <c r="N57" s="492"/>
      <c r="O57" s="492"/>
      <c r="P57" s="493">
        <v>20.02</v>
      </c>
      <c r="Q57" s="493"/>
      <c r="R57" s="493">
        <f>P57*N57</f>
        <v>0</v>
      </c>
      <c r="S57" s="492"/>
      <c r="T57" s="492"/>
      <c r="U57" s="493">
        <v>20.02</v>
      </c>
      <c r="V57" s="493"/>
      <c r="W57" s="493">
        <f>U57*S57</f>
        <v>0</v>
      </c>
      <c r="X57" s="492">
        <f>CEILING(X56*0.2,1)</f>
        <v>22</v>
      </c>
      <c r="Y57" s="492"/>
      <c r="Z57" s="493">
        <v>20.02</v>
      </c>
      <c r="AA57" s="493"/>
      <c r="AB57" s="493">
        <f>Z57*X57</f>
        <v>440.44</v>
      </c>
      <c r="AC57" s="407"/>
    </row>
    <row r="58" spans="1:29" ht="14.4" customHeight="1">
      <c r="A58" s="481"/>
      <c r="B58" s="486" t="s">
        <v>168</v>
      </c>
      <c r="C58" s="487" t="s">
        <v>37</v>
      </c>
      <c r="D58" s="488">
        <f>D43</f>
        <v>88</v>
      </c>
      <c r="E58" s="489">
        <v>160</v>
      </c>
      <c r="F58" s="489"/>
      <c r="G58" s="490">
        <f>D58*E58</f>
        <v>14080</v>
      </c>
      <c r="H58" s="489"/>
      <c r="I58" s="488"/>
      <c r="J58" s="489">
        <v>160</v>
      </c>
      <c r="K58" s="489"/>
      <c r="L58" s="490">
        <f>I58*J58</f>
        <v>0</v>
      </c>
      <c r="M58" s="489"/>
      <c r="N58" s="488"/>
      <c r="O58" s="489">
        <v>160</v>
      </c>
      <c r="P58" s="489"/>
      <c r="Q58" s="490">
        <f>N58*O58</f>
        <v>0</v>
      </c>
      <c r="R58" s="489"/>
      <c r="S58" s="488"/>
      <c r="T58" s="489">
        <v>160</v>
      </c>
      <c r="U58" s="489"/>
      <c r="V58" s="490">
        <f>S58*T58</f>
        <v>0</v>
      </c>
      <c r="W58" s="489"/>
      <c r="X58" s="488">
        <f>X43</f>
        <v>54</v>
      </c>
      <c r="Y58" s="489">
        <v>160</v>
      </c>
      <c r="Z58" s="489"/>
      <c r="AA58" s="490">
        <f>X58*Y58</f>
        <v>8640</v>
      </c>
      <c r="AB58" s="489"/>
      <c r="AC58" s="407"/>
    </row>
    <row r="59" spans="1:29" ht="14.4" customHeight="1">
      <c r="A59" s="481"/>
      <c r="B59" s="491" t="s">
        <v>169</v>
      </c>
      <c r="C59" s="491" t="s">
        <v>88</v>
      </c>
      <c r="D59" s="492">
        <v>50</v>
      </c>
      <c r="E59" s="492"/>
      <c r="F59" s="493">
        <v>7.82</v>
      </c>
      <c r="G59" s="493"/>
      <c r="H59" s="493">
        <f>F59*D59</f>
        <v>391</v>
      </c>
      <c r="I59" s="492"/>
      <c r="J59" s="492"/>
      <c r="K59" s="493">
        <v>7.82</v>
      </c>
      <c r="L59" s="493"/>
      <c r="M59" s="493">
        <f>K59*I59</f>
        <v>0</v>
      </c>
      <c r="N59" s="492"/>
      <c r="O59" s="492"/>
      <c r="P59" s="493">
        <v>7.82</v>
      </c>
      <c r="Q59" s="493"/>
      <c r="R59" s="493">
        <f>P59*N59</f>
        <v>0</v>
      </c>
      <c r="S59" s="492"/>
      <c r="T59" s="492"/>
      <c r="U59" s="493">
        <v>7.82</v>
      </c>
      <c r="V59" s="493"/>
      <c r="W59" s="493">
        <f>U59*S59</f>
        <v>0</v>
      </c>
      <c r="X59" s="492">
        <v>50</v>
      </c>
      <c r="Y59" s="492"/>
      <c r="Z59" s="493">
        <v>7.82</v>
      </c>
      <c r="AA59" s="493"/>
      <c r="AB59" s="493">
        <f>Z59*X59</f>
        <v>391</v>
      </c>
      <c r="AC59" s="407"/>
    </row>
    <row r="60" spans="1:29" ht="14.4" customHeight="1">
      <c r="A60" s="481"/>
      <c r="B60" s="491" t="s">
        <v>170</v>
      </c>
      <c r="C60" s="491" t="s">
        <v>27</v>
      </c>
      <c r="D60" s="492">
        <f>CEILING(D58*0.1,1)</f>
        <v>9</v>
      </c>
      <c r="E60" s="492"/>
      <c r="F60" s="493">
        <v>24.5</v>
      </c>
      <c r="G60" s="493"/>
      <c r="H60" s="493">
        <f>F60*D60</f>
        <v>220.5</v>
      </c>
      <c r="I60" s="492"/>
      <c r="J60" s="492"/>
      <c r="K60" s="493">
        <v>24.5</v>
      </c>
      <c r="L60" s="493"/>
      <c r="M60" s="493">
        <f>K60*I60</f>
        <v>0</v>
      </c>
      <c r="N60" s="492"/>
      <c r="O60" s="492"/>
      <c r="P60" s="493">
        <v>24.5</v>
      </c>
      <c r="Q60" s="493"/>
      <c r="R60" s="493">
        <f>P60*N60</f>
        <v>0</v>
      </c>
      <c r="S60" s="492"/>
      <c r="T60" s="492"/>
      <c r="U60" s="493">
        <v>24.5</v>
      </c>
      <c r="V60" s="493"/>
      <c r="W60" s="493">
        <f>U60*S60</f>
        <v>0</v>
      </c>
      <c r="X60" s="492">
        <f>CEILING(X58*0.1,1)</f>
        <v>6</v>
      </c>
      <c r="Y60" s="492"/>
      <c r="Z60" s="493">
        <v>24.5</v>
      </c>
      <c r="AA60" s="493"/>
      <c r="AB60" s="493">
        <f>Z60*X60</f>
        <v>147</v>
      </c>
      <c r="AC60" s="407"/>
    </row>
    <row r="61" spans="1:29" ht="14.4" customHeight="1">
      <c r="A61" s="481"/>
      <c r="B61" s="517" t="s">
        <v>171</v>
      </c>
      <c r="C61" s="517" t="s">
        <v>37</v>
      </c>
      <c r="D61" s="518">
        <f>D58</f>
        <v>88</v>
      </c>
      <c r="E61" s="519">
        <v>100</v>
      </c>
      <c r="F61" s="520"/>
      <c r="G61" s="490">
        <f>D61*E61</f>
        <v>8800</v>
      </c>
      <c r="H61" s="493"/>
      <c r="I61" s="518"/>
      <c r="J61" s="519">
        <v>100</v>
      </c>
      <c r="K61" s="520"/>
      <c r="L61" s="490">
        <f>I61*J61</f>
        <v>0</v>
      </c>
      <c r="M61" s="493"/>
      <c r="N61" s="518"/>
      <c r="O61" s="519">
        <v>100</v>
      </c>
      <c r="P61" s="520"/>
      <c r="Q61" s="490">
        <f>N61*O61</f>
        <v>0</v>
      </c>
      <c r="R61" s="493"/>
      <c r="S61" s="518"/>
      <c r="T61" s="519">
        <v>100</v>
      </c>
      <c r="U61" s="520"/>
      <c r="V61" s="490">
        <f>S61*T61</f>
        <v>0</v>
      </c>
      <c r="W61" s="493"/>
      <c r="X61" s="518">
        <f>X58</f>
        <v>54</v>
      </c>
      <c r="Y61" s="519">
        <v>100</v>
      </c>
      <c r="Z61" s="520"/>
      <c r="AA61" s="490">
        <f>X61*Y61</f>
        <v>5400</v>
      </c>
      <c r="AB61" s="493"/>
      <c r="AC61" s="407"/>
    </row>
    <row r="62" spans="1:29" ht="14.4" customHeight="1">
      <c r="A62" s="481"/>
      <c r="B62" s="491" t="s">
        <v>172</v>
      </c>
      <c r="C62" s="491" t="s">
        <v>88</v>
      </c>
      <c r="D62" s="492">
        <f>CEILING(D61*0.35,1)</f>
        <v>31</v>
      </c>
      <c r="E62" s="492"/>
      <c r="F62" s="493">
        <v>240</v>
      </c>
      <c r="G62" s="490"/>
      <c r="H62" s="493">
        <f>F62*D62</f>
        <v>7440</v>
      </c>
      <c r="I62" s="492"/>
      <c r="J62" s="492"/>
      <c r="K62" s="493">
        <v>240</v>
      </c>
      <c r="L62" s="490"/>
      <c r="M62" s="493">
        <f>K62*I62</f>
        <v>0</v>
      </c>
      <c r="N62" s="492"/>
      <c r="O62" s="492"/>
      <c r="P62" s="493">
        <v>240</v>
      </c>
      <c r="Q62" s="490"/>
      <c r="R62" s="493">
        <f>P62*N62</f>
        <v>0</v>
      </c>
      <c r="S62" s="492"/>
      <c r="T62" s="492"/>
      <c r="U62" s="493">
        <v>240</v>
      </c>
      <c r="V62" s="490"/>
      <c r="W62" s="493">
        <f>U62*S62</f>
        <v>0</v>
      </c>
      <c r="X62" s="492">
        <f>CEILING(X61*0.35,1)</f>
        <v>19</v>
      </c>
      <c r="Y62" s="492"/>
      <c r="Z62" s="493">
        <v>240</v>
      </c>
      <c r="AA62" s="490"/>
      <c r="AB62" s="493">
        <f>Z62*X62</f>
        <v>4560</v>
      </c>
      <c r="AC62" s="407"/>
    </row>
    <row r="63" spans="1:29" ht="14.4" customHeight="1">
      <c r="A63" s="481"/>
      <c r="B63" s="491" t="s">
        <v>173</v>
      </c>
      <c r="C63" s="491" t="s">
        <v>174</v>
      </c>
      <c r="D63" s="492">
        <f>CEILING(D61*0.1,1)</f>
        <v>9</v>
      </c>
      <c r="E63" s="492"/>
      <c r="F63" s="493">
        <v>32</v>
      </c>
      <c r="G63" s="490"/>
      <c r="H63" s="493">
        <f>F63*D63</f>
        <v>288</v>
      </c>
      <c r="I63" s="492"/>
      <c r="J63" s="492"/>
      <c r="K63" s="493">
        <v>32</v>
      </c>
      <c r="L63" s="490"/>
      <c r="M63" s="493">
        <f>K63*I63</f>
        <v>0</v>
      </c>
      <c r="N63" s="492"/>
      <c r="O63" s="492"/>
      <c r="P63" s="493">
        <v>32</v>
      </c>
      <c r="Q63" s="490"/>
      <c r="R63" s="493">
        <f>P63*N63</f>
        <v>0</v>
      </c>
      <c r="S63" s="492"/>
      <c r="T63" s="492"/>
      <c r="U63" s="493">
        <v>32</v>
      </c>
      <c r="V63" s="490"/>
      <c r="W63" s="493">
        <f>U63*S63</f>
        <v>0</v>
      </c>
      <c r="X63" s="492">
        <f>CEILING(X61*0.1,1)</f>
        <v>6</v>
      </c>
      <c r="Y63" s="492"/>
      <c r="Z63" s="493">
        <v>32</v>
      </c>
      <c r="AA63" s="490"/>
      <c r="AB63" s="493">
        <f>Z63*X63</f>
        <v>192</v>
      </c>
      <c r="AC63" s="407"/>
    </row>
    <row r="64" spans="1:29" ht="14.4" customHeight="1">
      <c r="A64" s="481"/>
      <c r="B64" s="502"/>
      <c r="C64" s="502"/>
      <c r="D64" s="503"/>
      <c r="E64" s="504"/>
      <c r="F64" s="504"/>
      <c r="G64" s="504"/>
      <c r="H64" s="504"/>
      <c r="I64" s="503"/>
      <c r="J64" s="504"/>
      <c r="K64" s="504"/>
      <c r="L64" s="504"/>
      <c r="M64" s="504"/>
      <c r="N64" s="503"/>
      <c r="O64" s="504"/>
      <c r="P64" s="504"/>
      <c r="Q64" s="504"/>
      <c r="R64" s="504"/>
      <c r="S64" s="503"/>
      <c r="T64" s="504"/>
      <c r="U64" s="504"/>
      <c r="V64" s="504"/>
      <c r="W64" s="504"/>
      <c r="X64" s="503"/>
      <c r="Y64" s="504"/>
      <c r="Z64" s="504"/>
      <c r="AA64" s="504"/>
      <c r="AB64" s="504"/>
      <c r="AC64" s="407"/>
    </row>
    <row r="65" spans="1:29" ht="14.4" customHeight="1">
      <c r="A65" s="481"/>
      <c r="B65" s="502"/>
      <c r="C65" s="502"/>
      <c r="D65" s="503"/>
      <c r="E65" s="504"/>
      <c r="F65" s="504"/>
      <c r="G65" s="504"/>
      <c r="H65" s="504"/>
      <c r="I65" s="503"/>
      <c r="J65" s="504"/>
      <c r="K65" s="504"/>
      <c r="L65" s="504"/>
      <c r="M65" s="504"/>
      <c r="N65" s="503"/>
      <c r="O65" s="504"/>
      <c r="P65" s="504"/>
      <c r="Q65" s="504"/>
      <c r="R65" s="504"/>
      <c r="S65" s="503"/>
      <c r="T65" s="504"/>
      <c r="U65" s="504"/>
      <c r="V65" s="504"/>
      <c r="W65" s="504"/>
      <c r="X65" s="503"/>
      <c r="Y65" s="504"/>
      <c r="Z65" s="504"/>
      <c r="AA65" s="504"/>
      <c r="AB65" s="504"/>
      <c r="AC65" s="407"/>
    </row>
    <row r="66" spans="1:29" ht="15.75" customHeight="1">
      <c r="A66" s="481"/>
      <c r="B66" s="482" t="s">
        <v>94</v>
      </c>
      <c r="C66" s="483"/>
      <c r="D66" s="484"/>
      <c r="E66" s="484"/>
      <c r="F66" s="484"/>
      <c r="G66" s="484"/>
      <c r="H66" s="484"/>
      <c r="I66" s="484"/>
      <c r="J66" s="484"/>
      <c r="K66" s="484"/>
      <c r="L66" s="484"/>
      <c r="M66" s="484"/>
      <c r="N66" s="484"/>
      <c r="O66" s="484"/>
      <c r="P66" s="484"/>
      <c r="Q66" s="484"/>
      <c r="R66" s="484"/>
      <c r="S66" s="484"/>
      <c r="T66" s="484"/>
      <c r="U66" s="484"/>
      <c r="V66" s="484"/>
      <c r="W66" s="484"/>
      <c r="X66" s="484"/>
      <c r="Y66" s="484"/>
      <c r="Z66" s="484"/>
      <c r="AA66" s="484"/>
      <c r="AB66" s="484"/>
      <c r="AC66" s="407"/>
    </row>
    <row r="67" spans="1:29" ht="39.6" customHeight="1">
      <c r="A67" s="481"/>
      <c r="B67" s="521" t="s">
        <v>175</v>
      </c>
      <c r="C67" s="522" t="s">
        <v>27</v>
      </c>
      <c r="D67" s="523">
        <v>18</v>
      </c>
      <c r="E67" s="524">
        <f t="shared" ref="E67:O67" si="13">320*1.2</f>
        <v>384</v>
      </c>
      <c r="F67" s="524"/>
      <c r="G67" s="524">
        <f>D67*E67</f>
        <v>6912</v>
      </c>
      <c r="H67" s="525"/>
      <c r="I67" s="523">
        <v>13.5</v>
      </c>
      <c r="J67" s="524">
        <f t="shared" si="13"/>
        <v>384</v>
      </c>
      <c r="K67" s="524"/>
      <c r="L67" s="524">
        <f>I67*J67</f>
        <v>5184</v>
      </c>
      <c r="M67" s="525"/>
      <c r="N67" s="460"/>
      <c r="O67" s="524">
        <f t="shared" si="13"/>
        <v>384</v>
      </c>
      <c r="P67" s="524"/>
      <c r="Q67" s="524">
        <f>N67*O67</f>
        <v>0</v>
      </c>
      <c r="R67" s="525"/>
      <c r="S67" s="523">
        <v>8.4</v>
      </c>
      <c r="T67" s="524">
        <f t="shared" ref="T67" si="14">320*1.2</f>
        <v>384</v>
      </c>
      <c r="U67" s="524"/>
      <c r="V67" s="524">
        <f>S67*T67</f>
        <v>3225.6000000000004</v>
      </c>
      <c r="W67" s="525"/>
      <c r="X67" s="523"/>
      <c r="Y67" s="524">
        <f t="shared" ref="Y67" si="15">320*1.2</f>
        <v>384</v>
      </c>
      <c r="Z67" s="524"/>
      <c r="AA67" s="524">
        <f>X67*Y67</f>
        <v>0</v>
      </c>
      <c r="AB67" s="525"/>
      <c r="AC67" s="407"/>
    </row>
    <row r="68" spans="1:29" ht="26.4" customHeight="1">
      <c r="A68" s="481"/>
      <c r="B68" s="526" t="s">
        <v>43</v>
      </c>
      <c r="C68" s="526" t="s">
        <v>37</v>
      </c>
      <c r="D68" s="527">
        <f>D67*0.5*2</f>
        <v>18</v>
      </c>
      <c r="E68" s="528"/>
      <c r="F68" s="528">
        <v>49</v>
      </c>
      <c r="G68" s="529"/>
      <c r="H68" s="525">
        <f t="shared" ref="H68:H75" si="16">F68*D68</f>
        <v>882</v>
      </c>
      <c r="I68" s="527">
        <f>I67*0.5*2</f>
        <v>13.5</v>
      </c>
      <c r="J68" s="528"/>
      <c r="K68" s="528">
        <v>49</v>
      </c>
      <c r="L68" s="529"/>
      <c r="M68" s="525">
        <f t="shared" ref="M68:M75" si="17">K68*I68</f>
        <v>661.5</v>
      </c>
      <c r="N68" s="530"/>
      <c r="O68" s="528"/>
      <c r="P68" s="528">
        <v>49</v>
      </c>
      <c r="Q68" s="529"/>
      <c r="R68" s="525">
        <f t="shared" ref="R68:R75" si="18">P68*N68</f>
        <v>0</v>
      </c>
      <c r="S68" s="527">
        <f>S67*0.5*2</f>
        <v>8.4</v>
      </c>
      <c r="T68" s="528"/>
      <c r="U68" s="528">
        <v>49</v>
      </c>
      <c r="V68" s="529"/>
      <c r="W68" s="525">
        <f t="shared" ref="W68:W75" si="19">U68*S68</f>
        <v>411.6</v>
      </c>
      <c r="X68" s="527"/>
      <c r="Y68" s="528"/>
      <c r="Z68" s="528">
        <v>49</v>
      </c>
      <c r="AA68" s="529"/>
      <c r="AB68" s="525">
        <f t="shared" ref="AB68:AB75" si="20">Z68*X68</f>
        <v>0</v>
      </c>
      <c r="AC68" s="407"/>
    </row>
    <row r="69" spans="1:29" ht="14.4" customHeight="1">
      <c r="A69" s="481"/>
      <c r="B69" s="526" t="s">
        <v>176</v>
      </c>
      <c r="C69" s="526" t="s">
        <v>46</v>
      </c>
      <c r="D69" s="527">
        <f>D67*0.5</f>
        <v>9</v>
      </c>
      <c r="E69" s="528"/>
      <c r="F69" s="528">
        <v>56.51</v>
      </c>
      <c r="G69" s="529"/>
      <c r="H69" s="525">
        <f t="shared" si="16"/>
        <v>508.59</v>
      </c>
      <c r="I69" s="527">
        <f>I67*0.5</f>
        <v>6.75</v>
      </c>
      <c r="J69" s="528"/>
      <c r="K69" s="528">
        <v>56.51</v>
      </c>
      <c r="L69" s="529"/>
      <c r="M69" s="525">
        <f t="shared" si="17"/>
        <v>381.4425</v>
      </c>
      <c r="N69" s="530"/>
      <c r="O69" s="528"/>
      <c r="P69" s="528">
        <v>56.51</v>
      </c>
      <c r="Q69" s="529"/>
      <c r="R69" s="525">
        <f t="shared" si="18"/>
        <v>0</v>
      </c>
      <c r="S69" s="527">
        <f>S67*0.5</f>
        <v>4.2</v>
      </c>
      <c r="T69" s="528"/>
      <c r="U69" s="528">
        <v>56.51</v>
      </c>
      <c r="V69" s="529"/>
      <c r="W69" s="525">
        <f t="shared" si="19"/>
        <v>237.34200000000001</v>
      </c>
      <c r="X69" s="527"/>
      <c r="Y69" s="528"/>
      <c r="Z69" s="528">
        <v>56.51</v>
      </c>
      <c r="AA69" s="529"/>
      <c r="AB69" s="525">
        <f t="shared" si="20"/>
        <v>0</v>
      </c>
      <c r="AC69" s="407"/>
    </row>
    <row r="70" spans="1:29" ht="14.4" customHeight="1">
      <c r="A70" s="481"/>
      <c r="B70" s="526" t="s">
        <v>177</v>
      </c>
      <c r="C70" s="526" t="s">
        <v>46</v>
      </c>
      <c r="D70" s="527">
        <f>D67*6</f>
        <v>108</v>
      </c>
      <c r="E70" s="528"/>
      <c r="F70" s="528">
        <v>63.16</v>
      </c>
      <c r="G70" s="529"/>
      <c r="H70" s="525">
        <f t="shared" si="16"/>
        <v>6821.28</v>
      </c>
      <c r="I70" s="527">
        <f>I67*6</f>
        <v>81</v>
      </c>
      <c r="J70" s="528"/>
      <c r="K70" s="528">
        <v>63.16</v>
      </c>
      <c r="L70" s="529"/>
      <c r="M70" s="525">
        <f t="shared" si="17"/>
        <v>5115.96</v>
      </c>
      <c r="N70" s="530"/>
      <c r="O70" s="528"/>
      <c r="P70" s="528">
        <v>63.16</v>
      </c>
      <c r="Q70" s="529"/>
      <c r="R70" s="525">
        <f t="shared" si="18"/>
        <v>0</v>
      </c>
      <c r="S70" s="527">
        <f>S67*6</f>
        <v>50.400000000000006</v>
      </c>
      <c r="T70" s="528"/>
      <c r="U70" s="528">
        <v>63.16</v>
      </c>
      <c r="V70" s="529"/>
      <c r="W70" s="525">
        <f t="shared" si="19"/>
        <v>3183.2640000000001</v>
      </c>
      <c r="X70" s="527"/>
      <c r="Y70" s="528"/>
      <c r="Z70" s="528">
        <v>63.16</v>
      </c>
      <c r="AA70" s="529"/>
      <c r="AB70" s="525">
        <f t="shared" si="20"/>
        <v>0</v>
      </c>
      <c r="AC70" s="407"/>
    </row>
    <row r="71" spans="1:29" ht="14.4" customHeight="1">
      <c r="A71" s="481"/>
      <c r="B71" s="526" t="s">
        <v>97</v>
      </c>
      <c r="C71" s="526" t="s">
        <v>46</v>
      </c>
      <c r="D71" s="527">
        <v>30</v>
      </c>
      <c r="E71" s="528"/>
      <c r="F71" s="528">
        <v>4.2</v>
      </c>
      <c r="G71" s="529"/>
      <c r="H71" s="525">
        <f t="shared" si="16"/>
        <v>126</v>
      </c>
      <c r="I71" s="527">
        <v>30</v>
      </c>
      <c r="J71" s="528"/>
      <c r="K71" s="528">
        <v>4.2</v>
      </c>
      <c r="L71" s="529"/>
      <c r="M71" s="525">
        <f t="shared" si="17"/>
        <v>126</v>
      </c>
      <c r="N71" s="530"/>
      <c r="O71" s="528"/>
      <c r="P71" s="528">
        <v>4.2</v>
      </c>
      <c r="Q71" s="529"/>
      <c r="R71" s="525">
        <f t="shared" si="18"/>
        <v>0</v>
      </c>
      <c r="S71" s="527">
        <v>30</v>
      </c>
      <c r="T71" s="528"/>
      <c r="U71" s="528">
        <v>4.2</v>
      </c>
      <c r="V71" s="529"/>
      <c r="W71" s="525">
        <f t="shared" si="19"/>
        <v>126</v>
      </c>
      <c r="X71" s="527"/>
      <c r="Y71" s="528"/>
      <c r="Z71" s="528">
        <v>4.2</v>
      </c>
      <c r="AA71" s="529"/>
      <c r="AB71" s="525">
        <f t="shared" si="20"/>
        <v>0</v>
      </c>
      <c r="AC71" s="407"/>
    </row>
    <row r="72" spans="1:29" ht="14.4" customHeight="1">
      <c r="A72" s="481"/>
      <c r="B72" s="526" t="s">
        <v>49</v>
      </c>
      <c r="C72" s="526" t="s">
        <v>21</v>
      </c>
      <c r="D72" s="527">
        <v>60</v>
      </c>
      <c r="E72" s="528"/>
      <c r="F72" s="528">
        <v>0.84</v>
      </c>
      <c r="G72" s="529"/>
      <c r="H72" s="525">
        <f t="shared" si="16"/>
        <v>50.4</v>
      </c>
      <c r="I72" s="527">
        <v>60</v>
      </c>
      <c r="J72" s="528"/>
      <c r="K72" s="528">
        <v>0.84</v>
      </c>
      <c r="L72" s="529"/>
      <c r="M72" s="525">
        <f t="shared" si="17"/>
        <v>50.4</v>
      </c>
      <c r="N72" s="530"/>
      <c r="O72" s="528"/>
      <c r="P72" s="528">
        <v>0.84</v>
      </c>
      <c r="Q72" s="529"/>
      <c r="R72" s="525">
        <f t="shared" si="18"/>
        <v>0</v>
      </c>
      <c r="S72" s="527">
        <v>60</v>
      </c>
      <c r="T72" s="528"/>
      <c r="U72" s="528">
        <v>0.84</v>
      </c>
      <c r="V72" s="529"/>
      <c r="W72" s="525">
        <f t="shared" si="19"/>
        <v>50.4</v>
      </c>
      <c r="X72" s="527"/>
      <c r="Y72" s="528"/>
      <c r="Z72" s="528">
        <v>0.84</v>
      </c>
      <c r="AA72" s="529"/>
      <c r="AB72" s="525">
        <f t="shared" si="20"/>
        <v>0</v>
      </c>
      <c r="AC72" s="407"/>
    </row>
    <row r="73" spans="1:29" ht="14.4" customHeight="1">
      <c r="A73" s="481"/>
      <c r="B73" s="526" t="s">
        <v>98</v>
      </c>
      <c r="C73" s="526" t="s">
        <v>21</v>
      </c>
      <c r="D73" s="527">
        <f>D67*17*0.4</f>
        <v>122.4</v>
      </c>
      <c r="E73" s="528"/>
      <c r="F73" s="528">
        <v>0.33</v>
      </c>
      <c r="G73" s="529"/>
      <c r="H73" s="525">
        <f t="shared" si="16"/>
        <v>40.392000000000003</v>
      </c>
      <c r="I73" s="527">
        <f>I67*17*0.4</f>
        <v>91.800000000000011</v>
      </c>
      <c r="J73" s="528"/>
      <c r="K73" s="528">
        <v>0.33</v>
      </c>
      <c r="L73" s="529"/>
      <c r="M73" s="525">
        <f t="shared" si="17"/>
        <v>30.294000000000004</v>
      </c>
      <c r="N73" s="530"/>
      <c r="O73" s="528"/>
      <c r="P73" s="528">
        <v>0.33</v>
      </c>
      <c r="Q73" s="529"/>
      <c r="R73" s="525">
        <f t="shared" si="18"/>
        <v>0</v>
      </c>
      <c r="S73" s="527">
        <f>S67*17*0.4</f>
        <v>57.120000000000005</v>
      </c>
      <c r="T73" s="528"/>
      <c r="U73" s="528">
        <v>0.33</v>
      </c>
      <c r="V73" s="529"/>
      <c r="W73" s="525">
        <f t="shared" si="19"/>
        <v>18.849600000000002</v>
      </c>
      <c r="X73" s="527"/>
      <c r="Y73" s="528"/>
      <c r="Z73" s="528">
        <v>0.33</v>
      </c>
      <c r="AA73" s="529"/>
      <c r="AB73" s="525">
        <f t="shared" si="20"/>
        <v>0</v>
      </c>
      <c r="AC73" s="407"/>
    </row>
    <row r="74" spans="1:29" ht="14.4" customHeight="1">
      <c r="A74" s="481"/>
      <c r="B74" s="526" t="s">
        <v>51</v>
      </c>
      <c r="C74" s="526" t="s">
        <v>21</v>
      </c>
      <c r="D74" s="527">
        <f>D67*20*0.5</f>
        <v>180</v>
      </c>
      <c r="E74" s="528"/>
      <c r="F74" s="528">
        <v>0.23</v>
      </c>
      <c r="G74" s="529"/>
      <c r="H74" s="525">
        <f t="shared" si="16"/>
        <v>41.4</v>
      </c>
      <c r="I74" s="527">
        <f>I67*20*0.5</f>
        <v>135</v>
      </c>
      <c r="J74" s="528"/>
      <c r="K74" s="528">
        <v>0.23</v>
      </c>
      <c r="L74" s="529"/>
      <c r="M74" s="525">
        <f t="shared" si="17"/>
        <v>31.05</v>
      </c>
      <c r="N74" s="530"/>
      <c r="O74" s="528"/>
      <c r="P74" s="528">
        <v>0.23</v>
      </c>
      <c r="Q74" s="529"/>
      <c r="R74" s="525">
        <f t="shared" si="18"/>
        <v>0</v>
      </c>
      <c r="S74" s="527">
        <f>S67*20*0.5</f>
        <v>84</v>
      </c>
      <c r="T74" s="528"/>
      <c r="U74" s="528">
        <v>0.23</v>
      </c>
      <c r="V74" s="529"/>
      <c r="W74" s="525">
        <f t="shared" si="19"/>
        <v>19.32</v>
      </c>
      <c r="X74" s="527"/>
      <c r="Y74" s="528"/>
      <c r="Z74" s="528">
        <v>0.23</v>
      </c>
      <c r="AA74" s="529"/>
      <c r="AB74" s="525">
        <f t="shared" si="20"/>
        <v>0</v>
      </c>
      <c r="AC74" s="407"/>
    </row>
    <row r="75" spans="1:29" ht="14.4" customHeight="1">
      <c r="A75" s="481"/>
      <c r="B75" s="526" t="s">
        <v>99</v>
      </c>
      <c r="C75" s="526" t="s">
        <v>21</v>
      </c>
      <c r="D75" s="527">
        <f>D67*20*0.5</f>
        <v>180</v>
      </c>
      <c r="E75" s="528"/>
      <c r="F75" s="528">
        <v>0.23</v>
      </c>
      <c r="G75" s="529"/>
      <c r="H75" s="525">
        <f t="shared" si="16"/>
        <v>41.4</v>
      </c>
      <c r="I75" s="527">
        <f>I67*20*0.5</f>
        <v>135</v>
      </c>
      <c r="J75" s="528"/>
      <c r="K75" s="528">
        <v>0.23</v>
      </c>
      <c r="L75" s="529"/>
      <c r="M75" s="525">
        <f t="shared" si="17"/>
        <v>31.05</v>
      </c>
      <c r="N75" s="530"/>
      <c r="O75" s="528"/>
      <c r="P75" s="528">
        <v>0.23</v>
      </c>
      <c r="Q75" s="529"/>
      <c r="R75" s="525">
        <f t="shared" si="18"/>
        <v>0</v>
      </c>
      <c r="S75" s="527">
        <f>S67*20*0.5</f>
        <v>84</v>
      </c>
      <c r="T75" s="528"/>
      <c r="U75" s="528">
        <v>0.23</v>
      </c>
      <c r="V75" s="529"/>
      <c r="W75" s="525">
        <f t="shared" si="19"/>
        <v>19.32</v>
      </c>
      <c r="X75" s="527"/>
      <c r="Y75" s="528"/>
      <c r="Z75" s="528">
        <v>0.23</v>
      </c>
      <c r="AA75" s="529"/>
      <c r="AB75" s="525">
        <f t="shared" si="20"/>
        <v>0</v>
      </c>
      <c r="AC75" s="407"/>
    </row>
    <row r="76" spans="1:29" ht="26.4" customHeight="1">
      <c r="A76" s="481"/>
      <c r="B76" s="521" t="s">
        <v>178</v>
      </c>
      <c r="C76" s="522" t="s">
        <v>27</v>
      </c>
      <c r="D76" s="523">
        <v>40</v>
      </c>
      <c r="E76" s="524">
        <v>230</v>
      </c>
      <c r="F76" s="524"/>
      <c r="G76" s="524">
        <f>D76*E76</f>
        <v>9200</v>
      </c>
      <c r="H76" s="525"/>
      <c r="I76" s="460"/>
      <c r="J76" s="524">
        <v>230</v>
      </c>
      <c r="K76" s="524"/>
      <c r="L76" s="524">
        <f>I76*J76</f>
        <v>0</v>
      </c>
      <c r="M76" s="525"/>
      <c r="N76" s="460"/>
      <c r="O76" s="524">
        <v>230</v>
      </c>
      <c r="P76" s="524"/>
      <c r="Q76" s="524">
        <f>N76*O76</f>
        <v>0</v>
      </c>
      <c r="R76" s="525"/>
      <c r="S76" s="523"/>
      <c r="T76" s="524">
        <v>230</v>
      </c>
      <c r="U76" s="524"/>
      <c r="V76" s="524">
        <f>S76*T76</f>
        <v>0</v>
      </c>
      <c r="W76" s="525"/>
      <c r="X76" s="523"/>
      <c r="Y76" s="524">
        <v>230</v>
      </c>
      <c r="Z76" s="524"/>
      <c r="AA76" s="524">
        <f>X76*Y76</f>
        <v>0</v>
      </c>
      <c r="AB76" s="525"/>
      <c r="AC76" s="407"/>
    </row>
    <row r="77" spans="1:29" ht="14.4" customHeight="1">
      <c r="A77" s="481"/>
      <c r="B77" s="526" t="s">
        <v>179</v>
      </c>
      <c r="C77" s="526" t="s">
        <v>88</v>
      </c>
      <c r="D77" s="527">
        <f>D76*5</f>
        <v>200</v>
      </c>
      <c r="E77" s="528"/>
      <c r="F77" s="528">
        <v>5.5</v>
      </c>
      <c r="G77" s="529"/>
      <c r="H77" s="525">
        <f>F77*D77</f>
        <v>1100</v>
      </c>
      <c r="I77" s="530"/>
      <c r="J77" s="528"/>
      <c r="K77" s="528">
        <v>5.5</v>
      </c>
      <c r="L77" s="529"/>
      <c r="M77" s="525">
        <f>K77*I77</f>
        <v>0</v>
      </c>
      <c r="N77" s="530"/>
      <c r="O77" s="528"/>
      <c r="P77" s="528">
        <v>5.5</v>
      </c>
      <c r="Q77" s="529"/>
      <c r="R77" s="525">
        <f>P77*N77</f>
        <v>0</v>
      </c>
      <c r="S77" s="527"/>
      <c r="T77" s="528"/>
      <c r="U77" s="528">
        <v>5.5</v>
      </c>
      <c r="V77" s="529"/>
      <c r="W77" s="525">
        <f>U77*S77</f>
        <v>0</v>
      </c>
      <c r="X77" s="527"/>
      <c r="Y77" s="528"/>
      <c r="Z77" s="528">
        <v>5.5</v>
      </c>
      <c r="AA77" s="529"/>
      <c r="AB77" s="525">
        <f>Z77*X77</f>
        <v>0</v>
      </c>
      <c r="AC77" s="407"/>
    </row>
    <row r="78" spans="1:29" ht="14.4" customHeight="1">
      <c r="A78" s="531"/>
      <c r="B78" s="521" t="s">
        <v>101</v>
      </c>
      <c r="C78" s="522" t="s">
        <v>37</v>
      </c>
      <c r="D78" s="532">
        <v>190</v>
      </c>
      <c r="E78" s="524">
        <v>200</v>
      </c>
      <c r="F78" s="524"/>
      <c r="G78" s="524">
        <f>D78*E78</f>
        <v>38000</v>
      </c>
      <c r="H78" s="525"/>
      <c r="I78" s="533">
        <v>122.62</v>
      </c>
      <c r="J78" s="524">
        <v>230</v>
      </c>
      <c r="K78" s="524"/>
      <c r="L78" s="524">
        <f>I78*J78</f>
        <v>28202.600000000002</v>
      </c>
      <c r="M78" s="525"/>
      <c r="N78" s="532"/>
      <c r="O78" s="524">
        <v>200</v>
      </c>
      <c r="P78" s="524"/>
      <c r="Q78" s="524">
        <f>N78*O78</f>
        <v>0</v>
      </c>
      <c r="R78" s="525"/>
      <c r="S78" s="532">
        <v>16.399999999999999</v>
      </c>
      <c r="T78" s="524">
        <v>200</v>
      </c>
      <c r="U78" s="524"/>
      <c r="V78" s="524">
        <f>S78*T78</f>
        <v>3279.9999999999995</v>
      </c>
      <c r="W78" s="525"/>
      <c r="X78" s="532"/>
      <c r="Y78" s="524">
        <v>200</v>
      </c>
      <c r="Z78" s="524"/>
      <c r="AA78" s="524">
        <f>X78*Y78</f>
        <v>0</v>
      </c>
      <c r="AB78" s="525"/>
      <c r="AC78" s="407"/>
    </row>
    <row r="79" spans="1:29" ht="14.4" customHeight="1">
      <c r="A79" s="531"/>
      <c r="B79" s="526" t="s">
        <v>102</v>
      </c>
      <c r="C79" s="526" t="s">
        <v>37</v>
      </c>
      <c r="D79" s="528">
        <f>D78*1.1</f>
        <v>209.00000000000003</v>
      </c>
      <c r="E79" s="528"/>
      <c r="F79" s="528">
        <v>44.01</v>
      </c>
      <c r="G79" s="529"/>
      <c r="H79" s="525">
        <f>F79*D79</f>
        <v>9198.09</v>
      </c>
      <c r="I79" s="528">
        <f>I78*1.1</f>
        <v>134.88200000000001</v>
      </c>
      <c r="J79" s="528"/>
      <c r="K79" s="528">
        <v>44.01</v>
      </c>
      <c r="L79" s="529"/>
      <c r="M79" s="525">
        <f>K79*I79</f>
        <v>5936.1568200000002</v>
      </c>
      <c r="N79" s="528"/>
      <c r="O79" s="528"/>
      <c r="P79" s="528">
        <v>44.01</v>
      </c>
      <c r="Q79" s="529"/>
      <c r="R79" s="525">
        <f>P79*N79</f>
        <v>0</v>
      </c>
      <c r="S79" s="528">
        <f>S78*1.1</f>
        <v>18.04</v>
      </c>
      <c r="T79" s="528"/>
      <c r="U79" s="528">
        <v>44.01</v>
      </c>
      <c r="V79" s="529"/>
      <c r="W79" s="525">
        <f>U79*S79</f>
        <v>793.94039999999995</v>
      </c>
      <c r="X79" s="528"/>
      <c r="Y79" s="528"/>
      <c r="Z79" s="528">
        <v>44.01</v>
      </c>
      <c r="AA79" s="529"/>
      <c r="AB79" s="525">
        <f>Z79*X79</f>
        <v>0</v>
      </c>
      <c r="AC79" s="407"/>
    </row>
    <row r="80" spans="1:29" ht="14.4" customHeight="1">
      <c r="A80" s="531"/>
      <c r="B80" s="526" t="s">
        <v>49</v>
      </c>
      <c r="C80" s="526" t="s">
        <v>21</v>
      </c>
      <c r="D80" s="528">
        <f>ROUND(D78*5,2)</f>
        <v>950</v>
      </c>
      <c r="E80" s="528"/>
      <c r="F80" s="528">
        <v>0.84</v>
      </c>
      <c r="G80" s="529"/>
      <c r="H80" s="525">
        <f>F80*D80</f>
        <v>798</v>
      </c>
      <c r="I80" s="528">
        <f>ROUND(I78*5,2)</f>
        <v>613.1</v>
      </c>
      <c r="J80" s="528"/>
      <c r="K80" s="528">
        <v>0.84</v>
      </c>
      <c r="L80" s="529"/>
      <c r="M80" s="525">
        <f>K80*I80</f>
        <v>515.00400000000002</v>
      </c>
      <c r="N80" s="528"/>
      <c r="O80" s="528"/>
      <c r="P80" s="528">
        <v>0.84</v>
      </c>
      <c r="Q80" s="529"/>
      <c r="R80" s="525">
        <f>P80*N80</f>
        <v>0</v>
      </c>
      <c r="S80" s="528">
        <f>ROUND(S78*5,2)</f>
        <v>82</v>
      </c>
      <c r="T80" s="528"/>
      <c r="U80" s="528">
        <v>0.84</v>
      </c>
      <c r="V80" s="529"/>
      <c r="W80" s="525">
        <f>U80*S80</f>
        <v>68.88</v>
      </c>
      <c r="X80" s="528"/>
      <c r="Y80" s="528"/>
      <c r="Z80" s="528">
        <v>0.84</v>
      </c>
      <c r="AA80" s="529"/>
      <c r="AB80" s="525">
        <f>Z80*X80</f>
        <v>0</v>
      </c>
      <c r="AC80" s="407"/>
    </row>
    <row r="81" spans="1:29" ht="14.4" customHeight="1">
      <c r="A81" s="531"/>
      <c r="B81" s="526" t="s">
        <v>180</v>
      </c>
      <c r="C81" s="526" t="s">
        <v>88</v>
      </c>
      <c r="D81" s="528">
        <f>D78*5</f>
        <v>950</v>
      </c>
      <c r="E81" s="528"/>
      <c r="F81" s="528">
        <v>5.94</v>
      </c>
      <c r="G81" s="529"/>
      <c r="H81" s="525">
        <f>F81*D81</f>
        <v>5643</v>
      </c>
      <c r="I81" s="528">
        <f>I78*1.1</f>
        <v>134.88200000000001</v>
      </c>
      <c r="J81" s="528"/>
      <c r="K81" s="528">
        <v>5.94</v>
      </c>
      <c r="L81" s="529"/>
      <c r="M81" s="525">
        <f>K81*I81</f>
        <v>801.19908000000009</v>
      </c>
      <c r="N81" s="528"/>
      <c r="O81" s="528"/>
      <c r="P81" s="528">
        <v>5.94</v>
      </c>
      <c r="Q81" s="529"/>
      <c r="R81" s="525">
        <f>P81*N81</f>
        <v>0</v>
      </c>
      <c r="S81" s="528">
        <f>S78*5</f>
        <v>82</v>
      </c>
      <c r="T81" s="528"/>
      <c r="U81" s="528">
        <v>5.94</v>
      </c>
      <c r="V81" s="529"/>
      <c r="W81" s="525">
        <f>U81*S81</f>
        <v>487.08000000000004</v>
      </c>
      <c r="X81" s="528"/>
      <c r="Y81" s="528"/>
      <c r="Z81" s="528">
        <v>5.94</v>
      </c>
      <c r="AA81" s="529"/>
      <c r="AB81" s="525">
        <f>Z81*X81</f>
        <v>0</v>
      </c>
      <c r="AC81" s="407"/>
    </row>
    <row r="82" spans="1:29" ht="14.4" customHeight="1">
      <c r="A82" s="481"/>
      <c r="B82" s="521" t="s">
        <v>109</v>
      </c>
      <c r="C82" s="522" t="s">
        <v>37</v>
      </c>
      <c r="D82" s="532">
        <v>190</v>
      </c>
      <c r="E82" s="524">
        <v>30</v>
      </c>
      <c r="F82" s="524"/>
      <c r="G82" s="524">
        <f>D82*E82</f>
        <v>5700</v>
      </c>
      <c r="H82" s="525"/>
      <c r="I82" s="532"/>
      <c r="J82" s="524">
        <v>30</v>
      </c>
      <c r="K82" s="524"/>
      <c r="L82" s="524">
        <f>I82*J82</f>
        <v>0</v>
      </c>
      <c r="M82" s="525"/>
      <c r="N82" s="532"/>
      <c r="O82" s="524">
        <v>30</v>
      </c>
      <c r="P82" s="524"/>
      <c r="Q82" s="524">
        <f>N82*O82</f>
        <v>0</v>
      </c>
      <c r="R82" s="525"/>
      <c r="S82" s="532">
        <v>16.399999999999999</v>
      </c>
      <c r="T82" s="524">
        <v>30</v>
      </c>
      <c r="U82" s="524"/>
      <c r="V82" s="524">
        <f>S82*T82</f>
        <v>491.99999999999994</v>
      </c>
      <c r="W82" s="525"/>
      <c r="X82" s="532"/>
      <c r="Y82" s="524">
        <v>30</v>
      </c>
      <c r="Z82" s="524"/>
      <c r="AA82" s="524">
        <f>X82*Y82</f>
        <v>0</v>
      </c>
      <c r="AB82" s="525"/>
      <c r="AC82" s="407"/>
    </row>
    <row r="83" spans="1:29" ht="14.4" customHeight="1">
      <c r="A83" s="481"/>
      <c r="B83" s="526" t="s">
        <v>110</v>
      </c>
      <c r="C83" s="526" t="s">
        <v>46</v>
      </c>
      <c r="D83" s="528">
        <f>ROUNDUP(D82*1.1,1)</f>
        <v>209</v>
      </c>
      <c r="E83" s="528"/>
      <c r="F83" s="528">
        <v>1.5</v>
      </c>
      <c r="G83" s="529"/>
      <c r="H83" s="525">
        <f>F83*D83</f>
        <v>313.5</v>
      </c>
      <c r="I83" s="528"/>
      <c r="J83" s="528"/>
      <c r="K83" s="528">
        <v>1.5</v>
      </c>
      <c r="L83" s="529"/>
      <c r="M83" s="525">
        <f>K83*I83</f>
        <v>0</v>
      </c>
      <c r="N83" s="528"/>
      <c r="O83" s="528"/>
      <c r="P83" s="528">
        <v>1.5</v>
      </c>
      <c r="Q83" s="529"/>
      <c r="R83" s="525">
        <f>P83*N83</f>
        <v>0</v>
      </c>
      <c r="S83" s="528">
        <f>ROUNDUP(S82*1.1,1)</f>
        <v>18.100000000000001</v>
      </c>
      <c r="T83" s="528"/>
      <c r="U83" s="528">
        <v>1.5</v>
      </c>
      <c r="V83" s="529"/>
      <c r="W83" s="525">
        <f>U83*S83</f>
        <v>27.150000000000002</v>
      </c>
      <c r="X83" s="528"/>
      <c r="Y83" s="528"/>
      <c r="Z83" s="528">
        <v>1.5</v>
      </c>
      <c r="AA83" s="529"/>
      <c r="AB83" s="525">
        <f>Z83*X83</f>
        <v>0</v>
      </c>
      <c r="AC83" s="407"/>
    </row>
    <row r="84" spans="1:29" ht="14.4" customHeight="1">
      <c r="A84" s="481"/>
      <c r="B84" s="526" t="s">
        <v>111</v>
      </c>
      <c r="C84" s="526" t="s">
        <v>88</v>
      </c>
      <c r="D84" s="528">
        <f>ROUND(D82*1.1,2)</f>
        <v>209</v>
      </c>
      <c r="E84" s="528"/>
      <c r="F84" s="528">
        <v>6</v>
      </c>
      <c r="G84" s="529"/>
      <c r="H84" s="525">
        <f>F84*D84</f>
        <v>1254</v>
      </c>
      <c r="I84" s="528"/>
      <c r="J84" s="528"/>
      <c r="K84" s="528">
        <v>6</v>
      </c>
      <c r="L84" s="529"/>
      <c r="M84" s="525">
        <f>K84*I84</f>
        <v>0</v>
      </c>
      <c r="N84" s="528"/>
      <c r="O84" s="528"/>
      <c r="P84" s="528">
        <v>6</v>
      </c>
      <c r="Q84" s="529"/>
      <c r="R84" s="525">
        <f>P84*N84</f>
        <v>0</v>
      </c>
      <c r="S84" s="528">
        <f>ROUND(S82*1.1,2)</f>
        <v>18.04</v>
      </c>
      <c r="T84" s="528"/>
      <c r="U84" s="528">
        <v>6</v>
      </c>
      <c r="V84" s="529"/>
      <c r="W84" s="525">
        <f>U84*S84</f>
        <v>108.24</v>
      </c>
      <c r="X84" s="528"/>
      <c r="Y84" s="528"/>
      <c r="Z84" s="528">
        <v>6</v>
      </c>
      <c r="AA84" s="529"/>
      <c r="AB84" s="525">
        <f>Z84*X84</f>
        <v>0</v>
      </c>
      <c r="AC84" s="407"/>
    </row>
    <row r="85" spans="1:29" ht="14.4" customHeight="1">
      <c r="A85" s="481"/>
      <c r="B85" s="509" t="s">
        <v>181</v>
      </c>
      <c r="C85" s="510" t="s">
        <v>27</v>
      </c>
      <c r="D85" s="511">
        <f>D87+D90+D93</f>
        <v>174</v>
      </c>
      <c r="E85" s="512">
        <v>22</v>
      </c>
      <c r="F85" s="513"/>
      <c r="G85" s="512">
        <f>ROUND(D85*E85,2)</f>
        <v>3828</v>
      </c>
      <c r="H85" s="512"/>
      <c r="I85" s="511"/>
      <c r="J85" s="512">
        <v>22</v>
      </c>
      <c r="K85" s="513"/>
      <c r="L85" s="512">
        <f>ROUND(I85*J85,2)</f>
        <v>0</v>
      </c>
      <c r="M85" s="512"/>
      <c r="N85" s="511"/>
      <c r="O85" s="512">
        <v>22</v>
      </c>
      <c r="P85" s="513"/>
      <c r="Q85" s="512">
        <f>ROUND(N85*O85,2)</f>
        <v>0</v>
      </c>
      <c r="R85" s="512"/>
      <c r="S85" s="511">
        <f>S87+S90+S93</f>
        <v>25.200000000000003</v>
      </c>
      <c r="T85" s="512">
        <v>22</v>
      </c>
      <c r="U85" s="513"/>
      <c r="V85" s="512">
        <f>ROUND(S85*T85,2)</f>
        <v>554.4</v>
      </c>
      <c r="W85" s="512"/>
      <c r="X85" s="511"/>
      <c r="Y85" s="512">
        <v>22</v>
      </c>
      <c r="Z85" s="513"/>
      <c r="AA85" s="512">
        <f>ROUND(X85*Y85,2)</f>
        <v>0</v>
      </c>
      <c r="AB85" s="512"/>
      <c r="AC85" s="407"/>
    </row>
    <row r="86" spans="1:29" ht="14.4" customHeight="1">
      <c r="A86" s="481"/>
      <c r="B86" s="514" t="s">
        <v>113</v>
      </c>
      <c r="C86" s="514" t="s">
        <v>92</v>
      </c>
      <c r="D86" s="515">
        <f>D85*0.2</f>
        <v>34.800000000000004</v>
      </c>
      <c r="E86" s="513"/>
      <c r="F86" s="534">
        <v>20.02</v>
      </c>
      <c r="G86" s="513"/>
      <c r="H86" s="513">
        <f>ROUND(D86*F86,2)</f>
        <v>696.7</v>
      </c>
      <c r="I86" s="515"/>
      <c r="J86" s="513"/>
      <c r="K86" s="534">
        <v>20.02</v>
      </c>
      <c r="L86" s="513"/>
      <c r="M86" s="513">
        <f>ROUND(I86*K86,2)</f>
        <v>0</v>
      </c>
      <c r="N86" s="515"/>
      <c r="O86" s="513"/>
      <c r="P86" s="534">
        <v>20.02</v>
      </c>
      <c r="Q86" s="513"/>
      <c r="R86" s="513">
        <f>ROUND(N86*P86,2)</f>
        <v>0</v>
      </c>
      <c r="S86" s="515">
        <f>S85*0.2</f>
        <v>5.0400000000000009</v>
      </c>
      <c r="T86" s="513"/>
      <c r="U86" s="534">
        <v>20.02</v>
      </c>
      <c r="V86" s="513"/>
      <c r="W86" s="513">
        <f>ROUND(S86*U86,2)</f>
        <v>100.9</v>
      </c>
      <c r="X86" s="515"/>
      <c r="Y86" s="513"/>
      <c r="Z86" s="534">
        <v>20.02</v>
      </c>
      <c r="AA86" s="513"/>
      <c r="AB86" s="513">
        <f>ROUND(X86*Z86,2)</f>
        <v>0</v>
      </c>
      <c r="AC86" s="407"/>
    </row>
    <row r="87" spans="1:29" ht="14.4" customHeight="1">
      <c r="A87" s="481"/>
      <c r="B87" s="509" t="s">
        <v>182</v>
      </c>
      <c r="C87" s="510" t="s">
        <v>27</v>
      </c>
      <c r="D87" s="511">
        <v>58</v>
      </c>
      <c r="E87" s="512">
        <v>140</v>
      </c>
      <c r="F87" s="513"/>
      <c r="G87" s="512">
        <f>ROUND(D87*E87,2)</f>
        <v>8120</v>
      </c>
      <c r="H87" s="512"/>
      <c r="I87" s="511"/>
      <c r="J87" s="512">
        <v>140</v>
      </c>
      <c r="K87" s="513"/>
      <c r="L87" s="512">
        <f>ROUND(I87*J87,2)</f>
        <v>0</v>
      </c>
      <c r="M87" s="512"/>
      <c r="N87" s="511"/>
      <c r="O87" s="512">
        <v>140</v>
      </c>
      <c r="P87" s="513"/>
      <c r="Q87" s="512">
        <f>ROUND(N87*O87,2)</f>
        <v>0</v>
      </c>
      <c r="R87" s="512"/>
      <c r="S87" s="511">
        <v>8.4</v>
      </c>
      <c r="T87" s="512">
        <v>140</v>
      </c>
      <c r="U87" s="513"/>
      <c r="V87" s="512">
        <f>ROUND(S87*T87,2)</f>
        <v>1176</v>
      </c>
      <c r="W87" s="512"/>
      <c r="X87" s="511"/>
      <c r="Y87" s="512">
        <v>140</v>
      </c>
      <c r="Z87" s="513"/>
      <c r="AA87" s="512">
        <f>ROUND(X87*Y87,2)</f>
        <v>0</v>
      </c>
      <c r="AB87" s="512"/>
      <c r="AC87" s="407"/>
    </row>
    <row r="88" spans="1:29" ht="14.4" customHeight="1">
      <c r="A88" s="481"/>
      <c r="B88" s="514" t="s">
        <v>169</v>
      </c>
      <c r="C88" s="514" t="s">
        <v>88</v>
      </c>
      <c r="D88" s="515">
        <f>D87*2.5</f>
        <v>145</v>
      </c>
      <c r="E88" s="513"/>
      <c r="F88" s="516">
        <v>7.82</v>
      </c>
      <c r="G88" s="513"/>
      <c r="H88" s="513">
        <f>ROUND(D88*F88,2)</f>
        <v>1133.9000000000001</v>
      </c>
      <c r="I88" s="515"/>
      <c r="J88" s="513"/>
      <c r="K88" s="516">
        <v>7.82</v>
      </c>
      <c r="L88" s="513"/>
      <c r="M88" s="513">
        <f>ROUND(I88*K88,2)</f>
        <v>0</v>
      </c>
      <c r="N88" s="515"/>
      <c r="O88" s="513"/>
      <c r="P88" s="516">
        <v>7.82</v>
      </c>
      <c r="Q88" s="513"/>
      <c r="R88" s="513">
        <f>ROUND(N88*P88,2)</f>
        <v>0</v>
      </c>
      <c r="S88" s="515">
        <f>S87*2.5</f>
        <v>21</v>
      </c>
      <c r="T88" s="513"/>
      <c r="U88" s="516">
        <v>7.82</v>
      </c>
      <c r="V88" s="513"/>
      <c r="W88" s="513">
        <f>ROUND(S88*U88,2)</f>
        <v>164.22</v>
      </c>
      <c r="X88" s="515"/>
      <c r="Y88" s="513"/>
      <c r="Z88" s="516">
        <v>7.82</v>
      </c>
      <c r="AA88" s="513"/>
      <c r="AB88" s="513">
        <f>ROUND(X88*Z88,2)</f>
        <v>0</v>
      </c>
      <c r="AC88" s="407"/>
    </row>
    <row r="89" spans="1:29" ht="14.4" customHeight="1">
      <c r="A89" s="481"/>
      <c r="B89" s="514" t="s">
        <v>170</v>
      </c>
      <c r="C89" s="514" t="s">
        <v>27</v>
      </c>
      <c r="D89" s="535">
        <f>D87*0.1</f>
        <v>5.8000000000000007</v>
      </c>
      <c r="E89" s="536"/>
      <c r="F89" s="516">
        <v>24.5</v>
      </c>
      <c r="G89" s="513"/>
      <c r="H89" s="513">
        <f>ROUND(D89*F89,2)</f>
        <v>142.1</v>
      </c>
      <c r="I89" s="535"/>
      <c r="J89" s="536"/>
      <c r="K89" s="516">
        <v>24.5</v>
      </c>
      <c r="L89" s="513"/>
      <c r="M89" s="513">
        <f>ROUND(I89*K89,2)</f>
        <v>0</v>
      </c>
      <c r="N89" s="535"/>
      <c r="O89" s="536"/>
      <c r="P89" s="516">
        <v>24.5</v>
      </c>
      <c r="Q89" s="513"/>
      <c r="R89" s="513">
        <f>ROUND(N89*P89,2)</f>
        <v>0</v>
      </c>
      <c r="S89" s="535">
        <f>S87*0.1</f>
        <v>0.84000000000000008</v>
      </c>
      <c r="T89" s="536"/>
      <c r="U89" s="516">
        <v>24.5</v>
      </c>
      <c r="V89" s="513"/>
      <c r="W89" s="513">
        <f>ROUND(S89*U89,2)</f>
        <v>20.58</v>
      </c>
      <c r="X89" s="535"/>
      <c r="Y89" s="536"/>
      <c r="Z89" s="516">
        <v>24.5</v>
      </c>
      <c r="AA89" s="513"/>
      <c r="AB89" s="513">
        <f>ROUND(X89*Z89,2)</f>
        <v>0</v>
      </c>
      <c r="AC89" s="407"/>
    </row>
    <row r="90" spans="1:29" ht="14.4" customHeight="1">
      <c r="A90" s="481"/>
      <c r="B90" s="509" t="s">
        <v>183</v>
      </c>
      <c r="C90" s="510" t="s">
        <v>27</v>
      </c>
      <c r="D90" s="511">
        <f>D87</f>
        <v>58</v>
      </c>
      <c r="E90" s="512">
        <v>80</v>
      </c>
      <c r="F90" s="513"/>
      <c r="G90" s="512">
        <f>ROUND(D90*E90,2)</f>
        <v>4640</v>
      </c>
      <c r="H90" s="512"/>
      <c r="I90" s="511"/>
      <c r="J90" s="512">
        <v>80</v>
      </c>
      <c r="K90" s="513"/>
      <c r="L90" s="512">
        <f>ROUND(I90*J90,2)</f>
        <v>0</v>
      </c>
      <c r="M90" s="512"/>
      <c r="N90" s="511"/>
      <c r="O90" s="512">
        <v>80</v>
      </c>
      <c r="P90" s="513"/>
      <c r="Q90" s="512">
        <f>ROUND(N90*O90,2)</f>
        <v>0</v>
      </c>
      <c r="R90" s="512"/>
      <c r="S90" s="511">
        <f>S87</f>
        <v>8.4</v>
      </c>
      <c r="T90" s="512">
        <v>80</v>
      </c>
      <c r="U90" s="513"/>
      <c r="V90" s="512">
        <f>ROUND(S90*T90,2)</f>
        <v>672</v>
      </c>
      <c r="W90" s="512"/>
      <c r="X90" s="511"/>
      <c r="Y90" s="512">
        <v>80</v>
      </c>
      <c r="Z90" s="513"/>
      <c r="AA90" s="512">
        <f>ROUND(X90*Y90,2)</f>
        <v>0</v>
      </c>
      <c r="AB90" s="512"/>
      <c r="AC90" s="407"/>
    </row>
    <row r="91" spans="1:29" ht="14.4" customHeight="1">
      <c r="A91" s="481"/>
      <c r="B91" s="514" t="s">
        <v>184</v>
      </c>
      <c r="C91" s="514" t="s">
        <v>37</v>
      </c>
      <c r="D91" s="515">
        <f>1.1*D90</f>
        <v>63.800000000000004</v>
      </c>
      <c r="E91" s="513"/>
      <c r="F91" s="516">
        <v>12.5</v>
      </c>
      <c r="G91" s="513"/>
      <c r="H91" s="513">
        <f>ROUND(D91*F91,2)</f>
        <v>797.5</v>
      </c>
      <c r="I91" s="515"/>
      <c r="J91" s="513"/>
      <c r="K91" s="516">
        <v>12.5</v>
      </c>
      <c r="L91" s="513"/>
      <c r="M91" s="513">
        <f>ROUND(I91*K91,2)</f>
        <v>0</v>
      </c>
      <c r="N91" s="515"/>
      <c r="O91" s="513"/>
      <c r="P91" s="516">
        <v>12.5</v>
      </c>
      <c r="Q91" s="513"/>
      <c r="R91" s="513">
        <f>ROUND(N91*P91,2)</f>
        <v>0</v>
      </c>
      <c r="S91" s="515">
        <f>1.1*S90</f>
        <v>9.240000000000002</v>
      </c>
      <c r="T91" s="513"/>
      <c r="U91" s="516">
        <v>12.5</v>
      </c>
      <c r="V91" s="513"/>
      <c r="W91" s="513">
        <f>ROUND(S91*U91,2)</f>
        <v>115.5</v>
      </c>
      <c r="X91" s="515"/>
      <c r="Y91" s="513"/>
      <c r="Z91" s="516">
        <v>12.5</v>
      </c>
      <c r="AA91" s="513"/>
      <c r="AB91" s="513">
        <f>ROUND(X91*Z91,2)</f>
        <v>0</v>
      </c>
      <c r="AC91" s="407"/>
    </row>
    <row r="92" spans="1:29" ht="14.4" customHeight="1">
      <c r="A92" s="481"/>
      <c r="B92" s="514" t="s">
        <v>185</v>
      </c>
      <c r="C92" s="514" t="s">
        <v>88</v>
      </c>
      <c r="D92" s="515">
        <f>0.3*D90</f>
        <v>17.399999999999999</v>
      </c>
      <c r="E92" s="513"/>
      <c r="F92" s="516">
        <v>41</v>
      </c>
      <c r="G92" s="513"/>
      <c r="H92" s="513">
        <f>ROUND(D92*F92,2)</f>
        <v>713.4</v>
      </c>
      <c r="I92" s="515"/>
      <c r="J92" s="513"/>
      <c r="K92" s="516">
        <v>41</v>
      </c>
      <c r="L92" s="513"/>
      <c r="M92" s="513">
        <f>ROUND(I92*K92,2)</f>
        <v>0</v>
      </c>
      <c r="N92" s="515"/>
      <c r="O92" s="513"/>
      <c r="P92" s="516">
        <v>41</v>
      </c>
      <c r="Q92" s="513"/>
      <c r="R92" s="513">
        <f>ROUND(N92*P92,2)</f>
        <v>0</v>
      </c>
      <c r="S92" s="515">
        <f>0.3*S90</f>
        <v>2.52</v>
      </c>
      <c r="T92" s="513"/>
      <c r="U92" s="516">
        <v>41</v>
      </c>
      <c r="V92" s="513"/>
      <c r="W92" s="513">
        <f>ROUND(S92*U92,2)</f>
        <v>103.32</v>
      </c>
      <c r="X92" s="515"/>
      <c r="Y92" s="513"/>
      <c r="Z92" s="516">
        <v>41</v>
      </c>
      <c r="AA92" s="513"/>
      <c r="AB92" s="513">
        <f>ROUND(X92*Z92,2)</f>
        <v>0</v>
      </c>
      <c r="AC92" s="407"/>
    </row>
    <row r="93" spans="1:29" ht="14.4" customHeight="1">
      <c r="A93" s="481"/>
      <c r="B93" s="509" t="s">
        <v>186</v>
      </c>
      <c r="C93" s="510" t="s">
        <v>27</v>
      </c>
      <c r="D93" s="511">
        <f>D90</f>
        <v>58</v>
      </c>
      <c r="E93" s="512">
        <v>140</v>
      </c>
      <c r="F93" s="513"/>
      <c r="G93" s="512">
        <f>ROUND(D93*E93,2)</f>
        <v>8120</v>
      </c>
      <c r="H93" s="512"/>
      <c r="I93" s="511"/>
      <c r="J93" s="512">
        <v>140</v>
      </c>
      <c r="K93" s="513"/>
      <c r="L93" s="512">
        <f>ROUND(I93*J93,2)</f>
        <v>0</v>
      </c>
      <c r="M93" s="512"/>
      <c r="N93" s="511"/>
      <c r="O93" s="512">
        <v>140</v>
      </c>
      <c r="P93" s="513"/>
      <c r="Q93" s="512">
        <f>ROUND(N93*O93,2)</f>
        <v>0</v>
      </c>
      <c r="R93" s="512"/>
      <c r="S93" s="511">
        <f>S90</f>
        <v>8.4</v>
      </c>
      <c r="T93" s="512">
        <v>140</v>
      </c>
      <c r="U93" s="513"/>
      <c r="V93" s="512">
        <f>ROUND(S93*T93,2)</f>
        <v>1176</v>
      </c>
      <c r="W93" s="512"/>
      <c r="X93" s="511"/>
      <c r="Y93" s="512">
        <v>140</v>
      </c>
      <c r="Z93" s="513"/>
      <c r="AA93" s="512">
        <f>ROUND(X93*Y93,2)</f>
        <v>0</v>
      </c>
      <c r="AB93" s="512"/>
      <c r="AC93" s="407"/>
    </row>
    <row r="94" spans="1:29" ht="14.4" customHeight="1">
      <c r="A94" s="481"/>
      <c r="B94" s="514" t="s">
        <v>187</v>
      </c>
      <c r="C94" s="514" t="s">
        <v>88</v>
      </c>
      <c r="D94" s="515">
        <f>1.5*D93</f>
        <v>87</v>
      </c>
      <c r="E94" s="513"/>
      <c r="F94" s="516">
        <v>20.72</v>
      </c>
      <c r="G94" s="513"/>
      <c r="H94" s="513">
        <f>ROUND(D94*F94,2)</f>
        <v>1802.64</v>
      </c>
      <c r="I94" s="515"/>
      <c r="J94" s="513"/>
      <c r="K94" s="516">
        <v>20.72</v>
      </c>
      <c r="L94" s="513"/>
      <c r="M94" s="513">
        <f>ROUND(I94*K94,2)</f>
        <v>0</v>
      </c>
      <c r="N94" s="515"/>
      <c r="O94" s="513"/>
      <c r="P94" s="516">
        <v>20.72</v>
      </c>
      <c r="Q94" s="513"/>
      <c r="R94" s="513">
        <f>ROUND(N94*P94,2)</f>
        <v>0</v>
      </c>
      <c r="S94" s="515">
        <f>1.5*S93</f>
        <v>12.600000000000001</v>
      </c>
      <c r="T94" s="513"/>
      <c r="U94" s="516">
        <v>20.72</v>
      </c>
      <c r="V94" s="513"/>
      <c r="W94" s="513">
        <f>ROUND(S94*U94,2)</f>
        <v>261.07</v>
      </c>
      <c r="X94" s="515"/>
      <c r="Y94" s="513"/>
      <c r="Z94" s="516">
        <v>20.72</v>
      </c>
      <c r="AA94" s="513"/>
      <c r="AB94" s="513">
        <f>ROUND(X94*Z94,2)</f>
        <v>0</v>
      </c>
      <c r="AC94" s="407"/>
    </row>
    <row r="95" spans="1:29" ht="26.4" customHeight="1">
      <c r="A95" s="537"/>
      <c r="B95" s="538" t="s">
        <v>188</v>
      </c>
      <c r="C95" s="537" t="s">
        <v>27</v>
      </c>
      <c r="D95" s="539">
        <v>32</v>
      </c>
      <c r="E95" s="540">
        <v>50</v>
      </c>
      <c r="F95" s="540"/>
      <c r="G95" s="540">
        <f>D95*E95</f>
        <v>1600</v>
      </c>
      <c r="H95" s="525"/>
      <c r="I95" s="539">
        <v>20</v>
      </c>
      <c r="J95" s="540">
        <v>50</v>
      </c>
      <c r="K95" s="540"/>
      <c r="L95" s="540">
        <f>I95*J95</f>
        <v>1000</v>
      </c>
      <c r="M95" s="525"/>
      <c r="N95" s="539"/>
      <c r="O95" s="540">
        <v>50</v>
      </c>
      <c r="P95" s="540"/>
      <c r="Q95" s="540">
        <f>N95*O95</f>
        <v>0</v>
      </c>
      <c r="R95" s="525"/>
      <c r="S95" s="539">
        <v>27</v>
      </c>
      <c r="T95" s="540">
        <v>50</v>
      </c>
      <c r="U95" s="540"/>
      <c r="V95" s="540">
        <f>S95*T95</f>
        <v>1350</v>
      </c>
      <c r="W95" s="525"/>
      <c r="X95" s="539"/>
      <c r="Y95" s="540">
        <v>50</v>
      </c>
      <c r="Z95" s="540"/>
      <c r="AA95" s="540">
        <f>X95*Y95</f>
        <v>0</v>
      </c>
      <c r="AB95" s="525"/>
      <c r="AC95" s="407"/>
    </row>
    <row r="96" spans="1:29" ht="13.95" customHeight="1">
      <c r="A96" s="537"/>
      <c r="B96" s="541" t="s">
        <v>189</v>
      </c>
      <c r="C96" s="541" t="s">
        <v>27</v>
      </c>
      <c r="D96" s="542">
        <v>36</v>
      </c>
      <c r="E96" s="542"/>
      <c r="F96" s="542">
        <v>45</v>
      </c>
      <c r="G96" s="543"/>
      <c r="H96" s="525">
        <f>F96*D96</f>
        <v>1620</v>
      </c>
      <c r="I96" s="542">
        <v>22</v>
      </c>
      <c r="J96" s="542"/>
      <c r="K96" s="542">
        <v>45</v>
      </c>
      <c r="L96" s="543"/>
      <c r="M96" s="525">
        <f>K96*I96</f>
        <v>990</v>
      </c>
      <c r="N96" s="542"/>
      <c r="O96" s="542"/>
      <c r="P96" s="542">
        <v>45</v>
      </c>
      <c r="Q96" s="543"/>
      <c r="R96" s="525">
        <f>P96*N96</f>
        <v>0</v>
      </c>
      <c r="S96" s="542">
        <v>36</v>
      </c>
      <c r="T96" s="542"/>
      <c r="U96" s="542">
        <v>45</v>
      </c>
      <c r="V96" s="543"/>
      <c r="W96" s="525">
        <f>U96*S96</f>
        <v>1620</v>
      </c>
      <c r="X96" s="542"/>
      <c r="Y96" s="542"/>
      <c r="Z96" s="542">
        <v>45</v>
      </c>
      <c r="AA96" s="543"/>
      <c r="AB96" s="525">
        <f>Z96*X96</f>
        <v>0</v>
      </c>
      <c r="AC96" s="407"/>
    </row>
    <row r="97" spans="1:29" ht="25.5" customHeight="1">
      <c r="A97" s="481"/>
      <c r="B97" s="544" t="s">
        <v>190</v>
      </c>
      <c r="C97" s="481" t="s">
        <v>27</v>
      </c>
      <c r="D97" s="503">
        <v>44.6</v>
      </c>
      <c r="E97" s="504">
        <v>190</v>
      </c>
      <c r="F97" s="504"/>
      <c r="G97" s="512">
        <f>ROUND(D97*E97,2)</f>
        <v>8474</v>
      </c>
      <c r="H97" s="525"/>
      <c r="I97" s="503">
        <v>15</v>
      </c>
      <c r="J97" s="504">
        <v>190</v>
      </c>
      <c r="K97" s="504"/>
      <c r="L97" s="512">
        <f>ROUND(I97*J97,2)</f>
        <v>2850</v>
      </c>
      <c r="M97" s="525"/>
      <c r="N97" s="503">
        <f>7.74+3.2</f>
        <v>10.940000000000001</v>
      </c>
      <c r="O97" s="504">
        <v>190</v>
      </c>
      <c r="P97" s="504"/>
      <c r="Q97" s="512">
        <f>ROUND(N97*O97,2)</f>
        <v>2078.6</v>
      </c>
      <c r="R97" s="525"/>
      <c r="S97" s="503"/>
      <c r="T97" s="504">
        <v>190</v>
      </c>
      <c r="U97" s="504"/>
      <c r="V97" s="512">
        <f>ROUND(S97*T97,2)</f>
        <v>0</v>
      </c>
      <c r="W97" s="525"/>
      <c r="X97" s="503">
        <v>25.7</v>
      </c>
      <c r="Y97" s="504">
        <v>190</v>
      </c>
      <c r="Z97" s="504"/>
      <c r="AA97" s="512">
        <f>ROUND(X97*Y97,2)</f>
        <v>4883</v>
      </c>
      <c r="AB97" s="525"/>
      <c r="AC97" s="407"/>
    </row>
    <row r="98" spans="1:29" ht="25.5" customHeight="1">
      <c r="A98" s="481"/>
      <c r="B98" s="545" t="s">
        <v>43</v>
      </c>
      <c r="C98" s="545" t="s">
        <v>37</v>
      </c>
      <c r="D98" s="546">
        <f>CEILING(D97*0.4,3)</f>
        <v>18</v>
      </c>
      <c r="E98" s="546"/>
      <c r="F98" s="534">
        <v>44.01</v>
      </c>
      <c r="G98" s="547"/>
      <c r="H98" s="525">
        <f>F98*D98</f>
        <v>792.18</v>
      </c>
      <c r="I98" s="546">
        <f>CEILING(I97*0.4,3)</f>
        <v>6</v>
      </c>
      <c r="J98" s="546"/>
      <c r="K98" s="534">
        <v>44.01</v>
      </c>
      <c r="L98" s="547"/>
      <c r="M98" s="525">
        <f>K98*I98</f>
        <v>264.06</v>
      </c>
      <c r="N98" s="546">
        <f>CEILING(N97*0.4,3)</f>
        <v>6</v>
      </c>
      <c r="O98" s="546"/>
      <c r="P98" s="534">
        <v>44.01</v>
      </c>
      <c r="Q98" s="547"/>
      <c r="R98" s="525">
        <f>P98*N98</f>
        <v>264.06</v>
      </c>
      <c r="S98" s="546">
        <f>CEILING(S97*0.4,3)</f>
        <v>0</v>
      </c>
      <c r="T98" s="546"/>
      <c r="U98" s="534">
        <v>44.01</v>
      </c>
      <c r="V98" s="547"/>
      <c r="W98" s="525">
        <f>U98*S98</f>
        <v>0</v>
      </c>
      <c r="X98" s="546">
        <f>CEILING(X97*0.4,3)</f>
        <v>12</v>
      </c>
      <c r="Y98" s="546"/>
      <c r="Z98" s="534">
        <v>44.01</v>
      </c>
      <c r="AA98" s="547"/>
      <c r="AB98" s="525">
        <f>Z98*X98</f>
        <v>528.12</v>
      </c>
      <c r="AC98" s="407"/>
    </row>
    <row r="99" spans="1:29" ht="13.65" customHeight="1">
      <c r="A99" s="481"/>
      <c r="B99" s="526" t="s">
        <v>191</v>
      </c>
      <c r="C99" s="545" t="s">
        <v>145</v>
      </c>
      <c r="D99" s="546">
        <f>D97*3.5/30</f>
        <v>5.2033333333333331</v>
      </c>
      <c r="E99" s="546"/>
      <c r="F99" s="534">
        <v>130</v>
      </c>
      <c r="G99" s="547"/>
      <c r="H99" s="525">
        <f>F99*D99</f>
        <v>676.43333333333328</v>
      </c>
      <c r="I99" s="546">
        <f>I97*3.5/30</f>
        <v>1.75</v>
      </c>
      <c r="J99" s="546"/>
      <c r="K99" s="534">
        <v>130</v>
      </c>
      <c r="L99" s="547"/>
      <c r="M99" s="525">
        <f>K99*I99</f>
        <v>227.5</v>
      </c>
      <c r="N99" s="546">
        <f>N97*3.5/30</f>
        <v>1.2763333333333335</v>
      </c>
      <c r="O99" s="546"/>
      <c r="P99" s="534">
        <v>130</v>
      </c>
      <c r="Q99" s="547"/>
      <c r="R99" s="525">
        <f>P99*N99</f>
        <v>165.92333333333335</v>
      </c>
      <c r="S99" s="546">
        <f>S97*3.5/30</f>
        <v>0</v>
      </c>
      <c r="T99" s="546"/>
      <c r="U99" s="534">
        <v>130</v>
      </c>
      <c r="V99" s="547"/>
      <c r="W99" s="525">
        <f>U99*S99</f>
        <v>0</v>
      </c>
      <c r="X99" s="546">
        <f>X97*3.5/30</f>
        <v>2.9983333333333335</v>
      </c>
      <c r="Y99" s="546"/>
      <c r="Z99" s="534">
        <v>130</v>
      </c>
      <c r="AA99" s="547"/>
      <c r="AB99" s="525">
        <f>Z99*X99</f>
        <v>389.78333333333336</v>
      </c>
      <c r="AC99" s="407"/>
    </row>
    <row r="100" spans="1:29" ht="16.5" customHeight="1">
      <c r="A100" s="481"/>
      <c r="B100" s="545" t="s">
        <v>192</v>
      </c>
      <c r="C100" s="545" t="s">
        <v>21</v>
      </c>
      <c r="D100" s="546">
        <f>ROUND(D97*4.1,2)</f>
        <v>182.86</v>
      </c>
      <c r="E100" s="546"/>
      <c r="F100" s="547">
        <v>0.8</v>
      </c>
      <c r="G100" s="547"/>
      <c r="H100" s="525">
        <f>F100*D100</f>
        <v>146.28800000000001</v>
      </c>
      <c r="I100" s="546">
        <f>ROUND(I97*4.1,2)</f>
        <v>61.5</v>
      </c>
      <c r="J100" s="546"/>
      <c r="K100" s="547">
        <v>0.8</v>
      </c>
      <c r="L100" s="547"/>
      <c r="M100" s="525">
        <f>K100*I100</f>
        <v>49.2</v>
      </c>
      <c r="N100" s="546">
        <f>ROUND(N97*4.1,2)</f>
        <v>44.85</v>
      </c>
      <c r="O100" s="546"/>
      <c r="P100" s="547">
        <v>0.8</v>
      </c>
      <c r="Q100" s="547"/>
      <c r="R100" s="525">
        <f>P100*N100</f>
        <v>35.880000000000003</v>
      </c>
      <c r="S100" s="546">
        <f>ROUND(S97*4.1,2)</f>
        <v>0</v>
      </c>
      <c r="T100" s="546"/>
      <c r="U100" s="547">
        <v>0.8</v>
      </c>
      <c r="V100" s="547"/>
      <c r="W100" s="525">
        <f>U100*S100</f>
        <v>0</v>
      </c>
      <c r="X100" s="546">
        <f>ROUND(X97*4.1,2)</f>
        <v>105.37</v>
      </c>
      <c r="Y100" s="546"/>
      <c r="Z100" s="547">
        <v>0.8</v>
      </c>
      <c r="AA100" s="547"/>
      <c r="AB100" s="525">
        <f>Z100*X100</f>
        <v>84.296000000000006</v>
      </c>
      <c r="AC100" s="407"/>
    </row>
    <row r="101" spans="1:29" ht="13.65" customHeight="1">
      <c r="A101" s="481"/>
      <c r="B101" s="509" t="s">
        <v>181</v>
      </c>
      <c r="C101" s="510" t="s">
        <v>27</v>
      </c>
      <c r="D101" s="511">
        <v>44.6</v>
      </c>
      <c r="E101" s="512">
        <v>22</v>
      </c>
      <c r="F101" s="513"/>
      <c r="G101" s="512">
        <f>ROUND(D101*E101,2)</f>
        <v>981.2</v>
      </c>
      <c r="H101" s="512"/>
      <c r="I101" s="511"/>
      <c r="J101" s="512">
        <v>22</v>
      </c>
      <c r="K101" s="513"/>
      <c r="L101" s="512">
        <f>ROUND(I101*J101,2)</f>
        <v>0</v>
      </c>
      <c r="M101" s="512"/>
      <c r="N101" s="511">
        <v>10.94</v>
      </c>
      <c r="O101" s="512">
        <v>22</v>
      </c>
      <c r="P101" s="513"/>
      <c r="Q101" s="512">
        <f>ROUND(N101*O101,2)</f>
        <v>240.68</v>
      </c>
      <c r="R101" s="512"/>
      <c r="S101" s="511"/>
      <c r="T101" s="512">
        <v>22</v>
      </c>
      <c r="U101" s="513"/>
      <c r="V101" s="512">
        <f>ROUND(S101*T101,2)</f>
        <v>0</v>
      </c>
      <c r="W101" s="512"/>
      <c r="X101" s="511">
        <v>25.7</v>
      </c>
      <c r="Y101" s="512">
        <v>22</v>
      </c>
      <c r="Z101" s="513"/>
      <c r="AA101" s="512">
        <f>ROUND(X101*Y101,2)</f>
        <v>565.4</v>
      </c>
      <c r="AB101" s="512"/>
      <c r="AC101" s="407"/>
    </row>
    <row r="102" spans="1:29" ht="13.65" customHeight="1">
      <c r="A102" s="481"/>
      <c r="B102" s="514" t="s">
        <v>113</v>
      </c>
      <c r="C102" s="514" t="s">
        <v>92</v>
      </c>
      <c r="D102" s="515">
        <f>D101*0.2</f>
        <v>8.92</v>
      </c>
      <c r="E102" s="513"/>
      <c r="F102" s="534">
        <v>20.02</v>
      </c>
      <c r="G102" s="513"/>
      <c r="H102" s="513">
        <f>ROUND(D102*F102,2)</f>
        <v>178.58</v>
      </c>
      <c r="I102" s="515"/>
      <c r="J102" s="513"/>
      <c r="K102" s="534">
        <v>20.02</v>
      </c>
      <c r="L102" s="513"/>
      <c r="M102" s="513">
        <f>ROUND(I102*K102,2)</f>
        <v>0</v>
      </c>
      <c r="N102" s="515">
        <f>N101*0.2</f>
        <v>2.1880000000000002</v>
      </c>
      <c r="O102" s="513"/>
      <c r="P102" s="534">
        <v>20.02</v>
      </c>
      <c r="Q102" s="513"/>
      <c r="R102" s="513">
        <f>ROUND(N102*P102,2)</f>
        <v>43.8</v>
      </c>
      <c r="S102" s="515">
        <f>S101*0.2</f>
        <v>0</v>
      </c>
      <c r="T102" s="513"/>
      <c r="U102" s="534">
        <v>20.02</v>
      </c>
      <c r="V102" s="513"/>
      <c r="W102" s="513">
        <f>ROUND(S102*U102,2)</f>
        <v>0</v>
      </c>
      <c r="X102" s="515">
        <f>X101*0.2</f>
        <v>5.1400000000000006</v>
      </c>
      <c r="Y102" s="513"/>
      <c r="Z102" s="534">
        <v>20.02</v>
      </c>
      <c r="AA102" s="513"/>
      <c r="AB102" s="513">
        <f>ROUND(X102*Z102,2)</f>
        <v>102.9</v>
      </c>
      <c r="AC102" s="407"/>
    </row>
    <row r="103" spans="1:29" ht="13.65" customHeight="1">
      <c r="A103" s="481"/>
      <c r="B103" s="509" t="s">
        <v>193</v>
      </c>
      <c r="C103" s="510" t="s">
        <v>27</v>
      </c>
      <c r="D103" s="511">
        <v>44.6</v>
      </c>
      <c r="E103" s="512">
        <v>140</v>
      </c>
      <c r="F103" s="513"/>
      <c r="G103" s="512">
        <f>ROUND(D103*E103,2)</f>
        <v>6244</v>
      </c>
      <c r="H103" s="512"/>
      <c r="I103" s="511"/>
      <c r="J103" s="512">
        <v>140</v>
      </c>
      <c r="K103" s="513"/>
      <c r="L103" s="512">
        <f>ROUND(I103*J103,2)</f>
        <v>0</v>
      </c>
      <c r="M103" s="512"/>
      <c r="N103" s="511">
        <v>10.94</v>
      </c>
      <c r="O103" s="512">
        <v>140</v>
      </c>
      <c r="P103" s="513"/>
      <c r="Q103" s="512">
        <f>ROUND(N103*O103,2)</f>
        <v>1531.6</v>
      </c>
      <c r="R103" s="512"/>
      <c r="S103" s="511"/>
      <c r="T103" s="512">
        <v>140</v>
      </c>
      <c r="U103" s="513"/>
      <c r="V103" s="512">
        <f>ROUND(S103*T103,2)</f>
        <v>0</v>
      </c>
      <c r="W103" s="512"/>
      <c r="X103" s="511">
        <v>25.7</v>
      </c>
      <c r="Y103" s="512">
        <v>140</v>
      </c>
      <c r="Z103" s="513"/>
      <c r="AA103" s="512">
        <f>ROUND(X103*Y103,2)</f>
        <v>3598</v>
      </c>
      <c r="AB103" s="512"/>
      <c r="AC103" s="407"/>
    </row>
    <row r="104" spans="1:29" ht="13.65" customHeight="1">
      <c r="A104" s="481"/>
      <c r="B104" s="514" t="s">
        <v>187</v>
      </c>
      <c r="C104" s="514" t="s">
        <v>88</v>
      </c>
      <c r="D104" s="515">
        <f>1.5*D103</f>
        <v>66.900000000000006</v>
      </c>
      <c r="E104" s="513"/>
      <c r="F104" s="516">
        <v>20.72</v>
      </c>
      <c r="G104" s="513"/>
      <c r="H104" s="513">
        <f>ROUND(D104*F104,2)</f>
        <v>1386.17</v>
      </c>
      <c r="I104" s="515"/>
      <c r="J104" s="513"/>
      <c r="K104" s="516">
        <v>20.72</v>
      </c>
      <c r="L104" s="513"/>
      <c r="M104" s="513">
        <f>ROUND(I104*K104,2)</f>
        <v>0</v>
      </c>
      <c r="N104" s="548">
        <f>1.5*N103</f>
        <v>16.41</v>
      </c>
      <c r="O104" s="513"/>
      <c r="P104" s="516">
        <v>20.72</v>
      </c>
      <c r="Q104" s="513"/>
      <c r="R104" s="513">
        <f>ROUND(N104*P104,2)</f>
        <v>340.02</v>
      </c>
      <c r="S104" s="515">
        <f>1.5*S103</f>
        <v>0</v>
      </c>
      <c r="T104" s="513"/>
      <c r="U104" s="516">
        <v>20.72</v>
      </c>
      <c r="V104" s="513"/>
      <c r="W104" s="513">
        <f>ROUND(S104*U104,2)</f>
        <v>0</v>
      </c>
      <c r="X104" s="515">
        <f>1.5*X103</f>
        <v>38.549999999999997</v>
      </c>
      <c r="Y104" s="513"/>
      <c r="Z104" s="516">
        <v>20.72</v>
      </c>
      <c r="AA104" s="513"/>
      <c r="AB104" s="513">
        <f>ROUND(X104*Z104,2)</f>
        <v>798.76</v>
      </c>
      <c r="AC104" s="407"/>
    </row>
    <row r="105" spans="1:29" ht="14.4" customHeight="1">
      <c r="A105" s="481"/>
      <c r="B105" s="544" t="s">
        <v>194</v>
      </c>
      <c r="C105" s="481" t="s">
        <v>27</v>
      </c>
      <c r="D105" s="503">
        <v>44.6</v>
      </c>
      <c r="E105" s="504">
        <v>120</v>
      </c>
      <c r="F105" s="504"/>
      <c r="G105" s="512">
        <f>ROUND(D105*E105,2)</f>
        <v>5352</v>
      </c>
      <c r="H105" s="525"/>
      <c r="I105" s="549">
        <v>10.5</v>
      </c>
      <c r="J105" s="504">
        <v>190</v>
      </c>
      <c r="K105" s="504"/>
      <c r="L105" s="512">
        <f>ROUND(I105*J105,2)</f>
        <v>1995</v>
      </c>
      <c r="M105" s="525"/>
      <c r="N105" s="503"/>
      <c r="O105" s="504">
        <v>120</v>
      </c>
      <c r="P105" s="504"/>
      <c r="Q105" s="512">
        <f>ROUND(N105*O105,2)</f>
        <v>0</v>
      </c>
      <c r="R105" s="525"/>
      <c r="S105" s="503">
        <v>44.6</v>
      </c>
      <c r="T105" s="504">
        <v>120</v>
      </c>
      <c r="U105" s="504"/>
      <c r="V105" s="512"/>
      <c r="W105" s="525"/>
      <c r="X105" s="503"/>
      <c r="Y105" s="504">
        <v>120</v>
      </c>
      <c r="Z105" s="504"/>
      <c r="AA105" s="512">
        <f>ROUND(X105*Y105,2)</f>
        <v>0</v>
      </c>
      <c r="AB105" s="525"/>
      <c r="AC105" s="407"/>
    </row>
    <row r="106" spans="1:29" ht="26.4" customHeight="1">
      <c r="A106" s="522"/>
      <c r="B106" s="526" t="s">
        <v>195</v>
      </c>
      <c r="C106" s="526" t="s">
        <v>196</v>
      </c>
      <c r="D106" s="550">
        <v>44.6</v>
      </c>
      <c r="E106" s="528"/>
      <c r="F106" s="528">
        <v>60</v>
      </c>
      <c r="G106" s="529"/>
      <c r="H106" s="525">
        <f>F106*D106</f>
        <v>2676</v>
      </c>
      <c r="I106" s="550">
        <v>10.5</v>
      </c>
      <c r="J106" s="528"/>
      <c r="K106" s="528">
        <v>60</v>
      </c>
      <c r="L106" s="529"/>
      <c r="M106" s="525">
        <f>K106*I106</f>
        <v>630</v>
      </c>
      <c r="N106" s="550"/>
      <c r="O106" s="528"/>
      <c r="P106" s="528">
        <v>60</v>
      </c>
      <c r="Q106" s="529"/>
      <c r="R106" s="525">
        <f>P106*N106</f>
        <v>0</v>
      </c>
      <c r="S106" s="550">
        <v>44.6</v>
      </c>
      <c r="T106" s="528"/>
      <c r="U106" s="528">
        <v>60</v>
      </c>
      <c r="V106" s="529"/>
      <c r="W106" s="525"/>
      <c r="X106" s="550"/>
      <c r="Y106" s="528"/>
      <c r="Z106" s="528">
        <v>60</v>
      </c>
      <c r="AA106" s="529"/>
      <c r="AB106" s="525">
        <f>Z106*X106</f>
        <v>0</v>
      </c>
      <c r="AC106" s="407"/>
    </row>
    <row r="107" spans="1:29" ht="27.6" customHeight="1">
      <c r="A107" s="481"/>
      <c r="B107" s="544" t="s">
        <v>197</v>
      </c>
      <c r="C107" s="481" t="s">
        <v>27</v>
      </c>
      <c r="D107" s="503">
        <v>12</v>
      </c>
      <c r="E107" s="504">
        <v>140</v>
      </c>
      <c r="F107" s="504"/>
      <c r="G107" s="512">
        <f>ROUND(D107*E107,2)</f>
        <v>1680</v>
      </c>
      <c r="H107" s="525">
        <f>F107*D107</f>
        <v>0</v>
      </c>
      <c r="I107" s="503"/>
      <c r="J107" s="504">
        <v>140</v>
      </c>
      <c r="K107" s="504"/>
      <c r="L107" s="512">
        <f>ROUND(I107*J107,2)</f>
        <v>0</v>
      </c>
      <c r="M107" s="525">
        <f>K107*I107</f>
        <v>0</v>
      </c>
      <c r="N107" s="503"/>
      <c r="O107" s="504">
        <v>140</v>
      </c>
      <c r="P107" s="504"/>
      <c r="Q107" s="512">
        <f>ROUND(N107*O107,2)</f>
        <v>0</v>
      </c>
      <c r="R107" s="525">
        <f>P107*N107</f>
        <v>0</v>
      </c>
      <c r="S107" s="503">
        <v>12</v>
      </c>
      <c r="T107" s="504">
        <v>140</v>
      </c>
      <c r="U107" s="504"/>
      <c r="V107" s="512"/>
      <c r="W107" s="525"/>
      <c r="X107" s="503">
        <v>12</v>
      </c>
      <c r="Y107" s="504">
        <v>140</v>
      </c>
      <c r="Z107" s="504"/>
      <c r="AA107" s="512">
        <f>ROUND(X107*Y107,2)</f>
        <v>1680</v>
      </c>
      <c r="AB107" s="525">
        <f>Z107*X107</f>
        <v>0</v>
      </c>
      <c r="AC107" s="407"/>
    </row>
    <row r="108" spans="1:29" ht="14.4" customHeight="1">
      <c r="A108" s="481"/>
      <c r="B108" s="545" t="s">
        <v>198</v>
      </c>
      <c r="C108" s="545" t="s">
        <v>27</v>
      </c>
      <c r="D108" s="546">
        <v>14</v>
      </c>
      <c r="E108" s="546"/>
      <c r="F108" s="534">
        <v>68</v>
      </c>
      <c r="G108" s="547"/>
      <c r="H108" s="525">
        <f>F108*D108</f>
        <v>952</v>
      </c>
      <c r="I108" s="546"/>
      <c r="J108" s="546"/>
      <c r="K108" s="534">
        <v>68</v>
      </c>
      <c r="L108" s="547"/>
      <c r="M108" s="525">
        <f>K108*I108</f>
        <v>0</v>
      </c>
      <c r="N108" s="546"/>
      <c r="O108" s="546"/>
      <c r="P108" s="534">
        <v>68</v>
      </c>
      <c r="Q108" s="547"/>
      <c r="R108" s="525">
        <f>P108*N108</f>
        <v>0</v>
      </c>
      <c r="S108" s="546">
        <v>14</v>
      </c>
      <c r="T108" s="546"/>
      <c r="U108" s="534">
        <v>68</v>
      </c>
      <c r="V108" s="547"/>
      <c r="W108" s="525"/>
      <c r="X108" s="546">
        <v>14</v>
      </c>
      <c r="Y108" s="546"/>
      <c r="Z108" s="534">
        <v>68</v>
      </c>
      <c r="AA108" s="547"/>
      <c r="AB108" s="525">
        <f>Z108*X108</f>
        <v>952</v>
      </c>
      <c r="AC108" s="407"/>
    </row>
    <row r="109" spans="1:29" ht="14.4" customHeight="1">
      <c r="A109" s="481"/>
      <c r="B109" s="545" t="s">
        <v>199</v>
      </c>
      <c r="C109" s="545" t="s">
        <v>21</v>
      </c>
      <c r="D109" s="546">
        <v>1</v>
      </c>
      <c r="E109" s="546"/>
      <c r="F109" s="547">
        <v>83.66</v>
      </c>
      <c r="G109" s="547"/>
      <c r="H109" s="525">
        <f>F109*D109</f>
        <v>83.66</v>
      </c>
      <c r="I109" s="546"/>
      <c r="J109" s="546"/>
      <c r="K109" s="547">
        <v>83.66</v>
      </c>
      <c r="L109" s="547"/>
      <c r="M109" s="525">
        <f>K109*I109</f>
        <v>0</v>
      </c>
      <c r="N109" s="546"/>
      <c r="O109" s="546"/>
      <c r="P109" s="547">
        <v>83.66</v>
      </c>
      <c r="Q109" s="547"/>
      <c r="R109" s="525">
        <f>P109*N109</f>
        <v>0</v>
      </c>
      <c r="S109" s="546">
        <v>1</v>
      </c>
      <c r="T109" s="546"/>
      <c r="U109" s="547">
        <v>83.66</v>
      </c>
      <c r="V109" s="547"/>
      <c r="W109" s="525"/>
      <c r="X109" s="546">
        <v>1</v>
      </c>
      <c r="Y109" s="546"/>
      <c r="Z109" s="547">
        <v>83.66</v>
      </c>
      <c r="AA109" s="547"/>
      <c r="AB109" s="525">
        <f>Z109*X109</f>
        <v>83.66</v>
      </c>
      <c r="AC109" s="407"/>
    </row>
    <row r="110" spans="1:29" ht="14.4" customHeight="1">
      <c r="A110" s="481"/>
      <c r="B110" s="502"/>
      <c r="C110" s="502"/>
      <c r="D110" s="503"/>
      <c r="E110" s="504"/>
      <c r="F110" s="504"/>
      <c r="G110" s="504"/>
      <c r="H110" s="504"/>
      <c r="I110" s="503"/>
      <c r="J110" s="504"/>
      <c r="K110" s="504"/>
      <c r="L110" s="504"/>
      <c r="M110" s="504"/>
      <c r="N110" s="503"/>
      <c r="O110" s="504"/>
      <c r="P110" s="504"/>
      <c r="Q110" s="504"/>
      <c r="R110" s="504"/>
      <c r="S110" s="503"/>
      <c r="T110" s="504"/>
      <c r="U110" s="504"/>
      <c r="V110" s="504"/>
      <c r="W110" s="504"/>
      <c r="X110" s="503"/>
      <c r="Y110" s="504"/>
      <c r="Z110" s="504"/>
      <c r="AA110" s="504"/>
      <c r="AB110" s="504"/>
      <c r="AC110" s="407"/>
    </row>
    <row r="111" spans="1:29" ht="15.6" customHeight="1">
      <c r="A111" s="481"/>
      <c r="B111" s="482" t="s">
        <v>200</v>
      </c>
      <c r="C111" s="483"/>
      <c r="D111" s="484"/>
      <c r="E111" s="484"/>
      <c r="F111" s="484"/>
      <c r="G111" s="484"/>
      <c r="H111" s="484"/>
      <c r="I111" s="484"/>
      <c r="J111" s="484"/>
      <c r="K111" s="484"/>
      <c r="L111" s="484"/>
      <c r="M111" s="484"/>
      <c r="N111" s="484"/>
      <c r="O111" s="484"/>
      <c r="P111" s="484"/>
      <c r="Q111" s="484"/>
      <c r="R111" s="484"/>
      <c r="S111" s="484"/>
      <c r="T111" s="484"/>
      <c r="U111" s="484"/>
      <c r="V111" s="484"/>
      <c r="W111" s="484"/>
      <c r="X111" s="484"/>
      <c r="Y111" s="484"/>
      <c r="Z111" s="484"/>
      <c r="AA111" s="484"/>
      <c r="AB111" s="484"/>
      <c r="AC111" s="407"/>
    </row>
    <row r="112" spans="1:29" ht="33" customHeight="1">
      <c r="A112" s="522"/>
      <c r="B112" s="521" t="s">
        <v>201</v>
      </c>
      <c r="C112" s="522" t="s">
        <v>37</v>
      </c>
      <c r="D112" s="551">
        <v>21.04</v>
      </c>
      <c r="E112" s="472">
        <v>240</v>
      </c>
      <c r="F112" s="472"/>
      <c r="G112" s="472">
        <f>D112*E112</f>
        <v>5049.5999999999995</v>
      </c>
      <c r="H112" s="552"/>
      <c r="I112" s="553"/>
      <c r="J112" s="472">
        <v>240</v>
      </c>
      <c r="K112" s="472"/>
      <c r="L112" s="472">
        <f>I112*J112</f>
        <v>0</v>
      </c>
      <c r="M112" s="552"/>
      <c r="N112" s="553"/>
      <c r="O112" s="472">
        <v>240</v>
      </c>
      <c r="P112" s="472"/>
      <c r="Q112" s="472">
        <f>N112*O112</f>
        <v>0</v>
      </c>
      <c r="R112" s="552"/>
      <c r="S112" s="551"/>
      <c r="T112" s="472">
        <v>240</v>
      </c>
      <c r="U112" s="472"/>
      <c r="V112" s="472">
        <f>S112*T112</f>
        <v>0</v>
      </c>
      <c r="W112" s="552"/>
      <c r="X112" s="551"/>
      <c r="Y112" s="472">
        <v>240</v>
      </c>
      <c r="Z112" s="472"/>
      <c r="AA112" s="472">
        <f>X112*Y112</f>
        <v>0</v>
      </c>
      <c r="AB112" s="552"/>
      <c r="AC112" s="407"/>
    </row>
    <row r="113" spans="1:29" ht="14.4" customHeight="1">
      <c r="A113" s="522"/>
      <c r="B113" s="526" t="s">
        <v>202</v>
      </c>
      <c r="C113" s="526" t="s">
        <v>203</v>
      </c>
      <c r="D113" s="554">
        <v>10</v>
      </c>
      <c r="E113" s="555"/>
      <c r="F113" s="555">
        <f t="shared" ref="F113:P113" si="21">1175*1.05/1.2</f>
        <v>1028.125</v>
      </c>
      <c r="G113" s="556"/>
      <c r="H113" s="552">
        <f t="shared" ref="H113:H118" si="22">F113*D113</f>
        <v>10281.25</v>
      </c>
      <c r="I113" s="557"/>
      <c r="J113" s="555"/>
      <c r="K113" s="555">
        <f t="shared" si="21"/>
        <v>1028.125</v>
      </c>
      <c r="L113" s="556"/>
      <c r="M113" s="552">
        <f t="shared" ref="M113:M118" si="23">K113*I113</f>
        <v>0</v>
      </c>
      <c r="N113" s="557"/>
      <c r="O113" s="555"/>
      <c r="P113" s="555">
        <f t="shared" si="21"/>
        <v>1028.125</v>
      </c>
      <c r="Q113" s="556"/>
      <c r="R113" s="552">
        <f t="shared" ref="R113:R118" si="24">P113*N113</f>
        <v>0</v>
      </c>
      <c r="S113" s="554"/>
      <c r="T113" s="555"/>
      <c r="U113" s="555">
        <f t="shared" ref="U113" si="25">1175*1.05/1.2</f>
        <v>1028.125</v>
      </c>
      <c r="V113" s="556"/>
      <c r="W113" s="552">
        <f t="shared" ref="W113:W118" si="26">U113*S113</f>
        <v>0</v>
      </c>
      <c r="X113" s="554"/>
      <c r="Y113" s="555"/>
      <c r="Z113" s="555">
        <f t="shared" ref="Z113" si="27">1175*1.05/1.2</f>
        <v>1028.125</v>
      </c>
      <c r="AA113" s="556"/>
      <c r="AB113" s="552">
        <f t="shared" ref="AB113:AB118" si="28">Z113*X113</f>
        <v>0</v>
      </c>
      <c r="AC113" s="407"/>
    </row>
    <row r="114" spans="1:29" ht="14.4" customHeight="1">
      <c r="A114" s="522"/>
      <c r="B114" s="526" t="s">
        <v>45</v>
      </c>
      <c r="C114" s="526" t="s">
        <v>46</v>
      </c>
      <c r="D114" s="554">
        <f>D112*1.7</f>
        <v>35.768000000000001</v>
      </c>
      <c r="E114" s="555"/>
      <c r="F114" s="555">
        <v>56.51</v>
      </c>
      <c r="G114" s="556"/>
      <c r="H114" s="552">
        <f t="shared" si="22"/>
        <v>2021.2496799999999</v>
      </c>
      <c r="I114" s="557"/>
      <c r="J114" s="555"/>
      <c r="K114" s="555">
        <v>56.51</v>
      </c>
      <c r="L114" s="556"/>
      <c r="M114" s="552">
        <f t="shared" si="23"/>
        <v>0</v>
      </c>
      <c r="N114" s="557"/>
      <c r="O114" s="555"/>
      <c r="P114" s="555">
        <v>56.51</v>
      </c>
      <c r="Q114" s="556"/>
      <c r="R114" s="552">
        <f t="shared" si="24"/>
        <v>0</v>
      </c>
      <c r="S114" s="554"/>
      <c r="T114" s="555"/>
      <c r="U114" s="555">
        <v>56.51</v>
      </c>
      <c r="V114" s="556"/>
      <c r="W114" s="552">
        <f t="shared" si="26"/>
        <v>0</v>
      </c>
      <c r="X114" s="554"/>
      <c r="Y114" s="555"/>
      <c r="Z114" s="555">
        <v>56.51</v>
      </c>
      <c r="AA114" s="556"/>
      <c r="AB114" s="552">
        <f t="shared" si="28"/>
        <v>0</v>
      </c>
      <c r="AC114" s="407"/>
    </row>
    <row r="115" spans="1:29" ht="14.4" customHeight="1">
      <c r="A115" s="522"/>
      <c r="B115" s="526" t="s">
        <v>204</v>
      </c>
      <c r="C115" s="526" t="s">
        <v>46</v>
      </c>
      <c r="D115" s="554">
        <f>D112*2.9</f>
        <v>61.015999999999998</v>
      </c>
      <c r="E115" s="555"/>
      <c r="F115" s="555">
        <v>63.16</v>
      </c>
      <c r="G115" s="556"/>
      <c r="H115" s="552">
        <f t="shared" si="22"/>
        <v>3853.7705599999995</v>
      </c>
      <c r="I115" s="557"/>
      <c r="J115" s="555"/>
      <c r="K115" s="555">
        <v>63.16</v>
      </c>
      <c r="L115" s="556"/>
      <c r="M115" s="552">
        <f t="shared" si="23"/>
        <v>0</v>
      </c>
      <c r="N115" s="557"/>
      <c r="O115" s="555"/>
      <c r="P115" s="555">
        <v>63.16</v>
      </c>
      <c r="Q115" s="556"/>
      <c r="R115" s="552">
        <f t="shared" si="24"/>
        <v>0</v>
      </c>
      <c r="S115" s="554"/>
      <c r="T115" s="555"/>
      <c r="U115" s="555">
        <v>63.16</v>
      </c>
      <c r="V115" s="556"/>
      <c r="W115" s="552">
        <f t="shared" si="26"/>
        <v>0</v>
      </c>
      <c r="X115" s="554"/>
      <c r="Y115" s="555"/>
      <c r="Z115" s="555">
        <v>63.16</v>
      </c>
      <c r="AA115" s="556"/>
      <c r="AB115" s="552">
        <f t="shared" si="28"/>
        <v>0</v>
      </c>
      <c r="AC115" s="407"/>
    </row>
    <row r="116" spans="1:29" ht="14.4" customHeight="1">
      <c r="A116" s="522"/>
      <c r="B116" s="526" t="s">
        <v>49</v>
      </c>
      <c r="C116" s="526" t="s">
        <v>21</v>
      </c>
      <c r="D116" s="554">
        <v>168</v>
      </c>
      <c r="E116" s="555"/>
      <c r="F116" s="555">
        <v>0.84</v>
      </c>
      <c r="G116" s="556"/>
      <c r="H116" s="552">
        <f t="shared" si="22"/>
        <v>141.12</v>
      </c>
      <c r="I116" s="557"/>
      <c r="J116" s="555"/>
      <c r="K116" s="555">
        <v>0.84</v>
      </c>
      <c r="L116" s="556"/>
      <c r="M116" s="552">
        <f t="shared" si="23"/>
        <v>0</v>
      </c>
      <c r="N116" s="557"/>
      <c r="O116" s="555"/>
      <c r="P116" s="555">
        <v>0.84</v>
      </c>
      <c r="Q116" s="556"/>
      <c r="R116" s="552">
        <f t="shared" si="24"/>
        <v>0</v>
      </c>
      <c r="S116" s="554"/>
      <c r="T116" s="555"/>
      <c r="U116" s="555">
        <v>0.84</v>
      </c>
      <c r="V116" s="556"/>
      <c r="W116" s="552">
        <f t="shared" si="26"/>
        <v>0</v>
      </c>
      <c r="X116" s="554"/>
      <c r="Y116" s="555"/>
      <c r="Z116" s="555">
        <v>0.84</v>
      </c>
      <c r="AA116" s="556"/>
      <c r="AB116" s="552">
        <f t="shared" si="28"/>
        <v>0</v>
      </c>
      <c r="AC116" s="407"/>
    </row>
    <row r="117" spans="1:29" ht="14.4" customHeight="1">
      <c r="A117" s="522"/>
      <c r="B117" s="526" t="s">
        <v>98</v>
      </c>
      <c r="C117" s="526" t="s">
        <v>21</v>
      </c>
      <c r="D117" s="554">
        <f>D112*17</f>
        <v>357.68</v>
      </c>
      <c r="E117" s="555"/>
      <c r="F117" s="555">
        <v>0.33</v>
      </c>
      <c r="G117" s="556"/>
      <c r="H117" s="552">
        <f t="shared" si="22"/>
        <v>118.03440000000001</v>
      </c>
      <c r="I117" s="557"/>
      <c r="J117" s="555"/>
      <c r="K117" s="555">
        <v>0.33</v>
      </c>
      <c r="L117" s="556"/>
      <c r="M117" s="552">
        <f t="shared" si="23"/>
        <v>0</v>
      </c>
      <c r="N117" s="557"/>
      <c r="O117" s="555"/>
      <c r="P117" s="555">
        <v>0.33</v>
      </c>
      <c r="Q117" s="556"/>
      <c r="R117" s="552">
        <f t="shared" si="24"/>
        <v>0</v>
      </c>
      <c r="S117" s="554"/>
      <c r="T117" s="555"/>
      <c r="U117" s="555">
        <v>0.33</v>
      </c>
      <c r="V117" s="556"/>
      <c r="W117" s="552">
        <f t="shared" si="26"/>
        <v>0</v>
      </c>
      <c r="X117" s="554"/>
      <c r="Y117" s="555"/>
      <c r="Z117" s="555">
        <v>0.33</v>
      </c>
      <c r="AA117" s="556"/>
      <c r="AB117" s="552">
        <f t="shared" si="28"/>
        <v>0</v>
      </c>
      <c r="AC117" s="407"/>
    </row>
    <row r="118" spans="1:29" ht="14.4" customHeight="1">
      <c r="A118" s="522"/>
      <c r="B118" s="526" t="s">
        <v>51</v>
      </c>
      <c r="C118" s="526" t="s">
        <v>21</v>
      </c>
      <c r="D118" s="554">
        <f>D112*20</f>
        <v>420.79999999999995</v>
      </c>
      <c r="E118" s="555"/>
      <c r="F118" s="555">
        <v>0.23</v>
      </c>
      <c r="G118" s="556"/>
      <c r="H118" s="552">
        <f t="shared" si="22"/>
        <v>96.783999999999992</v>
      </c>
      <c r="I118" s="557"/>
      <c r="J118" s="555"/>
      <c r="K118" s="555">
        <v>0.23</v>
      </c>
      <c r="L118" s="556"/>
      <c r="M118" s="552">
        <f t="shared" si="23"/>
        <v>0</v>
      </c>
      <c r="N118" s="557"/>
      <c r="O118" s="555"/>
      <c r="P118" s="555">
        <v>0.23</v>
      </c>
      <c r="Q118" s="556"/>
      <c r="R118" s="552">
        <f t="shared" si="24"/>
        <v>0</v>
      </c>
      <c r="S118" s="554"/>
      <c r="T118" s="555"/>
      <c r="U118" s="555">
        <v>0.23</v>
      </c>
      <c r="V118" s="556"/>
      <c r="W118" s="552">
        <f t="shared" si="26"/>
        <v>0</v>
      </c>
      <c r="X118" s="554"/>
      <c r="Y118" s="555"/>
      <c r="Z118" s="555">
        <v>0.23</v>
      </c>
      <c r="AA118" s="556"/>
      <c r="AB118" s="552">
        <f t="shared" si="28"/>
        <v>0</v>
      </c>
      <c r="AC118" s="407"/>
    </row>
    <row r="119" spans="1:29" ht="31.2" customHeight="1">
      <c r="A119" s="481"/>
      <c r="B119" s="500" t="s">
        <v>205</v>
      </c>
      <c r="C119" s="496" t="s">
        <v>37</v>
      </c>
      <c r="D119" s="497">
        <v>8.6999999999999993</v>
      </c>
      <c r="E119" s="497">
        <v>450</v>
      </c>
      <c r="F119" s="497"/>
      <c r="G119" s="497">
        <f>D119*E119</f>
        <v>3914.9999999999995</v>
      </c>
      <c r="H119" s="497"/>
      <c r="I119" s="497"/>
      <c r="J119" s="497">
        <v>450</v>
      </c>
      <c r="K119" s="497"/>
      <c r="L119" s="497">
        <f>I119*J119</f>
        <v>0</v>
      </c>
      <c r="M119" s="497"/>
      <c r="N119" s="497"/>
      <c r="O119" s="497">
        <v>450</v>
      </c>
      <c r="P119" s="497"/>
      <c r="Q119" s="497">
        <f>N119*O119</f>
        <v>0</v>
      </c>
      <c r="R119" s="497"/>
      <c r="S119" s="497"/>
      <c r="T119" s="497">
        <v>450</v>
      </c>
      <c r="U119" s="497"/>
      <c r="V119" s="497">
        <f>S119*T119</f>
        <v>0</v>
      </c>
      <c r="W119" s="497"/>
      <c r="X119" s="497">
        <v>8.6999999999999993</v>
      </c>
      <c r="Y119" s="497">
        <v>450</v>
      </c>
      <c r="Z119" s="497"/>
      <c r="AA119" s="497">
        <f>X119*Y119</f>
        <v>3914.9999999999995</v>
      </c>
      <c r="AB119" s="497"/>
      <c r="AC119" s="407"/>
    </row>
    <row r="120" spans="1:29" ht="15.6" customHeight="1">
      <c r="A120" s="481"/>
      <c r="B120" s="498" t="s">
        <v>206</v>
      </c>
      <c r="C120" s="496" t="s">
        <v>21</v>
      </c>
      <c r="D120" s="497"/>
      <c r="E120" s="497"/>
      <c r="F120" s="497"/>
      <c r="G120" s="497"/>
      <c r="H120" s="497">
        <f>D120*F120</f>
        <v>0</v>
      </c>
      <c r="I120" s="497"/>
      <c r="J120" s="497"/>
      <c r="K120" s="497"/>
      <c r="L120" s="497"/>
      <c r="M120" s="497">
        <f>I120*K120</f>
        <v>0</v>
      </c>
      <c r="N120" s="497"/>
      <c r="O120" s="497"/>
      <c r="P120" s="497"/>
      <c r="Q120" s="497"/>
      <c r="R120" s="497">
        <f>N120*P120</f>
        <v>0</v>
      </c>
      <c r="S120" s="497"/>
      <c r="T120" s="497"/>
      <c r="U120" s="497"/>
      <c r="V120" s="497"/>
      <c r="W120" s="497">
        <f>S120*U120</f>
        <v>0</v>
      </c>
      <c r="X120" s="497"/>
      <c r="Y120" s="497"/>
      <c r="Z120" s="497"/>
      <c r="AA120" s="497"/>
      <c r="AB120" s="497">
        <f>X120*Z120</f>
        <v>0</v>
      </c>
      <c r="AC120" s="407"/>
    </row>
    <row r="121" spans="1:29" ht="15.6" customHeight="1">
      <c r="A121" s="481"/>
      <c r="B121" s="498" t="s">
        <v>207</v>
      </c>
      <c r="C121" s="496" t="s">
        <v>145</v>
      </c>
      <c r="D121" s="497">
        <v>12</v>
      </c>
      <c r="E121" s="497"/>
      <c r="F121" s="497">
        <v>79.2</v>
      </c>
      <c r="G121" s="497"/>
      <c r="H121" s="497">
        <f>D121*F121</f>
        <v>950.40000000000009</v>
      </c>
      <c r="I121" s="497"/>
      <c r="J121" s="497"/>
      <c r="K121" s="497">
        <v>79.2</v>
      </c>
      <c r="L121" s="497"/>
      <c r="M121" s="497">
        <f>I121*K121</f>
        <v>0</v>
      </c>
      <c r="N121" s="497"/>
      <c r="O121" s="497"/>
      <c r="P121" s="497">
        <v>79.2</v>
      </c>
      <c r="Q121" s="497"/>
      <c r="R121" s="497">
        <f>N121*P121</f>
        <v>0</v>
      </c>
      <c r="S121" s="497"/>
      <c r="T121" s="497"/>
      <c r="U121" s="497">
        <v>79.2</v>
      </c>
      <c r="V121" s="497"/>
      <c r="W121" s="497">
        <f>S121*U121</f>
        <v>0</v>
      </c>
      <c r="X121" s="497">
        <v>12</v>
      </c>
      <c r="Y121" s="497"/>
      <c r="Z121" s="497">
        <v>79.2</v>
      </c>
      <c r="AA121" s="497"/>
      <c r="AB121" s="497">
        <f>X121*Z121</f>
        <v>950.40000000000009</v>
      </c>
      <c r="AC121" s="407"/>
    </row>
    <row r="122" spans="1:29" ht="31.2" customHeight="1">
      <c r="A122" s="481"/>
      <c r="B122" s="500" t="s">
        <v>208</v>
      </c>
      <c r="C122" s="496" t="s">
        <v>37</v>
      </c>
      <c r="D122" s="497">
        <v>40.299999999999997</v>
      </c>
      <c r="E122" s="497">
        <v>650</v>
      </c>
      <c r="F122" s="497"/>
      <c r="G122" s="497">
        <f>D122*E122</f>
        <v>26194.999999999996</v>
      </c>
      <c r="H122" s="497"/>
      <c r="I122" s="497"/>
      <c r="J122" s="497">
        <v>450</v>
      </c>
      <c r="K122" s="497"/>
      <c r="L122" s="497">
        <f>I122*J122</f>
        <v>0</v>
      </c>
      <c r="M122" s="497"/>
      <c r="N122" s="497"/>
      <c r="O122" s="497">
        <v>650</v>
      </c>
      <c r="P122" s="497"/>
      <c r="Q122" s="497">
        <f>N122*O122</f>
        <v>0</v>
      </c>
      <c r="R122" s="497"/>
      <c r="S122" s="497"/>
      <c r="T122" s="497">
        <v>650</v>
      </c>
      <c r="U122" s="497"/>
      <c r="V122" s="497">
        <f>S122*T122</f>
        <v>0</v>
      </c>
      <c r="W122" s="497"/>
      <c r="X122" s="497">
        <v>80.5</v>
      </c>
      <c r="Y122" s="497">
        <v>650</v>
      </c>
      <c r="Z122" s="497"/>
      <c r="AA122" s="497">
        <f>X122*Y122</f>
        <v>52325</v>
      </c>
      <c r="AB122" s="497"/>
      <c r="AC122" s="407"/>
    </row>
    <row r="123" spans="1:29" ht="15.6" customHeight="1">
      <c r="A123" s="481"/>
      <c r="B123" s="498" t="s">
        <v>206</v>
      </c>
      <c r="C123" s="496" t="s">
        <v>21</v>
      </c>
      <c r="D123" s="497"/>
      <c r="E123" s="497"/>
      <c r="F123" s="497"/>
      <c r="G123" s="497"/>
      <c r="H123" s="497">
        <f>D123*F123</f>
        <v>0</v>
      </c>
      <c r="I123" s="497"/>
      <c r="J123" s="497"/>
      <c r="K123" s="497"/>
      <c r="L123" s="497"/>
      <c r="M123" s="497">
        <f>I123*K123</f>
        <v>0</v>
      </c>
      <c r="N123" s="497"/>
      <c r="O123" s="497"/>
      <c r="P123" s="497"/>
      <c r="Q123" s="497"/>
      <c r="R123" s="497">
        <f>N123*P123</f>
        <v>0</v>
      </c>
      <c r="S123" s="497"/>
      <c r="T123" s="497"/>
      <c r="U123" s="497"/>
      <c r="V123" s="497"/>
      <c r="W123" s="497">
        <f>S123*U123</f>
        <v>0</v>
      </c>
      <c r="X123" s="497"/>
      <c r="Y123" s="497"/>
      <c r="Z123" s="497"/>
      <c r="AA123" s="497"/>
      <c r="AB123" s="497">
        <f>X123*Z123</f>
        <v>0</v>
      </c>
      <c r="AC123" s="407"/>
    </row>
    <row r="124" spans="1:29" ht="15.6" customHeight="1">
      <c r="A124" s="481"/>
      <c r="B124" s="498" t="s">
        <v>462</v>
      </c>
      <c r="C124" s="496" t="s">
        <v>145</v>
      </c>
      <c r="D124" s="497"/>
      <c r="E124" s="497"/>
      <c r="F124" s="497"/>
      <c r="G124" s="497"/>
      <c r="H124" s="497"/>
      <c r="I124" s="497"/>
      <c r="J124" s="497"/>
      <c r="K124" s="497"/>
      <c r="L124" s="497"/>
      <c r="M124" s="497"/>
      <c r="N124" s="497"/>
      <c r="O124" s="497"/>
      <c r="P124" s="497"/>
      <c r="Q124" s="497"/>
      <c r="R124" s="497"/>
      <c r="S124" s="497"/>
      <c r="T124" s="497"/>
      <c r="U124" s="497"/>
      <c r="V124" s="497"/>
      <c r="W124" s="497"/>
      <c r="X124" s="497">
        <f>52+10</f>
        <v>62</v>
      </c>
      <c r="Y124" s="497"/>
      <c r="Z124" s="497">
        <v>59.8</v>
      </c>
      <c r="AA124" s="497"/>
      <c r="AB124" s="497">
        <f>X124*Z124</f>
        <v>3707.6</v>
      </c>
      <c r="AC124" s="407"/>
    </row>
    <row r="125" spans="1:29" ht="15.6" customHeight="1">
      <c r="A125" s="481"/>
      <c r="B125" s="498" t="s">
        <v>207</v>
      </c>
      <c r="C125" s="496" t="s">
        <v>145</v>
      </c>
      <c r="D125" s="497">
        <v>78</v>
      </c>
      <c r="E125" s="497"/>
      <c r="F125" s="497">
        <v>79.2</v>
      </c>
      <c r="G125" s="497"/>
      <c r="H125" s="497">
        <f>D125*F125</f>
        <v>6177.6</v>
      </c>
      <c r="I125" s="497"/>
      <c r="J125" s="497"/>
      <c r="K125" s="497">
        <v>79.2</v>
      </c>
      <c r="L125" s="497"/>
      <c r="M125" s="497">
        <f>I125*K125</f>
        <v>0</v>
      </c>
      <c r="N125" s="497"/>
      <c r="O125" s="497"/>
      <c r="P125" s="497">
        <v>79.2</v>
      </c>
      <c r="Q125" s="497"/>
      <c r="R125" s="497">
        <f>N125*P125</f>
        <v>0</v>
      </c>
      <c r="S125" s="497"/>
      <c r="T125" s="497"/>
      <c r="U125" s="497">
        <v>79.2</v>
      </c>
      <c r="V125" s="497"/>
      <c r="W125" s="497">
        <f>S125*U125</f>
        <v>0</v>
      </c>
      <c r="X125" s="497">
        <v>78</v>
      </c>
      <c r="Y125" s="497"/>
      <c r="Z125" s="497">
        <v>79.2</v>
      </c>
      <c r="AA125" s="497"/>
      <c r="AB125" s="497">
        <f>X125*Z125</f>
        <v>6177.6</v>
      </c>
      <c r="AC125" s="407"/>
    </row>
    <row r="126" spans="1:29" ht="15.6" customHeight="1">
      <c r="A126" s="481"/>
      <c r="B126" s="495" t="s">
        <v>209</v>
      </c>
      <c r="C126" s="496" t="s">
        <v>37</v>
      </c>
      <c r="D126" s="497">
        <v>8.6999999999999993</v>
      </c>
      <c r="E126" s="497">
        <v>250</v>
      </c>
      <c r="F126" s="497"/>
      <c r="G126" s="497">
        <f>D126*E126</f>
        <v>2175</v>
      </c>
      <c r="H126" s="497"/>
      <c r="I126" s="497"/>
      <c r="J126" s="497">
        <v>250</v>
      </c>
      <c r="K126" s="497"/>
      <c r="L126" s="497">
        <f>I126*J126</f>
        <v>0</v>
      </c>
      <c r="M126" s="497"/>
      <c r="N126" s="497"/>
      <c r="O126" s="497">
        <v>250</v>
      </c>
      <c r="P126" s="497"/>
      <c r="Q126" s="497">
        <f>N126*O126</f>
        <v>0</v>
      </c>
      <c r="R126" s="497"/>
      <c r="S126" s="497"/>
      <c r="T126" s="497">
        <v>250</v>
      </c>
      <c r="U126" s="497"/>
      <c r="V126" s="497">
        <f>S126*T126</f>
        <v>0</v>
      </c>
      <c r="W126" s="497"/>
      <c r="X126" s="497">
        <v>89.2</v>
      </c>
      <c r="Y126" s="497">
        <v>250</v>
      </c>
      <c r="Z126" s="497"/>
      <c r="AA126" s="497">
        <f>X126*Y126</f>
        <v>22300</v>
      </c>
      <c r="AB126" s="497"/>
      <c r="AC126" s="407"/>
    </row>
    <row r="127" spans="1:29" ht="15.6" customHeight="1">
      <c r="A127" s="481"/>
      <c r="B127" s="498" t="s">
        <v>463</v>
      </c>
      <c r="C127" s="496" t="s">
        <v>145</v>
      </c>
      <c r="D127" s="497">
        <v>8</v>
      </c>
      <c r="E127" s="497"/>
      <c r="F127" s="497">
        <v>79.2</v>
      </c>
      <c r="G127" s="497"/>
      <c r="H127" s="497">
        <f>D127*F127</f>
        <v>633.6</v>
      </c>
      <c r="I127" s="497"/>
      <c r="J127" s="497"/>
      <c r="K127" s="497">
        <v>79.2</v>
      </c>
      <c r="L127" s="497"/>
      <c r="M127" s="497">
        <f>I127*K127</f>
        <v>0</v>
      </c>
      <c r="N127" s="497"/>
      <c r="O127" s="497"/>
      <c r="P127" s="497">
        <v>79.2</v>
      </c>
      <c r="Q127" s="497"/>
      <c r="R127" s="497">
        <f>N127*P127</f>
        <v>0</v>
      </c>
      <c r="S127" s="497"/>
      <c r="T127" s="497"/>
      <c r="U127" s="497">
        <v>79.2</v>
      </c>
      <c r="V127" s="497"/>
      <c r="W127" s="497">
        <f>S127*U127</f>
        <v>0</v>
      </c>
      <c r="X127" s="497">
        <v>69</v>
      </c>
      <c r="Y127" s="497"/>
      <c r="Z127" s="497">
        <v>59.8</v>
      </c>
      <c r="AA127" s="497"/>
      <c r="AB127" s="497">
        <f>X127*Z127</f>
        <v>4126.2</v>
      </c>
      <c r="AC127" s="407"/>
    </row>
    <row r="128" spans="1:29" ht="15.6" customHeight="1">
      <c r="A128" s="481"/>
      <c r="B128" s="498" t="s">
        <v>207</v>
      </c>
      <c r="C128" s="496" t="s">
        <v>145</v>
      </c>
      <c r="D128" s="497">
        <v>8</v>
      </c>
      <c r="E128" s="497"/>
      <c r="F128" s="497">
        <v>79.2</v>
      </c>
      <c r="G128" s="497"/>
      <c r="H128" s="497">
        <f>D128*F128</f>
        <v>633.6</v>
      </c>
      <c r="I128" s="497"/>
      <c r="J128" s="497"/>
      <c r="K128" s="497">
        <v>79.2</v>
      </c>
      <c r="L128" s="497"/>
      <c r="M128" s="497">
        <f>I128*K128</f>
        <v>0</v>
      </c>
      <c r="N128" s="497"/>
      <c r="O128" s="497"/>
      <c r="P128" s="497">
        <v>79.2</v>
      </c>
      <c r="Q128" s="497"/>
      <c r="R128" s="497">
        <f>N128*P128</f>
        <v>0</v>
      </c>
      <c r="S128" s="497"/>
      <c r="T128" s="497"/>
      <c r="U128" s="497">
        <v>79.2</v>
      </c>
      <c r="V128" s="497"/>
      <c r="W128" s="497">
        <f>S128*U128</f>
        <v>0</v>
      </c>
      <c r="X128" s="497"/>
      <c r="Y128" s="497"/>
      <c r="Z128" s="497">
        <v>79.2</v>
      </c>
      <c r="AA128" s="497"/>
      <c r="AB128" s="497">
        <f>X128*Z128</f>
        <v>0</v>
      </c>
      <c r="AC128" s="407"/>
    </row>
    <row r="129" spans="1:29" ht="14.4" hidden="1" customHeight="1">
      <c r="A129" s="481"/>
      <c r="B129" s="558" t="s">
        <v>210</v>
      </c>
      <c r="C129" s="559" t="s">
        <v>21</v>
      </c>
      <c r="D129" s="554">
        <v>3</v>
      </c>
      <c r="E129" s="560">
        <v>90</v>
      </c>
      <c r="F129" s="560"/>
      <c r="G129" s="561">
        <f>D129*E129</f>
        <v>270</v>
      </c>
      <c r="H129" s="562"/>
      <c r="I129" s="554">
        <v>3</v>
      </c>
      <c r="J129" s="560">
        <v>90</v>
      </c>
      <c r="K129" s="560"/>
      <c r="L129" s="561">
        <f>I129*J129</f>
        <v>270</v>
      </c>
      <c r="M129" s="562"/>
      <c r="N129" s="557"/>
      <c r="O129" s="560">
        <v>90</v>
      </c>
      <c r="P129" s="560"/>
      <c r="Q129" s="561">
        <f>N129*O129</f>
        <v>0</v>
      </c>
      <c r="R129" s="562"/>
      <c r="S129" s="554"/>
      <c r="T129" s="560">
        <v>90</v>
      </c>
      <c r="U129" s="560"/>
      <c r="V129" s="561">
        <f>S129*T129</f>
        <v>0</v>
      </c>
      <c r="W129" s="562"/>
      <c r="X129" s="554"/>
      <c r="Y129" s="560">
        <v>90</v>
      </c>
      <c r="Z129" s="560"/>
      <c r="AA129" s="561">
        <f>X129*Y129</f>
        <v>0</v>
      </c>
      <c r="AB129" s="562"/>
      <c r="AC129" s="407"/>
    </row>
    <row r="130" spans="1:29" ht="24" customHeight="1">
      <c r="A130" s="481"/>
      <c r="B130" s="558" t="s">
        <v>211</v>
      </c>
      <c r="C130" s="559" t="s">
        <v>126</v>
      </c>
      <c r="D130" s="554">
        <v>30</v>
      </c>
      <c r="E130" s="560">
        <v>750</v>
      </c>
      <c r="F130" s="560"/>
      <c r="G130" s="561">
        <f>D130*E130</f>
        <v>22500</v>
      </c>
      <c r="H130" s="562"/>
      <c r="I130" s="554">
        <v>15</v>
      </c>
      <c r="J130" s="560">
        <v>750</v>
      </c>
      <c r="K130" s="560"/>
      <c r="L130" s="561">
        <f>I130*J130</f>
        <v>11250</v>
      </c>
      <c r="M130" s="562"/>
      <c r="N130" s="557"/>
      <c r="O130" s="560">
        <v>750</v>
      </c>
      <c r="P130" s="560"/>
      <c r="Q130" s="561">
        <f>N130*O130</f>
        <v>0</v>
      </c>
      <c r="R130" s="562"/>
      <c r="S130" s="554"/>
      <c r="T130" s="560">
        <v>750</v>
      </c>
      <c r="U130" s="560"/>
      <c r="V130" s="561">
        <f>S130*T130</f>
        <v>0</v>
      </c>
      <c r="W130" s="562"/>
      <c r="X130" s="554">
        <v>15</v>
      </c>
      <c r="Y130" s="560">
        <v>750</v>
      </c>
      <c r="Z130" s="560"/>
      <c r="AA130" s="561">
        <f>X130*Y130</f>
        <v>11250</v>
      </c>
      <c r="AB130" s="562"/>
      <c r="AC130" s="407"/>
    </row>
    <row r="131" spans="1:29" ht="25.5" customHeight="1">
      <c r="A131" s="522"/>
      <c r="B131" s="521" t="s">
        <v>127</v>
      </c>
      <c r="C131" s="563" t="s">
        <v>212</v>
      </c>
      <c r="D131" s="564"/>
      <c r="E131" s="565"/>
      <c r="F131" s="565"/>
      <c r="G131" s="565"/>
      <c r="H131" s="565">
        <v>3000</v>
      </c>
      <c r="I131" s="564"/>
      <c r="J131" s="565"/>
      <c r="K131" s="565"/>
      <c r="L131" s="565"/>
      <c r="M131" s="565">
        <v>3000</v>
      </c>
      <c r="N131" s="564">
        <v>1</v>
      </c>
      <c r="O131" s="565">
        <v>1</v>
      </c>
      <c r="P131" s="565"/>
      <c r="Q131" s="565"/>
      <c r="R131" s="565">
        <v>3000</v>
      </c>
      <c r="S131" s="564"/>
      <c r="T131" s="565"/>
      <c r="U131" s="565"/>
      <c r="V131" s="565"/>
      <c r="W131" s="565"/>
      <c r="X131" s="564">
        <v>1</v>
      </c>
      <c r="Y131" s="565"/>
      <c r="Z131" s="565"/>
      <c r="AA131" s="565"/>
      <c r="AB131" s="565">
        <v>3000</v>
      </c>
      <c r="AC131" s="407"/>
    </row>
    <row r="132" spans="1:29" ht="13.65" customHeight="1">
      <c r="A132" s="460"/>
      <c r="B132" s="682" t="s">
        <v>64</v>
      </c>
      <c r="C132" s="683"/>
      <c r="D132" s="683"/>
      <c r="E132" s="566"/>
      <c r="F132" s="567"/>
      <c r="G132" s="568">
        <f>SUM(G13:G131)</f>
        <v>283851.80000000005</v>
      </c>
      <c r="H132" s="569"/>
      <c r="I132" s="465"/>
      <c r="J132" s="566"/>
      <c r="K132" s="567"/>
      <c r="L132" s="568">
        <f>SUM(L13:L131)</f>
        <v>53607.600000000006</v>
      </c>
      <c r="M132" s="569"/>
      <c r="N132" s="465"/>
      <c r="O132" s="566"/>
      <c r="P132" s="567"/>
      <c r="Q132" s="568">
        <f>SUM(Q13:Q131)</f>
        <v>10772.480000000001</v>
      </c>
      <c r="R132" s="569"/>
      <c r="S132" s="506"/>
      <c r="T132" s="566"/>
      <c r="U132" s="567"/>
      <c r="V132" s="568">
        <f>SUM(V13:V131)</f>
        <v>55770</v>
      </c>
      <c r="W132" s="569"/>
      <c r="X132" s="466"/>
      <c r="Y132" s="566"/>
      <c r="Z132" s="567"/>
      <c r="AA132" s="568">
        <f>SUM(AA13:AA131)</f>
        <v>140622.79999999999</v>
      </c>
      <c r="AB132" s="569"/>
    </row>
    <row r="133" spans="1:29" ht="13.65" customHeight="1">
      <c r="A133" s="460"/>
      <c r="B133" s="682" t="s">
        <v>65</v>
      </c>
      <c r="C133" s="683"/>
      <c r="D133" s="683"/>
      <c r="E133" s="566"/>
      <c r="F133" s="567"/>
      <c r="G133" s="568"/>
      <c r="H133" s="569">
        <f>SUM(H13:H132)</f>
        <v>144268.27197333332</v>
      </c>
      <c r="I133" s="465"/>
      <c r="J133" s="566"/>
      <c r="K133" s="567"/>
      <c r="L133" s="568"/>
      <c r="M133" s="569">
        <f>SUM(M13:M132)</f>
        <v>20908.106400000004</v>
      </c>
      <c r="N133" s="465"/>
      <c r="O133" s="566"/>
      <c r="P133" s="567"/>
      <c r="Q133" s="568"/>
      <c r="R133" s="569">
        <f>SUM(R13:R132)</f>
        <v>10955.123333333335</v>
      </c>
      <c r="S133" s="506"/>
      <c r="T133" s="566"/>
      <c r="U133" s="567"/>
      <c r="V133" s="568"/>
      <c r="W133" s="569">
        <f>SUM(W13:W132)</f>
        <v>35031.782950000008</v>
      </c>
      <c r="X133" s="466"/>
      <c r="Y133" s="566"/>
      <c r="Z133" s="567"/>
      <c r="AA133" s="568"/>
      <c r="AB133" s="569">
        <f>SUM(AB13:AB132)</f>
        <v>38994.646213333326</v>
      </c>
    </row>
    <row r="134" spans="1:29" ht="13.65" customHeight="1">
      <c r="A134" s="460"/>
      <c r="B134" s="682" t="s">
        <v>66</v>
      </c>
      <c r="C134" s="683"/>
      <c r="D134" s="683"/>
      <c r="E134" s="570">
        <v>0.1</v>
      </c>
      <c r="F134" s="567"/>
      <c r="G134" s="567"/>
      <c r="H134" s="566">
        <f>H133*E134</f>
        <v>14426.827197333332</v>
      </c>
      <c r="I134" s="465"/>
      <c r="J134" s="570">
        <v>0.1</v>
      </c>
      <c r="K134" s="567"/>
      <c r="L134" s="567"/>
      <c r="M134" s="566">
        <f>M133*J134</f>
        <v>2090.8106400000006</v>
      </c>
      <c r="N134" s="465"/>
      <c r="O134" s="570">
        <v>0.1</v>
      </c>
      <c r="P134" s="567"/>
      <c r="Q134" s="567"/>
      <c r="R134" s="566">
        <f>R133*O134</f>
        <v>1095.5123333333336</v>
      </c>
      <c r="S134" s="506"/>
      <c r="T134" s="570">
        <v>0.1</v>
      </c>
      <c r="U134" s="567"/>
      <c r="V134" s="567"/>
      <c r="W134" s="566">
        <f>W133*T134</f>
        <v>3503.1782950000011</v>
      </c>
      <c r="X134" s="466"/>
      <c r="Y134" s="570">
        <v>0.1</v>
      </c>
      <c r="Z134" s="567"/>
      <c r="AA134" s="567"/>
      <c r="AB134" s="566">
        <f>AB133*Y134</f>
        <v>3899.4646213333326</v>
      </c>
    </row>
    <row r="135" spans="1:29" ht="13.65" customHeight="1">
      <c r="A135" s="460"/>
      <c r="B135" s="682" t="s">
        <v>67</v>
      </c>
      <c r="C135" s="683"/>
      <c r="D135" s="683"/>
      <c r="E135" s="570">
        <v>0.1</v>
      </c>
      <c r="F135" s="567"/>
      <c r="G135" s="567">
        <f>G132*E135</f>
        <v>28385.180000000008</v>
      </c>
      <c r="H135" s="566"/>
      <c r="I135" s="465"/>
      <c r="J135" s="570">
        <v>0.1</v>
      </c>
      <c r="K135" s="567"/>
      <c r="L135" s="567">
        <f>L132*J135</f>
        <v>5360.7600000000011</v>
      </c>
      <c r="M135" s="566"/>
      <c r="N135" s="465"/>
      <c r="O135" s="570">
        <v>0.1</v>
      </c>
      <c r="P135" s="567"/>
      <c r="Q135" s="567">
        <f>Q132*O135</f>
        <v>1077.2480000000003</v>
      </c>
      <c r="R135" s="566"/>
      <c r="S135" s="506"/>
      <c r="T135" s="570">
        <v>0.1</v>
      </c>
      <c r="U135" s="567"/>
      <c r="V135" s="567">
        <f>V132*T135</f>
        <v>5577</v>
      </c>
      <c r="W135" s="566"/>
      <c r="X135" s="466"/>
      <c r="Y135" s="570">
        <v>0.1</v>
      </c>
      <c r="Z135" s="567"/>
      <c r="AA135" s="567">
        <f>AA132*Y135</f>
        <v>14062.279999999999</v>
      </c>
      <c r="AB135" s="566"/>
    </row>
    <row r="136" spans="1:29" ht="13.65" customHeight="1">
      <c r="A136" s="460"/>
      <c r="B136" s="682" t="s">
        <v>68</v>
      </c>
      <c r="C136" s="683"/>
      <c r="D136" s="683"/>
      <c r="E136" s="571">
        <v>0.05</v>
      </c>
      <c r="F136" s="567"/>
      <c r="G136" s="567"/>
      <c r="H136" s="566">
        <f>H133*E136</f>
        <v>7213.4135986666661</v>
      </c>
      <c r="I136" s="465"/>
      <c r="J136" s="571">
        <v>0.05</v>
      </c>
      <c r="K136" s="567"/>
      <c r="L136" s="567"/>
      <c r="M136" s="566">
        <f>M133*J136</f>
        <v>1045.4053200000003</v>
      </c>
      <c r="N136" s="465"/>
      <c r="O136" s="571">
        <v>0.05</v>
      </c>
      <c r="P136" s="567"/>
      <c r="Q136" s="567"/>
      <c r="R136" s="566">
        <f>R133*O136</f>
        <v>547.75616666666679</v>
      </c>
      <c r="S136" s="506"/>
      <c r="T136" s="571">
        <v>0.05</v>
      </c>
      <c r="U136" s="567"/>
      <c r="V136" s="567"/>
      <c r="W136" s="566">
        <f>W133*T136</f>
        <v>1751.5891475000005</v>
      </c>
      <c r="X136" s="466"/>
      <c r="Y136" s="571">
        <v>0.05</v>
      </c>
      <c r="Z136" s="567"/>
      <c r="AA136" s="567"/>
      <c r="AB136" s="566">
        <f>AB133*Y136</f>
        <v>1949.7323106666663</v>
      </c>
    </row>
    <row r="137" spans="1:29" ht="13.65" customHeight="1">
      <c r="A137" s="460"/>
      <c r="B137" s="684" t="s">
        <v>69</v>
      </c>
      <c r="C137" s="685"/>
      <c r="D137" s="685"/>
      <c r="E137" s="685"/>
      <c r="F137" s="685"/>
      <c r="G137" s="685"/>
      <c r="H137" s="572">
        <f>SUM(G132:G136,H132:H136)</f>
        <v>478145.49276933336</v>
      </c>
      <c r="I137" s="465"/>
      <c r="J137" s="465"/>
      <c r="K137" s="465"/>
      <c r="L137" s="465"/>
      <c r="M137" s="572">
        <f>SUM(L132:L136,M132:M136)</f>
        <v>83012.682360000006</v>
      </c>
      <c r="N137" s="465"/>
      <c r="O137" s="465"/>
      <c r="P137" s="465"/>
      <c r="Q137" s="465"/>
      <c r="R137" s="572">
        <f>SUM(Q132:Q136,R132:R136)</f>
        <v>24448.119833333334</v>
      </c>
      <c r="S137" s="506"/>
      <c r="T137" s="506"/>
      <c r="U137" s="466"/>
      <c r="V137" s="466"/>
      <c r="W137" s="572">
        <f>SUM(V132:V136,W132:W136)</f>
        <v>101633.55039250001</v>
      </c>
      <c r="X137" s="466"/>
      <c r="Y137" s="466"/>
      <c r="Z137" s="466"/>
      <c r="AA137" s="466"/>
      <c r="AB137" s="572">
        <f>SUM(AA132:AA136,AB132:AB136)</f>
        <v>199528.92314533333</v>
      </c>
    </row>
    <row r="138" spans="1:29" ht="13.65" customHeight="1">
      <c r="A138" s="460"/>
      <c r="B138" s="470" t="s">
        <v>213</v>
      </c>
      <c r="C138" s="471"/>
      <c r="D138" s="524"/>
      <c r="E138" s="524"/>
      <c r="F138" s="471"/>
      <c r="G138" s="573">
        <v>0.2</v>
      </c>
      <c r="H138" s="574">
        <f>(H133+H134+H136+G132+G135)/5</f>
        <v>95629.098553866672</v>
      </c>
      <c r="I138" s="524"/>
      <c r="J138" s="524"/>
      <c r="K138" s="471"/>
      <c r="L138" s="573">
        <v>0.2</v>
      </c>
      <c r="M138" s="574">
        <f>(M133+M134+M136+L132+L135)/5</f>
        <v>16602.536472</v>
      </c>
      <c r="N138" s="524"/>
      <c r="O138" s="524"/>
      <c r="P138" s="471"/>
      <c r="Q138" s="573">
        <v>0.2</v>
      </c>
      <c r="R138" s="574">
        <f>(R133+R134+R136+Q132+Q135)/5</f>
        <v>4889.6239666666679</v>
      </c>
      <c r="S138" s="524"/>
      <c r="T138" s="524"/>
      <c r="U138" s="471"/>
      <c r="V138" s="573">
        <v>0.2</v>
      </c>
      <c r="W138" s="574">
        <f>(W133+W134+W136+V132+V135)/5</f>
        <v>20326.7100785</v>
      </c>
      <c r="X138" s="524"/>
      <c r="Y138" s="524"/>
      <c r="Z138" s="471"/>
      <c r="AA138" s="573">
        <v>0.2</v>
      </c>
      <c r="AB138" s="574">
        <f>(AB133+AB134+AB136+AA132+AA135)/5</f>
        <v>39905.784629066664</v>
      </c>
    </row>
    <row r="139" spans="1:29" s="409" customFormat="1" ht="13.65" customHeight="1">
      <c r="A139" s="460"/>
      <c r="B139" s="680" t="s">
        <v>71</v>
      </c>
      <c r="C139" s="681"/>
      <c r="D139" s="681"/>
      <c r="E139" s="681"/>
      <c r="F139" s="681"/>
      <c r="G139" s="681"/>
      <c r="H139" s="575">
        <f>SUM(H137:H138)</f>
        <v>573774.59132320003</v>
      </c>
      <c r="I139" s="465"/>
      <c r="J139" s="465"/>
      <c r="K139" s="465"/>
      <c r="L139" s="465"/>
      <c r="M139" s="575">
        <f>SUM(M137:M138)</f>
        <v>99615.218832000013</v>
      </c>
      <c r="N139" s="465"/>
      <c r="O139" s="465"/>
      <c r="P139" s="465"/>
      <c r="Q139" s="465"/>
      <c r="R139" s="575">
        <f>SUM(R137:R138)</f>
        <v>29337.743800000004</v>
      </c>
      <c r="S139" s="506"/>
      <c r="T139" s="506"/>
      <c r="U139" s="466"/>
      <c r="V139" s="466"/>
      <c r="W139" s="575">
        <f>SUM(W137:W138)</f>
        <v>121960.26047100002</v>
      </c>
      <c r="X139" s="466"/>
      <c r="Y139" s="466"/>
      <c r="Z139" s="466"/>
      <c r="AA139" s="466"/>
      <c r="AB139" s="575">
        <f>SUM(AB137:AB138)</f>
        <v>239434.70777440001</v>
      </c>
    </row>
    <row r="140" spans="1:29" s="409" customFormat="1" ht="13.5" customHeight="1">
      <c r="A140" s="238"/>
      <c r="B140" s="238"/>
      <c r="C140" s="238"/>
      <c r="D140" s="238"/>
      <c r="E140" s="238"/>
      <c r="F140" s="238"/>
      <c r="G140" s="238"/>
      <c r="H140" s="238"/>
      <c r="I140" s="238"/>
      <c r="J140" s="238"/>
      <c r="K140" s="238"/>
      <c r="L140" s="238"/>
      <c r="M140" s="238"/>
      <c r="N140" s="238"/>
      <c r="O140" s="238"/>
      <c r="P140" s="238"/>
      <c r="Q140" s="238"/>
      <c r="R140" s="238"/>
      <c r="S140" s="238"/>
      <c r="T140" s="238"/>
      <c r="U140" s="238"/>
      <c r="V140" s="238"/>
      <c r="W140" s="238"/>
      <c r="X140" s="238"/>
      <c r="Y140" s="238"/>
      <c r="Z140" s="238"/>
      <c r="AA140" s="238"/>
      <c r="AB140" s="238"/>
    </row>
    <row r="141" spans="1:29" s="409" customFormat="1" ht="12.75" customHeight="1">
      <c r="A141" s="411"/>
      <c r="B141" s="412" t="s">
        <v>129</v>
      </c>
      <c r="C141" s="413"/>
      <c r="D141" s="422"/>
      <c r="E141" s="422"/>
      <c r="F141" s="238"/>
      <c r="G141" s="238"/>
      <c r="H141" s="238"/>
      <c r="I141" s="422"/>
      <c r="J141" s="422"/>
      <c r="K141" s="238"/>
      <c r="L141" s="238"/>
      <c r="M141" s="238"/>
      <c r="N141" s="422"/>
      <c r="O141" s="422"/>
      <c r="P141" s="238"/>
      <c r="Q141" s="238"/>
      <c r="R141" s="238"/>
      <c r="S141" s="422"/>
      <c r="T141" s="422"/>
      <c r="U141" s="238"/>
      <c r="V141" s="238"/>
      <c r="W141" s="238"/>
      <c r="X141" s="422"/>
      <c r="Y141" s="422"/>
      <c r="Z141" s="238"/>
      <c r="AA141" s="238"/>
      <c r="AB141" s="238"/>
    </row>
    <row r="142" spans="1:29" s="409" customFormat="1" ht="13.65" customHeight="1">
      <c r="A142" s="411"/>
      <c r="B142" s="416" t="s">
        <v>130</v>
      </c>
      <c r="C142" s="413"/>
      <c r="D142" s="422"/>
      <c r="E142" s="238"/>
      <c r="F142" s="238"/>
      <c r="G142" s="238"/>
      <c r="H142" s="238"/>
      <c r="I142" s="422"/>
      <c r="J142" s="238"/>
      <c r="K142" s="238"/>
      <c r="L142" s="238"/>
      <c r="M142" s="238"/>
      <c r="N142" s="422"/>
      <c r="O142" s="238"/>
      <c r="P142" s="238"/>
      <c r="Q142" s="238"/>
      <c r="R142" s="238"/>
      <c r="S142" s="422"/>
      <c r="T142" s="238"/>
      <c r="U142" s="238"/>
      <c r="V142" s="238"/>
      <c r="W142" s="238"/>
      <c r="X142" s="422"/>
      <c r="Y142" s="238"/>
      <c r="Z142" s="238"/>
      <c r="AA142" s="238"/>
      <c r="AB142" s="238"/>
    </row>
    <row r="143" spans="1:29" s="409" customFormat="1" ht="12.75" customHeight="1">
      <c r="A143" s="411"/>
      <c r="B143" s="416" t="s">
        <v>131</v>
      </c>
      <c r="C143" s="416" t="s">
        <v>132</v>
      </c>
      <c r="D143" s="422"/>
      <c r="E143" s="413"/>
      <c r="F143" s="238"/>
      <c r="G143" s="238"/>
      <c r="H143" s="238"/>
      <c r="I143" s="422"/>
      <c r="J143" s="413"/>
      <c r="K143" s="238"/>
      <c r="L143" s="238"/>
      <c r="M143" s="238"/>
      <c r="N143" s="422"/>
      <c r="O143" s="413"/>
      <c r="P143" s="238"/>
      <c r="Q143" s="238"/>
      <c r="R143" s="238"/>
      <c r="S143" s="422"/>
      <c r="T143" s="413"/>
      <c r="U143" s="238"/>
      <c r="V143" s="238"/>
      <c r="W143" s="238"/>
      <c r="X143" s="422"/>
      <c r="Y143" s="413"/>
      <c r="Z143" s="238"/>
      <c r="AA143" s="238"/>
      <c r="AB143" s="238"/>
    </row>
    <row r="144" spans="1:29" s="409" customFormat="1" ht="13.2" customHeight="1">
      <c r="A144" s="411"/>
      <c r="B144" s="419"/>
      <c r="C144" s="413"/>
      <c r="D144" s="422"/>
      <c r="E144" s="413"/>
      <c r="F144" s="238"/>
      <c r="G144" s="238"/>
      <c r="H144" s="238"/>
      <c r="I144" s="422"/>
      <c r="J144" s="413"/>
      <c r="K144" s="238"/>
      <c r="L144" s="238"/>
      <c r="M144" s="238"/>
      <c r="N144" s="422"/>
      <c r="O144" s="413"/>
      <c r="P144" s="238"/>
      <c r="Q144" s="238"/>
      <c r="R144" s="238"/>
      <c r="S144" s="422"/>
      <c r="T144" s="413"/>
      <c r="U144" s="238"/>
      <c r="V144" s="238"/>
      <c r="W144" s="238"/>
      <c r="X144" s="422"/>
      <c r="Y144" s="413"/>
      <c r="Z144" s="238"/>
      <c r="AA144" s="238"/>
      <c r="AB144" s="238"/>
    </row>
    <row r="145" spans="1:28" s="409" customFormat="1" ht="13.2" customHeight="1">
      <c r="A145" s="411"/>
      <c r="B145" s="419"/>
      <c r="C145" s="413"/>
      <c r="D145" s="422"/>
      <c r="E145" s="413"/>
      <c r="F145" s="238"/>
      <c r="G145" s="238"/>
      <c r="H145" s="238"/>
      <c r="I145" s="422"/>
      <c r="J145" s="413"/>
      <c r="K145" s="238"/>
      <c r="L145" s="238"/>
      <c r="M145" s="238"/>
      <c r="N145" s="422"/>
      <c r="O145" s="413"/>
      <c r="P145" s="238"/>
      <c r="Q145" s="238"/>
      <c r="R145" s="238"/>
      <c r="S145" s="422"/>
      <c r="T145" s="413"/>
      <c r="U145" s="238"/>
      <c r="V145" s="238"/>
      <c r="W145" s="238"/>
      <c r="X145" s="422"/>
      <c r="Y145" s="413"/>
      <c r="Z145" s="238"/>
      <c r="AA145" s="238"/>
      <c r="AB145" s="238"/>
    </row>
    <row r="146" spans="1:28" s="409" customFormat="1" ht="13.2" customHeight="1">
      <c r="A146" s="421"/>
      <c r="B146" s="422"/>
      <c r="C146" s="422"/>
      <c r="D146" s="422"/>
      <c r="E146" s="422"/>
      <c r="F146" s="238"/>
      <c r="G146" s="238"/>
      <c r="H146" s="238"/>
      <c r="I146" s="422"/>
      <c r="J146" s="422"/>
      <c r="K146" s="238"/>
      <c r="L146" s="238"/>
      <c r="M146" s="238"/>
      <c r="N146" s="422"/>
      <c r="O146" s="422"/>
      <c r="P146" s="238"/>
      <c r="Q146" s="238"/>
      <c r="R146" s="238"/>
      <c r="S146" s="422"/>
      <c r="T146" s="422"/>
      <c r="U146" s="238"/>
      <c r="V146" s="238"/>
      <c r="W146" s="238"/>
      <c r="X146" s="422"/>
      <c r="Y146" s="422"/>
      <c r="Z146" s="238"/>
      <c r="AA146" s="238"/>
      <c r="AB146" s="238"/>
    </row>
    <row r="147" spans="1:28" s="409" customFormat="1" ht="12.75" customHeight="1">
      <c r="A147" s="421"/>
      <c r="B147" s="412" t="s">
        <v>133</v>
      </c>
      <c r="C147" s="422"/>
      <c r="D147" s="422"/>
      <c r="E147" s="422"/>
      <c r="F147" s="238"/>
      <c r="G147" s="238"/>
      <c r="H147" s="238"/>
      <c r="I147" s="422"/>
      <c r="J147" s="422"/>
      <c r="K147" s="238"/>
      <c r="L147" s="238"/>
      <c r="M147" s="238"/>
      <c r="N147" s="422"/>
      <c r="O147" s="422"/>
      <c r="P147" s="238"/>
      <c r="Q147" s="238"/>
      <c r="R147" s="238"/>
      <c r="S147" s="422"/>
      <c r="T147" s="422"/>
      <c r="U147" s="238"/>
      <c r="V147" s="238"/>
      <c r="W147" s="238"/>
      <c r="X147" s="422"/>
      <c r="Y147" s="422"/>
      <c r="Z147" s="238"/>
      <c r="AA147" s="238"/>
      <c r="AB147" s="238"/>
    </row>
    <row r="148" spans="1:28" s="409" customFormat="1" ht="13.65" customHeight="1">
      <c r="A148" s="238"/>
      <c r="B148" s="416" t="s">
        <v>134</v>
      </c>
      <c r="C148" s="423" t="str">
        <f>C143</f>
        <v>_________________________     2021 р.</v>
      </c>
      <c r="D148" s="422"/>
      <c r="E148" s="238"/>
      <c r="F148" s="238"/>
      <c r="G148" s="238"/>
      <c r="H148" s="238"/>
      <c r="I148" s="422"/>
      <c r="J148" s="238"/>
      <c r="K148" s="238"/>
      <c r="L148" s="238"/>
      <c r="M148" s="238"/>
      <c r="N148" s="422"/>
      <c r="O148" s="238"/>
      <c r="P148" s="238"/>
      <c r="Q148" s="238"/>
      <c r="R148" s="238"/>
      <c r="S148" s="422"/>
      <c r="T148" s="238"/>
      <c r="U148" s="238"/>
      <c r="V148" s="238"/>
      <c r="W148" s="238"/>
      <c r="X148" s="422"/>
      <c r="Y148" s="238"/>
      <c r="Z148" s="238"/>
      <c r="AA148" s="238"/>
      <c r="AB148" s="238"/>
    </row>
    <row r="149" spans="1:28" s="409" customFormat="1" ht="13.2" customHeight="1">
      <c r="A149" s="238"/>
      <c r="B149" s="413"/>
      <c r="C149" s="413"/>
      <c r="D149" s="422"/>
      <c r="E149" s="413"/>
      <c r="F149" s="480"/>
      <c r="G149" s="238"/>
      <c r="H149" s="238"/>
      <c r="I149" s="422"/>
      <c r="J149" s="413"/>
      <c r="K149" s="480"/>
      <c r="L149" s="238"/>
      <c r="M149" s="238"/>
      <c r="N149" s="422"/>
      <c r="O149" s="413"/>
      <c r="P149" s="480"/>
      <c r="Q149" s="238"/>
      <c r="R149" s="238"/>
      <c r="S149" s="422"/>
      <c r="T149" s="413"/>
      <c r="U149" s="480"/>
      <c r="V149" s="238"/>
      <c r="W149" s="238"/>
      <c r="X149" s="422"/>
      <c r="Y149" s="413"/>
      <c r="Z149" s="480"/>
      <c r="AA149" s="238"/>
      <c r="AB149" s="238"/>
    </row>
    <row r="150" spans="1:28" s="409" customFormat="1" ht="14.4" customHeight="1">
      <c r="A150" s="424"/>
      <c r="B150" s="424"/>
      <c r="C150" s="424"/>
      <c r="D150" s="424"/>
      <c r="E150" s="424"/>
      <c r="F150" s="424"/>
      <c r="G150" s="424"/>
      <c r="H150" s="424"/>
      <c r="I150" s="424"/>
      <c r="J150" s="424"/>
      <c r="K150" s="424"/>
      <c r="L150" s="424"/>
      <c r="M150" s="424"/>
      <c r="N150" s="424"/>
      <c r="O150" s="424"/>
      <c r="P150" s="424"/>
      <c r="Q150" s="424"/>
      <c r="R150" s="424"/>
      <c r="S150" s="424"/>
      <c r="T150" s="424"/>
      <c r="U150" s="424"/>
      <c r="V150" s="424"/>
      <c r="W150" s="424"/>
      <c r="X150" s="424"/>
      <c r="Y150" s="424"/>
      <c r="Z150" s="424"/>
      <c r="AA150" s="424"/>
      <c r="AB150" s="424"/>
    </row>
    <row r="151" spans="1:28" s="409" customFormat="1" ht="14.4" customHeight="1">
      <c r="A151" s="424"/>
      <c r="B151" s="424"/>
      <c r="C151" s="424"/>
      <c r="D151" s="424"/>
      <c r="E151" s="424"/>
      <c r="F151" s="424"/>
      <c r="G151" s="424"/>
      <c r="H151" s="424"/>
      <c r="I151" s="424"/>
      <c r="J151" s="424"/>
      <c r="K151" s="424"/>
      <c r="L151" s="424"/>
      <c r="M151" s="424"/>
      <c r="N151" s="424"/>
      <c r="O151" s="424"/>
      <c r="P151" s="424"/>
      <c r="Q151" s="424"/>
      <c r="R151" s="424"/>
      <c r="S151" s="424"/>
      <c r="T151" s="424"/>
      <c r="U151" s="424"/>
      <c r="V151" s="424"/>
      <c r="W151" s="424"/>
      <c r="X151" s="424"/>
      <c r="Y151" s="424"/>
      <c r="Z151" s="424"/>
      <c r="AA151" s="424"/>
      <c r="AB151" s="424"/>
    </row>
    <row r="152" spans="1:28" s="409" customFormat="1" ht="13.5" customHeight="1">
      <c r="A152" s="238"/>
      <c r="B152" s="238"/>
      <c r="C152" s="238"/>
      <c r="D152" s="238"/>
      <c r="E152" s="238"/>
      <c r="F152" s="238"/>
      <c r="G152" s="238"/>
      <c r="H152" s="238"/>
      <c r="I152" s="238"/>
      <c r="J152" s="238"/>
      <c r="K152" s="238"/>
      <c r="L152" s="238"/>
      <c r="M152" s="238"/>
      <c r="N152" s="238"/>
      <c r="O152" s="238"/>
      <c r="P152" s="238"/>
      <c r="Q152" s="238"/>
      <c r="R152" s="238"/>
      <c r="S152" s="238"/>
      <c r="T152" s="238"/>
      <c r="U152" s="238"/>
      <c r="V152" s="238"/>
      <c r="W152" s="238"/>
      <c r="X152" s="238"/>
      <c r="Y152" s="238"/>
      <c r="Z152" s="238"/>
      <c r="AA152" s="238"/>
      <c r="AB152" s="238"/>
    </row>
    <row r="153" spans="1:28" s="409" customFormat="1" ht="13.5" customHeight="1">
      <c r="A153" s="238"/>
      <c r="B153" s="238"/>
      <c r="C153" s="238"/>
      <c r="D153" s="238"/>
      <c r="E153" s="238"/>
      <c r="F153" s="238"/>
      <c r="G153" s="238"/>
      <c r="H153" s="238"/>
      <c r="I153" s="238"/>
      <c r="J153" s="238"/>
      <c r="K153" s="238"/>
      <c r="L153" s="238"/>
      <c r="M153" s="238"/>
      <c r="N153" s="238"/>
      <c r="O153" s="238"/>
      <c r="P153" s="238"/>
      <c r="Q153" s="238"/>
      <c r="R153" s="238"/>
      <c r="S153" s="238"/>
      <c r="T153" s="238"/>
      <c r="U153" s="238"/>
      <c r="V153" s="238"/>
      <c r="W153" s="238"/>
      <c r="X153" s="238"/>
      <c r="Y153" s="238"/>
      <c r="Z153" s="238"/>
      <c r="AA153" s="238"/>
      <c r="AB153" s="238"/>
    </row>
    <row r="154" spans="1:28" s="409" customFormat="1" ht="13.5" customHeight="1">
      <c r="A154" s="424"/>
      <c r="B154" s="424"/>
      <c r="C154" s="424"/>
      <c r="D154" s="424"/>
      <c r="E154" s="424"/>
      <c r="F154" s="424"/>
      <c r="G154" s="424"/>
      <c r="H154" s="424"/>
      <c r="I154" s="424"/>
      <c r="J154" s="424"/>
      <c r="K154" s="424"/>
      <c r="L154" s="424"/>
      <c r="M154" s="424"/>
      <c r="N154" s="424"/>
      <c r="O154" s="424"/>
      <c r="P154" s="424"/>
      <c r="Q154" s="424"/>
      <c r="R154" s="424"/>
      <c r="S154" s="424"/>
      <c r="T154" s="424"/>
      <c r="U154" s="424"/>
      <c r="V154" s="424"/>
      <c r="W154" s="424"/>
      <c r="X154" s="424"/>
      <c r="Y154" s="424"/>
      <c r="Z154" s="424"/>
      <c r="AA154" s="424"/>
      <c r="AB154" s="424"/>
    </row>
    <row r="155" spans="1:28" s="409" customFormat="1" ht="13.5" customHeight="1">
      <c r="A155" s="424"/>
      <c r="B155" s="424"/>
      <c r="C155" s="424"/>
      <c r="D155" s="424"/>
      <c r="E155" s="424"/>
      <c r="F155" s="424"/>
      <c r="G155" s="424"/>
      <c r="H155" s="424"/>
      <c r="I155" s="424"/>
      <c r="J155" s="424"/>
      <c r="K155" s="424"/>
      <c r="L155" s="424"/>
      <c r="M155" s="424"/>
      <c r="N155" s="424"/>
      <c r="O155" s="424"/>
      <c r="P155" s="424"/>
      <c r="Q155" s="424"/>
      <c r="R155" s="424"/>
      <c r="S155" s="424"/>
      <c r="T155" s="424"/>
      <c r="U155" s="424"/>
      <c r="V155" s="424"/>
      <c r="W155" s="424"/>
      <c r="X155" s="424"/>
      <c r="Y155" s="424"/>
      <c r="Z155" s="424"/>
      <c r="AA155" s="424"/>
      <c r="AB155" s="424"/>
    </row>
    <row r="156" spans="1:28" s="409" customFormat="1" ht="13.5" customHeight="1">
      <c r="A156" s="238"/>
      <c r="B156" s="238"/>
      <c r="C156" s="238"/>
      <c r="D156" s="238"/>
      <c r="E156" s="238"/>
      <c r="F156" s="238"/>
      <c r="G156" s="238"/>
      <c r="H156" s="238"/>
      <c r="I156" s="238"/>
      <c r="J156" s="238"/>
      <c r="K156" s="238"/>
      <c r="L156" s="238"/>
      <c r="M156" s="238"/>
      <c r="N156" s="238"/>
      <c r="O156" s="238"/>
      <c r="P156" s="238"/>
      <c r="Q156" s="238"/>
      <c r="R156" s="238"/>
      <c r="S156" s="238"/>
      <c r="T156" s="238"/>
      <c r="U156" s="238"/>
      <c r="V156" s="238"/>
      <c r="W156" s="238"/>
      <c r="X156" s="238"/>
      <c r="Y156" s="238"/>
      <c r="Z156" s="238"/>
      <c r="AA156" s="238"/>
      <c r="AB156" s="238"/>
    </row>
    <row r="157" spans="1:28" s="409" customFormat="1" ht="13.5" customHeight="1">
      <c r="A157" s="238"/>
      <c r="B157" s="238"/>
      <c r="C157" s="238"/>
      <c r="D157" s="238"/>
      <c r="E157" s="238"/>
      <c r="F157" s="238"/>
      <c r="G157" s="238"/>
      <c r="H157" s="238"/>
      <c r="I157" s="238"/>
      <c r="J157" s="238"/>
      <c r="K157" s="238"/>
      <c r="L157" s="238"/>
      <c r="M157" s="238"/>
      <c r="N157" s="238"/>
      <c r="O157" s="238"/>
      <c r="P157" s="238"/>
      <c r="Q157" s="238"/>
      <c r="R157" s="238"/>
      <c r="S157" s="238"/>
      <c r="T157" s="238"/>
      <c r="U157" s="238"/>
      <c r="V157" s="238"/>
      <c r="W157" s="238"/>
      <c r="X157" s="238"/>
      <c r="Y157" s="238"/>
      <c r="Z157" s="238"/>
      <c r="AA157" s="238"/>
      <c r="AB157" s="238"/>
    </row>
    <row r="158" spans="1:28" s="409" customFormat="1" ht="13.5" customHeight="1">
      <c r="A158" s="238"/>
      <c r="B158" s="238"/>
      <c r="C158" s="238"/>
      <c r="D158" s="238"/>
      <c r="E158" s="238"/>
      <c r="F158" s="238"/>
      <c r="G158" s="238"/>
      <c r="H158" s="238"/>
      <c r="I158" s="238"/>
      <c r="J158" s="238"/>
      <c r="K158" s="238"/>
      <c r="L158" s="238"/>
      <c r="M158" s="238"/>
      <c r="N158" s="238"/>
      <c r="O158" s="238"/>
      <c r="P158" s="238"/>
      <c r="Q158" s="238"/>
      <c r="R158" s="238"/>
      <c r="S158" s="238"/>
      <c r="T158" s="238"/>
      <c r="U158" s="238"/>
      <c r="V158" s="238"/>
      <c r="W158" s="238"/>
      <c r="X158" s="238"/>
      <c r="Y158" s="238"/>
      <c r="Z158" s="238"/>
      <c r="AA158" s="238"/>
      <c r="AB158" s="238"/>
    </row>
    <row r="159" spans="1:28" s="409" customFormat="1" ht="13.5" customHeight="1">
      <c r="A159" s="424"/>
      <c r="B159" s="424"/>
      <c r="C159" s="424"/>
      <c r="D159" s="424"/>
      <c r="E159" s="424"/>
      <c r="F159" s="424"/>
      <c r="G159" s="424"/>
      <c r="H159" s="424"/>
      <c r="I159" s="424"/>
      <c r="J159" s="424"/>
      <c r="K159" s="424"/>
      <c r="L159" s="424"/>
      <c r="M159" s="424"/>
      <c r="N159" s="424"/>
      <c r="O159" s="424"/>
      <c r="P159" s="424"/>
      <c r="Q159" s="424"/>
      <c r="R159" s="424"/>
      <c r="S159" s="424"/>
      <c r="T159" s="424"/>
      <c r="U159" s="424"/>
      <c r="V159" s="424"/>
      <c r="W159" s="424"/>
      <c r="X159" s="424"/>
      <c r="Y159" s="424"/>
      <c r="Z159" s="424"/>
      <c r="AA159" s="424"/>
      <c r="AB159" s="424"/>
    </row>
    <row r="160" spans="1:28" s="409" customFormat="1" ht="15" customHeight="1"/>
  </sheetData>
  <mergeCells count="23">
    <mergeCell ref="X12:AB12"/>
    <mergeCell ref="A5:X5"/>
    <mergeCell ref="A1:X1"/>
    <mergeCell ref="A2:AA2"/>
    <mergeCell ref="A4:D4"/>
    <mergeCell ref="F8:H8"/>
    <mergeCell ref="Z8:AB8"/>
    <mergeCell ref="P8:R8"/>
    <mergeCell ref="N12:R12"/>
    <mergeCell ref="B136:D136"/>
    <mergeCell ref="B137:G137"/>
    <mergeCell ref="U8:W8"/>
    <mergeCell ref="B139:G139"/>
    <mergeCell ref="K8:M8"/>
    <mergeCell ref="I12:M12"/>
    <mergeCell ref="A11:H11"/>
    <mergeCell ref="B37:F42"/>
    <mergeCell ref="B132:D132"/>
    <mergeCell ref="B133:D133"/>
    <mergeCell ref="B134:D134"/>
    <mergeCell ref="B135:D135"/>
    <mergeCell ref="A10:H10"/>
    <mergeCell ref="A9:H9"/>
  </mergeCells>
  <pageMargins left="0.70866141732283472" right="0.70866141732283472" top="0.74803149606299213" bottom="0.74803149606299213" header="0.31496062992125984" footer="0.31496062992125984"/>
  <pageSetup scale="62" fitToHeight="2" orientation="portrait" r:id="rId1"/>
  <headerFooter>
    <oddFooter>&amp;C&amp;"Helvetica Neue,Regular"&amp;12&amp;K000000&amp;P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1"/>
  <sheetViews>
    <sheetView showGridLines="0" workbookViewId="0"/>
  </sheetViews>
  <sheetFormatPr defaultColWidth="8.88671875" defaultRowHeight="12.75" customHeight="1"/>
  <cols>
    <col min="1" max="1" width="4.6640625" style="5" customWidth="1"/>
    <col min="2" max="2" width="40.88671875" style="5" customWidth="1"/>
    <col min="3" max="3" width="9.109375" style="5" customWidth="1"/>
    <col min="4" max="4" width="9.88671875" style="5" customWidth="1"/>
    <col min="5" max="7" width="13.6640625" style="5" customWidth="1"/>
    <col min="8" max="8" width="17.44140625" style="5" customWidth="1"/>
    <col min="9" max="9" width="50.33203125" style="5" customWidth="1"/>
    <col min="10" max="10" width="5.44140625" style="5" customWidth="1"/>
    <col min="11" max="11" width="9.6640625" style="5" customWidth="1"/>
    <col min="12" max="27" width="8.88671875" style="5" customWidth="1"/>
    <col min="28" max="16384" width="8.88671875" style="5"/>
  </cols>
  <sheetData>
    <row r="1" spans="1:26" ht="13.5" customHeight="1">
      <c r="A1" s="275"/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6"/>
      <c r="X1" s="276"/>
      <c r="Y1" s="276"/>
      <c r="Z1" s="277"/>
    </row>
    <row r="2" spans="1:26" ht="18.75" customHeight="1">
      <c r="A2" s="712" t="s">
        <v>215</v>
      </c>
      <c r="B2" s="713"/>
      <c r="C2" s="713"/>
      <c r="D2" s="713"/>
      <c r="E2" s="713"/>
      <c r="F2" s="713"/>
      <c r="G2" s="713"/>
      <c r="H2" s="713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8"/>
      <c r="Y2" s="238"/>
      <c r="Z2" s="278"/>
    </row>
    <row r="3" spans="1:26" ht="13.65" customHeight="1">
      <c r="A3" s="712" t="s">
        <v>216</v>
      </c>
      <c r="B3" s="713"/>
      <c r="C3" s="713"/>
      <c r="D3" s="713"/>
      <c r="E3" s="713"/>
      <c r="F3" s="713"/>
      <c r="G3" s="713"/>
      <c r="H3" s="713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238"/>
      <c r="Z3" s="278"/>
    </row>
    <row r="4" spans="1:26" ht="13.65" customHeight="1">
      <c r="A4" s="712" t="s">
        <v>217</v>
      </c>
      <c r="B4" s="713"/>
      <c r="C4" s="713"/>
      <c r="D4" s="713"/>
      <c r="E4" s="713"/>
      <c r="F4" s="713"/>
      <c r="G4" s="713"/>
      <c r="H4" s="713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238"/>
      <c r="U4" s="238"/>
      <c r="V4" s="238"/>
      <c r="W4" s="238"/>
      <c r="X4" s="238"/>
      <c r="Y4" s="238"/>
      <c r="Z4" s="278"/>
    </row>
    <row r="5" spans="1:26" ht="13.95" customHeight="1">
      <c r="A5" s="279"/>
      <c r="B5" s="280"/>
      <c r="C5" s="280"/>
      <c r="D5" s="280"/>
      <c r="E5" s="280"/>
      <c r="F5" s="280"/>
      <c r="G5" s="280"/>
      <c r="H5" s="280"/>
      <c r="I5" s="239"/>
      <c r="J5" s="239"/>
      <c r="K5" s="238"/>
      <c r="L5" s="238"/>
      <c r="M5" s="238"/>
      <c r="N5" s="238"/>
      <c r="O5" s="238"/>
      <c r="P5" s="238"/>
      <c r="Q5" s="238"/>
      <c r="R5" s="238"/>
      <c r="S5" s="238"/>
      <c r="T5" s="238"/>
      <c r="U5" s="238"/>
      <c r="V5" s="238"/>
      <c r="W5" s="238"/>
      <c r="X5" s="238"/>
      <c r="Y5" s="238"/>
      <c r="Z5" s="278"/>
    </row>
    <row r="6" spans="1:26" ht="38.25" customHeight="1">
      <c r="A6" s="281" t="s">
        <v>9</v>
      </c>
      <c r="B6" s="282" t="s">
        <v>10</v>
      </c>
      <c r="C6" s="282" t="s">
        <v>11</v>
      </c>
      <c r="D6" s="282" t="s">
        <v>12</v>
      </c>
      <c r="E6" s="282" t="s">
        <v>13</v>
      </c>
      <c r="F6" s="282" t="s">
        <v>14</v>
      </c>
      <c r="G6" s="282" t="s">
        <v>15</v>
      </c>
      <c r="H6" s="282" t="s">
        <v>16</v>
      </c>
      <c r="I6" s="714"/>
      <c r="J6" s="716"/>
      <c r="K6" s="237"/>
      <c r="L6" s="238"/>
      <c r="M6" s="238"/>
      <c r="N6" s="238"/>
      <c r="O6" s="238"/>
      <c r="P6" s="238"/>
      <c r="Q6" s="238"/>
      <c r="R6" s="238"/>
      <c r="S6" s="238"/>
      <c r="T6" s="238"/>
      <c r="U6" s="238"/>
      <c r="V6" s="238"/>
      <c r="W6" s="238"/>
      <c r="X6" s="238"/>
      <c r="Y6" s="238"/>
      <c r="Z6" s="278"/>
    </row>
    <row r="7" spans="1:26" ht="13.5" customHeight="1">
      <c r="A7" s="283" t="str">
        <f>IF(ISBLANK(E7),"",COUNTA(E$7:E7))</f>
        <v/>
      </c>
      <c r="B7" s="284"/>
      <c r="C7" s="285"/>
      <c r="D7" s="285"/>
      <c r="E7" s="285"/>
      <c r="F7" s="285"/>
      <c r="G7" s="286"/>
      <c r="H7" s="286"/>
      <c r="I7" s="715"/>
      <c r="J7" s="717"/>
      <c r="K7" s="237"/>
      <c r="L7" s="238"/>
      <c r="M7" s="238"/>
      <c r="N7" s="238"/>
      <c r="O7" s="238"/>
      <c r="P7" s="238"/>
      <c r="Q7" s="238"/>
      <c r="R7" s="238"/>
      <c r="S7" s="238"/>
      <c r="T7" s="238"/>
      <c r="U7" s="238"/>
      <c r="V7" s="238"/>
      <c r="W7" s="238"/>
      <c r="X7" s="287"/>
      <c r="Y7" s="238"/>
      <c r="Z7" s="278"/>
    </row>
    <row r="8" spans="1:26" ht="14.25" customHeight="1">
      <c r="A8" s="288" t="str">
        <f>IF(ISBLANK(E8),"",COUNTA(E$7:E8))</f>
        <v/>
      </c>
      <c r="B8" s="289" t="s">
        <v>218</v>
      </c>
      <c r="C8" s="290"/>
      <c r="D8" s="291"/>
      <c r="E8" s="292"/>
      <c r="F8" s="293"/>
      <c r="G8" s="294"/>
      <c r="H8" s="295"/>
      <c r="I8" s="296"/>
      <c r="J8" s="297"/>
      <c r="K8" s="237"/>
      <c r="L8" s="238"/>
      <c r="M8" s="238"/>
      <c r="N8" s="238"/>
      <c r="O8" s="238"/>
      <c r="P8" s="238"/>
      <c r="Q8" s="238"/>
      <c r="R8" s="238"/>
      <c r="S8" s="238"/>
      <c r="T8" s="238"/>
      <c r="U8" s="238"/>
      <c r="V8" s="238"/>
      <c r="W8" s="238"/>
      <c r="X8" s="238"/>
      <c r="Y8" s="238"/>
      <c r="Z8" s="278"/>
    </row>
    <row r="9" spans="1:26" ht="14.25" customHeight="1">
      <c r="A9" s="169" t="str">
        <f>IF(ISBLANK(E9),"",COUNTA(E$7:E9))</f>
        <v/>
      </c>
      <c r="B9" s="297"/>
      <c r="C9" s="298"/>
      <c r="D9" s="298"/>
      <c r="E9" s="299"/>
      <c r="F9" s="300"/>
      <c r="G9" s="301"/>
      <c r="H9" s="301"/>
      <c r="I9" s="297"/>
      <c r="J9" s="296"/>
      <c r="K9" s="237"/>
      <c r="L9" s="238"/>
      <c r="M9" s="238"/>
      <c r="N9" s="238"/>
      <c r="O9" s="238"/>
      <c r="P9" s="238"/>
      <c r="Q9" s="238"/>
      <c r="R9" s="238"/>
      <c r="S9" s="238"/>
      <c r="T9" s="238"/>
      <c r="U9" s="238"/>
      <c r="V9" s="238"/>
      <c r="W9" s="238"/>
      <c r="X9" s="238"/>
      <c r="Y9" s="238"/>
      <c r="Z9" s="278"/>
    </row>
    <row r="10" spans="1:26" ht="14.25" customHeight="1">
      <c r="A10" s="169" t="str">
        <f>IF(ISBLANK(E10),"",COUNTA(E$7:E10))</f>
        <v/>
      </c>
      <c r="B10" s="302" t="s">
        <v>219</v>
      </c>
      <c r="C10" s="303"/>
      <c r="D10" s="303"/>
      <c r="E10" s="303"/>
      <c r="F10" s="303"/>
      <c r="G10" s="303"/>
      <c r="H10" s="303"/>
      <c r="I10" s="296"/>
      <c r="J10" s="296"/>
      <c r="K10" s="237"/>
      <c r="L10" s="238"/>
      <c r="M10" s="238"/>
      <c r="N10" s="238"/>
      <c r="O10" s="238"/>
      <c r="P10" s="238"/>
      <c r="Q10" s="238"/>
      <c r="R10" s="238"/>
      <c r="S10" s="238"/>
      <c r="T10" s="238"/>
      <c r="U10" s="238"/>
      <c r="V10" s="238"/>
      <c r="W10" s="238"/>
      <c r="X10" s="238"/>
      <c r="Y10" s="238"/>
      <c r="Z10" s="278"/>
    </row>
    <row r="11" spans="1:26" ht="63.75" customHeight="1">
      <c r="A11" s="304">
        <f>IF(ISBLANK(E11),"",COUNTA(E$7:E11))</f>
        <v>1</v>
      </c>
      <c r="B11" s="188" t="s">
        <v>220</v>
      </c>
      <c r="C11" s="43" t="s">
        <v>21</v>
      </c>
      <c r="D11" s="189">
        <v>4</v>
      </c>
      <c r="E11" s="189">
        <f>1080+540+264+336</f>
        <v>2220</v>
      </c>
      <c r="F11" s="305"/>
      <c r="G11" s="189">
        <f>ROUND(D11*E11,2)</f>
        <v>8880</v>
      </c>
      <c r="H11" s="306"/>
      <c r="I11" s="307" t="s">
        <v>221</v>
      </c>
      <c r="J11" s="297"/>
      <c r="K11" s="237"/>
      <c r="L11" s="238"/>
      <c r="M11" s="238"/>
      <c r="N11" s="238"/>
      <c r="O11" s="238"/>
      <c r="P11" s="238"/>
      <c r="Q11" s="238"/>
      <c r="R11" s="238"/>
      <c r="S11" s="238"/>
      <c r="T11" s="238"/>
      <c r="U11" s="238"/>
      <c r="V11" s="238"/>
      <c r="W11" s="238"/>
      <c r="X11" s="238"/>
      <c r="Y11" s="238"/>
      <c r="Z11" s="278"/>
    </row>
    <row r="12" spans="1:26" ht="13.65" customHeight="1">
      <c r="A12" s="169" t="str">
        <f>IF(ISBLANK(E12),"",COUNTA(E$7:E12))</f>
        <v/>
      </c>
      <c r="B12" s="307" t="s">
        <v>222</v>
      </c>
      <c r="C12" s="307" t="s">
        <v>21</v>
      </c>
      <c r="D12" s="301">
        <v>4</v>
      </c>
      <c r="E12" s="303"/>
      <c r="F12" s="303">
        <v>460</v>
      </c>
      <c r="G12" s="303"/>
      <c r="H12" s="308">
        <f>ROUND(D12*F12,2)</f>
        <v>1840</v>
      </c>
      <c r="I12" s="309"/>
      <c r="J12" s="297"/>
      <c r="K12" s="237"/>
      <c r="L12" s="238"/>
      <c r="M12" s="238"/>
      <c r="N12" s="238"/>
      <c r="O12" s="238"/>
      <c r="P12" s="238"/>
      <c r="Q12" s="238"/>
      <c r="R12" s="238"/>
      <c r="S12" s="238"/>
      <c r="T12" s="238"/>
      <c r="U12" s="238"/>
      <c r="V12" s="238"/>
      <c r="W12" s="238"/>
      <c r="X12" s="238"/>
      <c r="Y12" s="238"/>
      <c r="Z12" s="278"/>
    </row>
    <row r="13" spans="1:26" ht="13.65" customHeight="1">
      <c r="A13" s="174"/>
      <c r="B13" s="307" t="s">
        <v>223</v>
      </c>
      <c r="C13" s="307" t="s">
        <v>21</v>
      </c>
      <c r="D13" s="301">
        <v>8</v>
      </c>
      <c r="E13" s="303"/>
      <c r="F13" s="303">
        <v>775.78</v>
      </c>
      <c r="G13" s="303"/>
      <c r="H13" s="303">
        <f>ROUND(D13*F13,2)</f>
        <v>6206.24</v>
      </c>
      <c r="I13" s="307" t="s">
        <v>224</v>
      </c>
      <c r="J13" s="297"/>
      <c r="K13" s="237"/>
      <c r="L13" s="238"/>
      <c r="M13" s="238"/>
      <c r="N13" s="238"/>
      <c r="O13" s="238"/>
      <c r="P13" s="238"/>
      <c r="Q13" s="238"/>
      <c r="R13" s="238"/>
      <c r="S13" s="238"/>
      <c r="T13" s="238"/>
      <c r="U13" s="238"/>
      <c r="V13" s="238"/>
      <c r="W13" s="238"/>
      <c r="X13" s="238"/>
      <c r="Y13" s="238"/>
      <c r="Z13" s="278"/>
    </row>
    <row r="14" spans="1:26" ht="13.65" customHeight="1">
      <c r="A14" s="169" t="str">
        <f>IF(ISBLANK(E14),"",COUNTA(E$7:E14))</f>
        <v/>
      </c>
      <c r="B14" s="307" t="s">
        <v>225</v>
      </c>
      <c r="C14" s="307" t="s">
        <v>21</v>
      </c>
      <c r="D14" s="301">
        <v>4</v>
      </c>
      <c r="E14" s="303"/>
      <c r="F14" s="303">
        <v>156.07</v>
      </c>
      <c r="G14" s="303"/>
      <c r="H14" s="303">
        <f>ROUND(D14*F14,2)</f>
        <v>624.28</v>
      </c>
      <c r="I14" s="297"/>
      <c r="J14" s="297"/>
      <c r="K14" s="237"/>
      <c r="L14" s="238"/>
      <c r="M14" s="238"/>
      <c r="N14" s="238"/>
      <c r="O14" s="238"/>
      <c r="P14" s="238"/>
      <c r="Q14" s="238"/>
      <c r="R14" s="238"/>
      <c r="S14" s="238"/>
      <c r="T14" s="238"/>
      <c r="U14" s="238"/>
      <c r="V14" s="238"/>
      <c r="W14" s="238"/>
      <c r="X14" s="238"/>
      <c r="Y14" s="238"/>
      <c r="Z14" s="278"/>
    </row>
    <row r="15" spans="1:26" ht="13.65" customHeight="1">
      <c r="A15" s="169" t="str">
        <f>IF(ISBLANK(E15),"",COUNTA(E$7:E15))</f>
        <v/>
      </c>
      <c r="B15" s="307" t="s">
        <v>226</v>
      </c>
      <c r="C15" s="307" t="s">
        <v>21</v>
      </c>
      <c r="D15" s="301">
        <v>4</v>
      </c>
      <c r="E15" s="303"/>
      <c r="F15" s="303">
        <v>509.69</v>
      </c>
      <c r="G15" s="303"/>
      <c r="H15" s="303">
        <f>ROUND(D15*F15,2)</f>
        <v>2038.76</v>
      </c>
      <c r="I15" s="297"/>
      <c r="J15" s="297"/>
      <c r="K15" s="237"/>
      <c r="L15" s="238"/>
      <c r="M15" s="238"/>
      <c r="N15" s="238"/>
      <c r="O15" s="238"/>
      <c r="P15" s="238"/>
      <c r="Q15" s="238"/>
      <c r="R15" s="238"/>
      <c r="S15" s="238"/>
      <c r="T15" s="238"/>
      <c r="U15" s="238"/>
      <c r="V15" s="238"/>
      <c r="W15" s="238"/>
      <c r="X15" s="238"/>
      <c r="Y15" s="238"/>
      <c r="Z15" s="278"/>
    </row>
    <row r="16" spans="1:26" ht="13.65" customHeight="1">
      <c r="A16" s="304">
        <f>IF(ISBLANK(E16),"",COUNTA(E$7:E16))</f>
        <v>2</v>
      </c>
      <c r="B16" s="188" t="s">
        <v>227</v>
      </c>
      <c r="C16" s="43" t="s">
        <v>21</v>
      </c>
      <c r="D16" s="189">
        <v>35</v>
      </c>
      <c r="E16" s="189">
        <v>228</v>
      </c>
      <c r="F16" s="305"/>
      <c r="G16" s="189">
        <f>ROUND(D16*E16,2)</f>
        <v>7980</v>
      </c>
      <c r="H16" s="306"/>
      <c r="I16" s="297"/>
      <c r="J16" s="297"/>
      <c r="K16" s="237"/>
      <c r="L16" s="238"/>
      <c r="M16" s="238"/>
      <c r="N16" s="238"/>
      <c r="O16" s="238"/>
      <c r="P16" s="238"/>
      <c r="Q16" s="238"/>
      <c r="R16" s="238"/>
      <c r="S16" s="238"/>
      <c r="T16" s="238"/>
      <c r="U16" s="238"/>
      <c r="V16" s="238"/>
      <c r="W16" s="238"/>
      <c r="X16" s="238"/>
      <c r="Y16" s="238"/>
      <c r="Z16" s="278"/>
    </row>
    <row r="17" spans="1:26" ht="13.65" customHeight="1">
      <c r="A17" s="169" t="str">
        <f>IF(ISBLANK(E17),"",COUNTA(E$7:E17))</f>
        <v/>
      </c>
      <c r="B17" s="307" t="s">
        <v>228</v>
      </c>
      <c r="C17" s="307" t="s">
        <v>21</v>
      </c>
      <c r="D17" s="301">
        <v>33</v>
      </c>
      <c r="E17" s="303"/>
      <c r="F17" s="303">
        <v>152</v>
      </c>
      <c r="G17" s="303"/>
      <c r="H17" s="303">
        <f>ROUND(D17*F17,2)</f>
        <v>5016</v>
      </c>
      <c r="I17" s="297"/>
      <c r="J17" s="297"/>
      <c r="K17" s="237"/>
      <c r="L17" s="238"/>
      <c r="M17" s="238"/>
      <c r="N17" s="238"/>
      <c r="O17" s="238"/>
      <c r="P17" s="238"/>
      <c r="Q17" s="238"/>
      <c r="R17" s="238"/>
      <c r="S17" s="238"/>
      <c r="T17" s="238"/>
      <c r="U17" s="238"/>
      <c r="V17" s="238"/>
      <c r="W17" s="238"/>
      <c r="X17" s="238"/>
      <c r="Y17" s="238"/>
      <c r="Z17" s="278"/>
    </row>
    <row r="18" spans="1:26" ht="13.65" customHeight="1">
      <c r="A18" s="174"/>
      <c r="B18" s="307" t="s">
        <v>229</v>
      </c>
      <c r="C18" s="307" t="s">
        <v>21</v>
      </c>
      <c r="D18" s="301">
        <v>2</v>
      </c>
      <c r="E18" s="303"/>
      <c r="F18" s="303">
        <v>249.81</v>
      </c>
      <c r="G18" s="303"/>
      <c r="H18" s="303">
        <f>ROUND(D18*F18,2)</f>
        <v>499.62</v>
      </c>
      <c r="I18" s="297"/>
      <c r="J18" s="297"/>
      <c r="K18" s="237"/>
      <c r="L18" s="238"/>
      <c r="M18" s="238"/>
      <c r="N18" s="238"/>
      <c r="O18" s="238"/>
      <c r="P18" s="238"/>
      <c r="Q18" s="238"/>
      <c r="R18" s="238"/>
      <c r="S18" s="238"/>
      <c r="T18" s="238"/>
      <c r="U18" s="238"/>
      <c r="V18" s="238"/>
      <c r="W18" s="238"/>
      <c r="X18" s="238"/>
      <c r="Y18" s="238"/>
      <c r="Z18" s="278"/>
    </row>
    <row r="19" spans="1:26" ht="25.5" customHeight="1">
      <c r="A19" s="304">
        <f>IF(ISBLANK(E19),"",COUNTA(E$7:E19))</f>
        <v>3</v>
      </c>
      <c r="B19" s="188" t="s">
        <v>230</v>
      </c>
      <c r="C19" s="43" t="s">
        <v>231</v>
      </c>
      <c r="D19" s="310">
        <v>160</v>
      </c>
      <c r="E19" s="189">
        <v>114</v>
      </c>
      <c r="F19" s="305"/>
      <c r="G19" s="189">
        <f>ROUND(D19*E19,2)</f>
        <v>18240</v>
      </c>
      <c r="H19" s="306"/>
      <c r="I19" s="307" t="s">
        <v>232</v>
      </c>
      <c r="J19" s="297"/>
      <c r="K19" s="237"/>
      <c r="L19" s="238"/>
      <c r="M19" s="238"/>
      <c r="N19" s="238"/>
      <c r="O19" s="238"/>
      <c r="P19" s="238"/>
      <c r="Q19" s="238"/>
      <c r="R19" s="238"/>
      <c r="S19" s="238"/>
      <c r="T19" s="238"/>
      <c r="U19" s="238"/>
      <c r="V19" s="238"/>
      <c r="W19" s="238"/>
      <c r="X19" s="238"/>
      <c r="Y19" s="238"/>
      <c r="Z19" s="278"/>
    </row>
    <row r="20" spans="1:26" ht="13.65" customHeight="1">
      <c r="A20" s="169" t="str">
        <f>IF(ISBLANK(E20),"",COUNTA(E$7:E20))</f>
        <v/>
      </c>
      <c r="B20" s="307" t="s">
        <v>233</v>
      </c>
      <c r="C20" s="307" t="s">
        <v>231</v>
      </c>
      <c r="D20" s="311">
        <v>110</v>
      </c>
      <c r="E20" s="303"/>
      <c r="F20" s="303">
        <v>117.04</v>
      </c>
      <c r="G20" s="303"/>
      <c r="H20" s="303">
        <f t="shared" ref="H20:H29" si="0">ROUND(D20*F20,2)</f>
        <v>12874.4</v>
      </c>
      <c r="I20" s="307" t="s">
        <v>234</v>
      </c>
      <c r="J20" s="297"/>
      <c r="K20" s="237"/>
      <c r="L20" s="238"/>
      <c r="M20" s="238"/>
      <c r="N20" s="238"/>
      <c r="O20" s="238"/>
      <c r="P20" s="238"/>
      <c r="Q20" s="238"/>
      <c r="R20" s="238"/>
      <c r="S20" s="238"/>
      <c r="T20" s="238"/>
      <c r="U20" s="238"/>
      <c r="V20" s="238"/>
      <c r="W20" s="238"/>
      <c r="X20" s="238"/>
      <c r="Y20" s="238"/>
      <c r="Z20" s="278"/>
    </row>
    <row r="21" spans="1:26" ht="13.65" customHeight="1">
      <c r="A21" s="169" t="str">
        <f>IF(ISBLANK(E21),"",COUNTA(E$7:E21))</f>
        <v/>
      </c>
      <c r="B21" s="307" t="s">
        <v>235</v>
      </c>
      <c r="C21" s="307" t="s">
        <v>231</v>
      </c>
      <c r="D21" s="311">
        <v>50</v>
      </c>
      <c r="E21" s="303"/>
      <c r="F21" s="303">
        <v>74.89</v>
      </c>
      <c r="G21" s="303"/>
      <c r="H21" s="303">
        <f t="shared" si="0"/>
        <v>3744.5</v>
      </c>
      <c r="I21" s="307" t="s">
        <v>236</v>
      </c>
      <c r="J21" s="297"/>
      <c r="K21" s="237"/>
      <c r="L21" s="238"/>
      <c r="M21" s="238"/>
      <c r="N21" s="238"/>
      <c r="O21" s="238"/>
      <c r="P21" s="238"/>
      <c r="Q21" s="238"/>
      <c r="R21" s="238"/>
      <c r="S21" s="238"/>
      <c r="T21" s="238"/>
      <c r="U21" s="238"/>
      <c r="V21" s="238"/>
      <c r="W21" s="238"/>
      <c r="X21" s="238"/>
      <c r="Y21" s="238"/>
      <c r="Z21" s="278"/>
    </row>
    <row r="22" spans="1:26" ht="13.65" customHeight="1">
      <c r="A22" s="174"/>
      <c r="B22" s="307" t="s">
        <v>237</v>
      </c>
      <c r="C22" s="307" t="s">
        <v>231</v>
      </c>
      <c r="D22" s="311">
        <v>50</v>
      </c>
      <c r="E22" s="303"/>
      <c r="F22" s="303">
        <v>10.85</v>
      </c>
      <c r="G22" s="303"/>
      <c r="H22" s="303">
        <f t="shared" si="0"/>
        <v>542.5</v>
      </c>
      <c r="I22" s="307" t="s">
        <v>236</v>
      </c>
      <c r="J22" s="297"/>
      <c r="K22" s="237"/>
      <c r="L22" s="238"/>
      <c r="M22" s="238"/>
      <c r="N22" s="238"/>
      <c r="O22" s="238"/>
      <c r="P22" s="238"/>
      <c r="Q22" s="238"/>
      <c r="R22" s="238"/>
      <c r="S22" s="238"/>
      <c r="T22" s="238"/>
      <c r="U22" s="238"/>
      <c r="V22" s="238"/>
      <c r="W22" s="238"/>
      <c r="X22" s="238"/>
      <c r="Y22" s="238"/>
      <c r="Z22" s="278"/>
    </row>
    <row r="23" spans="1:26" ht="13.65" customHeight="1">
      <c r="A23" s="174"/>
      <c r="B23" s="307" t="s">
        <v>238</v>
      </c>
      <c r="C23" s="307" t="s">
        <v>231</v>
      </c>
      <c r="D23" s="311">
        <v>110</v>
      </c>
      <c r="E23" s="303"/>
      <c r="F23" s="303">
        <v>13.18</v>
      </c>
      <c r="G23" s="303"/>
      <c r="H23" s="303">
        <f t="shared" si="0"/>
        <v>1449.8</v>
      </c>
      <c r="I23" s="307" t="s">
        <v>234</v>
      </c>
      <c r="J23" s="297"/>
      <c r="K23" s="237"/>
      <c r="L23" s="238"/>
      <c r="M23" s="238"/>
      <c r="N23" s="238"/>
      <c r="O23" s="238"/>
      <c r="P23" s="238"/>
      <c r="Q23" s="238"/>
      <c r="R23" s="238"/>
      <c r="S23" s="238"/>
      <c r="T23" s="238"/>
      <c r="U23" s="238"/>
      <c r="V23" s="238"/>
      <c r="W23" s="238"/>
      <c r="X23" s="238"/>
      <c r="Y23" s="238"/>
      <c r="Z23" s="278"/>
    </row>
    <row r="24" spans="1:26" ht="13.65" customHeight="1">
      <c r="A24" s="174"/>
      <c r="B24" s="307" t="s">
        <v>239</v>
      </c>
      <c r="C24" s="307" t="s">
        <v>21</v>
      </c>
      <c r="D24" s="311">
        <v>1</v>
      </c>
      <c r="E24" s="303"/>
      <c r="F24" s="303">
        <v>231.21</v>
      </c>
      <c r="G24" s="303"/>
      <c r="H24" s="303">
        <f t="shared" si="0"/>
        <v>231.21</v>
      </c>
      <c r="I24" s="307" t="s">
        <v>240</v>
      </c>
      <c r="J24" s="297"/>
      <c r="K24" s="237"/>
      <c r="L24" s="238"/>
      <c r="M24" s="238"/>
      <c r="N24" s="238"/>
      <c r="O24" s="238"/>
      <c r="P24" s="238"/>
      <c r="Q24" s="238"/>
      <c r="R24" s="238"/>
      <c r="S24" s="238"/>
      <c r="T24" s="238"/>
      <c r="U24" s="238"/>
      <c r="V24" s="238"/>
      <c r="W24" s="238"/>
      <c r="X24" s="238"/>
      <c r="Y24" s="238"/>
      <c r="Z24" s="278"/>
    </row>
    <row r="25" spans="1:26" ht="13.65" customHeight="1">
      <c r="A25" s="174"/>
      <c r="B25" s="307" t="s">
        <v>241</v>
      </c>
      <c r="C25" s="307" t="s">
        <v>21</v>
      </c>
      <c r="D25" s="311">
        <v>2</v>
      </c>
      <c r="E25" s="303"/>
      <c r="F25" s="303">
        <v>131.75</v>
      </c>
      <c r="G25" s="303"/>
      <c r="H25" s="303">
        <f t="shared" si="0"/>
        <v>263.5</v>
      </c>
      <c r="I25" s="307" t="s">
        <v>240</v>
      </c>
      <c r="J25" s="297"/>
      <c r="K25" s="237"/>
      <c r="L25" s="238"/>
      <c r="M25" s="238"/>
      <c r="N25" s="238"/>
      <c r="O25" s="238"/>
      <c r="P25" s="238"/>
      <c r="Q25" s="238"/>
      <c r="R25" s="238"/>
      <c r="S25" s="238"/>
      <c r="T25" s="238"/>
      <c r="U25" s="238"/>
      <c r="V25" s="238"/>
      <c r="W25" s="238"/>
      <c r="X25" s="238"/>
      <c r="Y25" s="238"/>
      <c r="Z25" s="278"/>
    </row>
    <row r="26" spans="1:26" ht="13.65" customHeight="1">
      <c r="A26" s="169" t="str">
        <f>IF(ISBLANK(E26),"",COUNTA(E$7:E26))</f>
        <v/>
      </c>
      <c r="B26" s="307" t="s">
        <v>242</v>
      </c>
      <c r="C26" s="307" t="s">
        <v>21</v>
      </c>
      <c r="D26" s="303">
        <v>200</v>
      </c>
      <c r="E26" s="303"/>
      <c r="F26" s="303">
        <v>2.6</v>
      </c>
      <c r="G26" s="303"/>
      <c r="H26" s="303">
        <f t="shared" si="0"/>
        <v>520</v>
      </c>
      <c r="I26" s="297"/>
      <c r="J26" s="297"/>
      <c r="K26" s="237"/>
      <c r="L26" s="238"/>
      <c r="M26" s="238"/>
      <c r="N26" s="238"/>
      <c r="O26" s="238"/>
      <c r="P26" s="238"/>
      <c r="Q26" s="238"/>
      <c r="R26" s="238"/>
      <c r="S26" s="238"/>
      <c r="T26" s="238"/>
      <c r="U26" s="238"/>
      <c r="V26" s="238"/>
      <c r="W26" s="238"/>
      <c r="X26" s="238"/>
      <c r="Y26" s="238"/>
      <c r="Z26" s="278"/>
    </row>
    <row r="27" spans="1:26" ht="25.5" customHeight="1">
      <c r="A27" s="169" t="str">
        <f>IF(ISBLANK(E27),"",COUNTA(E$7:E27))</f>
        <v/>
      </c>
      <c r="B27" s="307" t="s">
        <v>243</v>
      </c>
      <c r="C27" s="307" t="s">
        <v>21</v>
      </c>
      <c r="D27" s="301">
        <v>20</v>
      </c>
      <c r="E27" s="303"/>
      <c r="F27" s="303">
        <v>22</v>
      </c>
      <c r="G27" s="303"/>
      <c r="H27" s="303">
        <f t="shared" si="0"/>
        <v>440</v>
      </c>
      <c r="I27" s="297"/>
      <c r="J27" s="297"/>
      <c r="K27" s="237"/>
      <c r="L27" s="238"/>
      <c r="M27" s="238"/>
      <c r="N27" s="238"/>
      <c r="O27" s="238"/>
      <c r="P27" s="238"/>
      <c r="Q27" s="238"/>
      <c r="R27" s="238"/>
      <c r="S27" s="238"/>
      <c r="T27" s="238"/>
      <c r="U27" s="238"/>
      <c r="V27" s="238"/>
      <c r="W27" s="238"/>
      <c r="X27" s="238"/>
      <c r="Y27" s="238"/>
      <c r="Z27" s="278"/>
    </row>
    <row r="28" spans="1:26" ht="13.65" customHeight="1">
      <c r="A28" s="169" t="str">
        <f>IF(ISBLANK(E28),"",COUNTA(E$7:E28))</f>
        <v/>
      </c>
      <c r="B28" s="312" t="s">
        <v>244</v>
      </c>
      <c r="C28" s="307" t="s">
        <v>21</v>
      </c>
      <c r="D28" s="301">
        <v>200</v>
      </c>
      <c r="E28" s="303"/>
      <c r="F28" s="303">
        <v>2.5142857142857098</v>
      </c>
      <c r="G28" s="303"/>
      <c r="H28" s="303">
        <f t="shared" si="0"/>
        <v>502.86</v>
      </c>
      <c r="I28" s="699" t="s">
        <v>245</v>
      </c>
      <c r="J28" s="297"/>
      <c r="K28" s="237"/>
      <c r="L28" s="238"/>
      <c r="M28" s="238"/>
      <c r="N28" s="238"/>
      <c r="O28" s="238"/>
      <c r="P28" s="238"/>
      <c r="Q28" s="238"/>
      <c r="R28" s="238"/>
      <c r="S28" s="238"/>
      <c r="T28" s="238"/>
      <c r="U28" s="238"/>
      <c r="V28" s="238"/>
      <c r="W28" s="238"/>
      <c r="X28" s="238"/>
      <c r="Y28" s="238"/>
      <c r="Z28" s="278"/>
    </row>
    <row r="29" spans="1:26" ht="42.6" customHeight="1">
      <c r="A29" s="169" t="str">
        <f>IF(ISBLANK(E29),"",COUNTA(E$7:E29))</f>
        <v/>
      </c>
      <c r="B29" s="312" t="s">
        <v>246</v>
      </c>
      <c r="C29" s="307" t="s">
        <v>21</v>
      </c>
      <c r="D29" s="301">
        <v>200</v>
      </c>
      <c r="E29" s="303"/>
      <c r="F29" s="303">
        <v>5.3323809523809498</v>
      </c>
      <c r="G29" s="303"/>
      <c r="H29" s="303">
        <f t="shared" si="0"/>
        <v>1066.48</v>
      </c>
      <c r="I29" s="700"/>
      <c r="J29" s="297"/>
      <c r="K29" s="237"/>
      <c r="L29" s="238"/>
      <c r="M29" s="238"/>
      <c r="N29" s="238"/>
      <c r="O29" s="238"/>
      <c r="P29" s="238"/>
      <c r="Q29" s="238"/>
      <c r="R29" s="238"/>
      <c r="S29" s="238"/>
      <c r="T29" s="238"/>
      <c r="U29" s="238"/>
      <c r="V29" s="238"/>
      <c r="W29" s="238"/>
      <c r="X29" s="238"/>
      <c r="Y29" s="238"/>
      <c r="Z29" s="278"/>
    </row>
    <row r="30" spans="1:26" ht="14.25" customHeight="1">
      <c r="A30" s="304">
        <f>IF(ISBLANK(E30),"",COUNTA(E$7:E30))</f>
        <v>4</v>
      </c>
      <c r="B30" s="188" t="s">
        <v>247</v>
      </c>
      <c r="C30" s="43" t="s">
        <v>21</v>
      </c>
      <c r="D30" s="310">
        <v>222</v>
      </c>
      <c r="E30" s="189">
        <v>42</v>
      </c>
      <c r="F30" s="305"/>
      <c r="G30" s="189">
        <f>ROUND(D30*E30,2)</f>
        <v>9324</v>
      </c>
      <c r="H30" s="306"/>
      <c r="I30" s="297"/>
      <c r="J30" s="297"/>
      <c r="K30" s="237"/>
      <c r="L30" s="238"/>
      <c r="M30" s="238"/>
      <c r="N30" s="238"/>
      <c r="O30" s="238"/>
      <c r="P30" s="238"/>
      <c r="Q30" s="238"/>
      <c r="R30" s="238"/>
      <c r="S30" s="238"/>
      <c r="T30" s="238"/>
      <c r="U30" s="238"/>
      <c r="V30" s="238"/>
      <c r="W30" s="238"/>
      <c r="X30" s="238"/>
      <c r="Y30" s="238"/>
      <c r="Z30" s="278"/>
    </row>
    <row r="31" spans="1:26" ht="14.25" customHeight="1">
      <c r="A31" s="169" t="str">
        <f>IF(ISBLANK(E31),"",COUNTA(E$7:E31))</f>
        <v/>
      </c>
      <c r="B31" s="307" t="s">
        <v>248</v>
      </c>
      <c r="C31" s="307" t="s">
        <v>21</v>
      </c>
      <c r="D31" s="303">
        <v>28</v>
      </c>
      <c r="E31" s="303"/>
      <c r="F31" s="303">
        <v>126.83</v>
      </c>
      <c r="G31" s="303"/>
      <c r="H31" s="303">
        <f t="shared" ref="H31:H43" si="1">ROUND(D31*F31,2)</f>
        <v>3551.24</v>
      </c>
      <c r="I31" s="313"/>
      <c r="J31" s="297"/>
      <c r="K31" s="237"/>
      <c r="L31" s="238"/>
      <c r="M31" s="238"/>
      <c r="N31" s="238"/>
      <c r="O31" s="238"/>
      <c r="P31" s="238"/>
      <c r="Q31" s="238"/>
      <c r="R31" s="238"/>
      <c r="S31" s="238"/>
      <c r="T31" s="238"/>
      <c r="U31" s="238"/>
      <c r="V31" s="238"/>
      <c r="W31" s="238"/>
      <c r="X31" s="238"/>
      <c r="Y31" s="238"/>
      <c r="Z31" s="278"/>
    </row>
    <row r="32" spans="1:26" ht="14.25" customHeight="1">
      <c r="A32" s="169" t="str">
        <f>IF(ISBLANK(E32),"",COUNTA(E$7:E32))</f>
        <v/>
      </c>
      <c r="B32" s="307" t="s">
        <v>249</v>
      </c>
      <c r="C32" s="307" t="s">
        <v>21</v>
      </c>
      <c r="D32" s="303">
        <v>76</v>
      </c>
      <c r="E32" s="303"/>
      <c r="F32" s="303">
        <v>82.73</v>
      </c>
      <c r="G32" s="303"/>
      <c r="H32" s="303">
        <f t="shared" si="1"/>
        <v>6287.48</v>
      </c>
      <c r="I32" s="297"/>
      <c r="J32" s="297"/>
      <c r="K32" s="237"/>
      <c r="L32" s="238"/>
      <c r="M32" s="238"/>
      <c r="N32" s="238"/>
      <c r="O32" s="238"/>
      <c r="P32" s="238"/>
      <c r="Q32" s="238"/>
      <c r="R32" s="238"/>
      <c r="S32" s="238"/>
      <c r="T32" s="238"/>
      <c r="U32" s="238"/>
      <c r="V32" s="238"/>
      <c r="W32" s="238"/>
      <c r="X32" s="238"/>
      <c r="Y32" s="238"/>
      <c r="Z32" s="278"/>
    </row>
    <row r="33" spans="1:26" ht="14.25" customHeight="1">
      <c r="A33" s="169" t="str">
        <f>IF(ISBLANK(E33),"",COUNTA(E$7:E33))</f>
        <v/>
      </c>
      <c r="B33" s="307" t="s">
        <v>250</v>
      </c>
      <c r="C33" s="307" t="s">
        <v>21</v>
      </c>
      <c r="D33" s="303">
        <v>28</v>
      </c>
      <c r="E33" s="303"/>
      <c r="F33" s="303">
        <v>184.33</v>
      </c>
      <c r="G33" s="303"/>
      <c r="H33" s="303">
        <f t="shared" si="1"/>
        <v>5161.24</v>
      </c>
      <c r="I33" s="297"/>
      <c r="J33" s="297"/>
      <c r="K33" s="237"/>
      <c r="L33" s="238"/>
      <c r="M33" s="238"/>
      <c r="N33" s="238"/>
      <c r="O33" s="238"/>
      <c r="P33" s="238"/>
      <c r="Q33" s="238"/>
      <c r="R33" s="238"/>
      <c r="S33" s="238"/>
      <c r="T33" s="238"/>
      <c r="U33" s="238"/>
      <c r="V33" s="238"/>
      <c r="W33" s="238"/>
      <c r="X33" s="238"/>
      <c r="Y33" s="238"/>
      <c r="Z33" s="278"/>
    </row>
    <row r="34" spans="1:26" ht="13.65" customHeight="1">
      <c r="A34" s="169" t="str">
        <f>IF(ISBLANK(E34),"",COUNTA(E$7:E34))</f>
        <v/>
      </c>
      <c r="B34" s="307" t="s">
        <v>251</v>
      </c>
      <c r="C34" s="307" t="s">
        <v>21</v>
      </c>
      <c r="D34" s="303">
        <v>2</v>
      </c>
      <c r="E34" s="303"/>
      <c r="F34" s="303">
        <v>126.47</v>
      </c>
      <c r="G34" s="303"/>
      <c r="H34" s="303">
        <f t="shared" si="1"/>
        <v>252.94</v>
      </c>
      <c r="I34" s="297"/>
      <c r="J34" s="297"/>
      <c r="K34" s="237"/>
      <c r="L34" s="238"/>
      <c r="M34" s="238"/>
      <c r="N34" s="238"/>
      <c r="O34" s="238"/>
      <c r="P34" s="238"/>
      <c r="Q34" s="238"/>
      <c r="R34" s="238"/>
      <c r="S34" s="238"/>
      <c r="T34" s="238"/>
      <c r="U34" s="238"/>
      <c r="V34" s="238"/>
      <c r="W34" s="238"/>
      <c r="X34" s="238"/>
      <c r="Y34" s="238"/>
      <c r="Z34" s="278"/>
    </row>
    <row r="35" spans="1:26" ht="13.65" customHeight="1">
      <c r="A35" s="169" t="str">
        <f>IF(ISBLANK(E35),"",COUNTA(E$7:E35))</f>
        <v/>
      </c>
      <c r="B35" s="307" t="s">
        <v>252</v>
      </c>
      <c r="C35" s="307" t="s">
        <v>21</v>
      </c>
      <c r="D35" s="303">
        <v>2</v>
      </c>
      <c r="E35" s="303"/>
      <c r="F35" s="303">
        <v>162.34</v>
      </c>
      <c r="G35" s="303"/>
      <c r="H35" s="303">
        <f t="shared" si="1"/>
        <v>324.68</v>
      </c>
      <c r="I35" s="297"/>
      <c r="J35" s="297"/>
      <c r="K35" s="237"/>
      <c r="L35" s="238"/>
      <c r="M35" s="238"/>
      <c r="N35" s="238"/>
      <c r="O35" s="238"/>
      <c r="P35" s="238"/>
      <c r="Q35" s="238"/>
      <c r="R35" s="238"/>
      <c r="S35" s="238"/>
      <c r="T35" s="238"/>
      <c r="U35" s="238"/>
      <c r="V35" s="238"/>
      <c r="W35" s="238"/>
      <c r="X35" s="238"/>
      <c r="Y35" s="238"/>
      <c r="Z35" s="278"/>
    </row>
    <row r="36" spans="1:26" ht="13.65" customHeight="1">
      <c r="A36" s="169" t="str">
        <f>IF(ISBLANK(E36),"",COUNTA(E$7:E36))</f>
        <v/>
      </c>
      <c r="B36" s="307" t="s">
        <v>253</v>
      </c>
      <c r="C36" s="307" t="s">
        <v>21</v>
      </c>
      <c r="D36" s="303">
        <v>26</v>
      </c>
      <c r="E36" s="303"/>
      <c r="F36" s="303">
        <v>97.4</v>
      </c>
      <c r="G36" s="303"/>
      <c r="H36" s="303">
        <f t="shared" si="1"/>
        <v>2532.4</v>
      </c>
      <c r="I36" s="297"/>
      <c r="J36" s="297"/>
      <c r="K36" s="237"/>
      <c r="L36" s="238"/>
      <c r="M36" s="238"/>
      <c r="N36" s="238"/>
      <c r="O36" s="238"/>
      <c r="P36" s="238"/>
      <c r="Q36" s="238"/>
      <c r="R36" s="238"/>
      <c r="S36" s="238"/>
      <c r="T36" s="238"/>
      <c r="U36" s="238"/>
      <c r="V36" s="238"/>
      <c r="W36" s="238"/>
      <c r="X36" s="238"/>
      <c r="Y36" s="238"/>
      <c r="Z36" s="278"/>
    </row>
    <row r="37" spans="1:26" ht="13.65" customHeight="1">
      <c r="A37" s="169" t="str">
        <f>IF(ISBLANK(E37),"",COUNTA(E$7:E37))</f>
        <v/>
      </c>
      <c r="B37" s="307" t="s">
        <v>254</v>
      </c>
      <c r="C37" s="307" t="s">
        <v>21</v>
      </c>
      <c r="D37" s="303">
        <v>18</v>
      </c>
      <c r="E37" s="303"/>
      <c r="F37" s="303">
        <v>83.78</v>
      </c>
      <c r="G37" s="303"/>
      <c r="H37" s="303">
        <f t="shared" si="1"/>
        <v>1508.04</v>
      </c>
      <c r="I37" s="297"/>
      <c r="J37" s="297"/>
      <c r="K37" s="237"/>
      <c r="L37" s="238"/>
      <c r="M37" s="238"/>
      <c r="N37" s="238"/>
      <c r="O37" s="238"/>
      <c r="P37" s="238"/>
      <c r="Q37" s="238"/>
      <c r="R37" s="238"/>
      <c r="S37" s="238"/>
      <c r="T37" s="238"/>
      <c r="U37" s="238"/>
      <c r="V37" s="238"/>
      <c r="W37" s="238"/>
      <c r="X37" s="238"/>
      <c r="Y37" s="238"/>
      <c r="Z37" s="278"/>
    </row>
    <row r="38" spans="1:26" ht="13.65" customHeight="1">
      <c r="A38" s="169" t="str">
        <f>IF(ISBLANK(E38),"",COUNTA(E$7:E38))</f>
        <v/>
      </c>
      <c r="B38" s="307" t="s">
        <v>255</v>
      </c>
      <c r="C38" s="307" t="s">
        <v>21</v>
      </c>
      <c r="D38" s="303">
        <v>6</v>
      </c>
      <c r="E38" s="303"/>
      <c r="F38" s="303">
        <v>104.49</v>
      </c>
      <c r="G38" s="303"/>
      <c r="H38" s="303">
        <f t="shared" si="1"/>
        <v>626.94000000000005</v>
      </c>
      <c r="I38" s="297"/>
      <c r="J38" s="297"/>
      <c r="K38" s="237"/>
      <c r="L38" s="238"/>
      <c r="M38" s="238"/>
      <c r="N38" s="238"/>
      <c r="O38" s="238"/>
      <c r="P38" s="238"/>
      <c r="Q38" s="238"/>
      <c r="R38" s="238"/>
      <c r="S38" s="238"/>
      <c r="T38" s="238"/>
      <c r="U38" s="238"/>
      <c r="V38" s="238"/>
      <c r="W38" s="238"/>
      <c r="X38" s="238"/>
      <c r="Y38" s="238"/>
      <c r="Z38" s="278"/>
    </row>
    <row r="39" spans="1:26" ht="13.65" customHeight="1">
      <c r="A39" s="169" t="str">
        <f>IF(ISBLANK(E39),"",COUNTA(E$7:E39))</f>
        <v/>
      </c>
      <c r="B39" s="307" t="s">
        <v>256</v>
      </c>
      <c r="C39" s="307" t="s">
        <v>21</v>
      </c>
      <c r="D39" s="303">
        <v>8</v>
      </c>
      <c r="E39" s="303"/>
      <c r="F39" s="303">
        <v>97.4</v>
      </c>
      <c r="G39" s="303"/>
      <c r="H39" s="303">
        <f t="shared" si="1"/>
        <v>779.2</v>
      </c>
      <c r="I39" s="297"/>
      <c r="J39" s="297"/>
      <c r="K39" s="237"/>
      <c r="L39" s="238"/>
      <c r="M39" s="238"/>
      <c r="N39" s="238"/>
      <c r="O39" s="238"/>
      <c r="P39" s="238"/>
      <c r="Q39" s="238"/>
      <c r="R39" s="238"/>
      <c r="S39" s="238"/>
      <c r="T39" s="238"/>
      <c r="U39" s="238"/>
      <c r="V39" s="238"/>
      <c r="W39" s="238"/>
      <c r="X39" s="238"/>
      <c r="Y39" s="238"/>
      <c r="Z39" s="278"/>
    </row>
    <row r="40" spans="1:26" ht="13.65" customHeight="1">
      <c r="A40" s="169" t="str">
        <f>IF(ISBLANK(E40),"",COUNTA(E$7:E40))</f>
        <v/>
      </c>
      <c r="B40" s="307" t="s">
        <v>257</v>
      </c>
      <c r="C40" s="307" t="s">
        <v>21</v>
      </c>
      <c r="D40" s="303">
        <v>8</v>
      </c>
      <c r="E40" s="303"/>
      <c r="F40" s="303">
        <v>166</v>
      </c>
      <c r="G40" s="303"/>
      <c r="H40" s="303">
        <f t="shared" si="1"/>
        <v>1328</v>
      </c>
      <c r="I40" s="297"/>
      <c r="J40" s="297"/>
      <c r="K40" s="237"/>
      <c r="L40" s="238"/>
      <c r="M40" s="238"/>
      <c r="N40" s="238"/>
      <c r="O40" s="238"/>
      <c r="P40" s="238"/>
      <c r="Q40" s="238"/>
      <c r="R40" s="238"/>
      <c r="S40" s="238"/>
      <c r="T40" s="238"/>
      <c r="U40" s="238"/>
      <c r="V40" s="238"/>
      <c r="W40" s="238"/>
      <c r="X40" s="238"/>
      <c r="Y40" s="238"/>
      <c r="Z40" s="278"/>
    </row>
    <row r="41" spans="1:26" ht="13.65" customHeight="1">
      <c r="A41" s="169" t="str">
        <f>IF(ISBLANK(E41),"",COUNTA(E$7:E41))</f>
        <v/>
      </c>
      <c r="B41" s="307" t="s">
        <v>258</v>
      </c>
      <c r="C41" s="307" t="s">
        <v>21</v>
      </c>
      <c r="D41" s="303">
        <v>20</v>
      </c>
      <c r="E41" s="303"/>
      <c r="F41" s="303">
        <v>166</v>
      </c>
      <c r="G41" s="303"/>
      <c r="H41" s="303">
        <f t="shared" si="1"/>
        <v>3320</v>
      </c>
      <c r="I41" s="297"/>
      <c r="J41" s="297"/>
      <c r="K41" s="237"/>
      <c r="L41" s="238"/>
      <c r="M41" s="238"/>
      <c r="N41" s="238"/>
      <c r="O41" s="238"/>
      <c r="P41" s="238"/>
      <c r="Q41" s="238"/>
      <c r="R41" s="238"/>
      <c r="S41" s="238"/>
      <c r="T41" s="238"/>
      <c r="U41" s="238"/>
      <c r="V41" s="238"/>
      <c r="W41" s="238"/>
      <c r="X41" s="238"/>
      <c r="Y41" s="238"/>
      <c r="Z41" s="278"/>
    </row>
    <row r="42" spans="1:26" ht="13.65" customHeight="1">
      <c r="A42" s="169" t="str">
        <f>IF(ISBLANK(E42),"",COUNTA(E$7:E42))</f>
        <v/>
      </c>
      <c r="B42" s="307" t="s">
        <v>259</v>
      </c>
      <c r="C42" s="307" t="s">
        <v>21</v>
      </c>
      <c r="D42" s="303">
        <v>182</v>
      </c>
      <c r="E42" s="303"/>
      <c r="F42" s="303">
        <v>15.71</v>
      </c>
      <c r="G42" s="303"/>
      <c r="H42" s="303">
        <f t="shared" si="1"/>
        <v>2859.22</v>
      </c>
      <c r="I42" s="297"/>
      <c r="J42" s="297"/>
      <c r="K42" s="237"/>
      <c r="L42" s="238"/>
      <c r="M42" s="238"/>
      <c r="N42" s="238"/>
      <c r="O42" s="238"/>
      <c r="P42" s="238"/>
      <c r="Q42" s="238"/>
      <c r="R42" s="238"/>
      <c r="S42" s="238"/>
      <c r="T42" s="238"/>
      <c r="U42" s="238"/>
      <c r="V42" s="238"/>
      <c r="W42" s="238"/>
      <c r="X42" s="238"/>
      <c r="Y42" s="238"/>
      <c r="Z42" s="278"/>
    </row>
    <row r="43" spans="1:26" ht="13.65" customHeight="1">
      <c r="A43" s="169" t="str">
        <f>IF(ISBLANK(E43),"",COUNTA(E$7:E43))</f>
        <v/>
      </c>
      <c r="B43" s="307" t="s">
        <v>260</v>
      </c>
      <c r="C43" s="307" t="s">
        <v>21</v>
      </c>
      <c r="D43" s="303">
        <v>258</v>
      </c>
      <c r="E43" s="303"/>
      <c r="F43" s="303">
        <v>11.27</v>
      </c>
      <c r="G43" s="303"/>
      <c r="H43" s="303">
        <f t="shared" si="1"/>
        <v>2907.66</v>
      </c>
      <c r="I43" s="297"/>
      <c r="J43" s="297"/>
      <c r="K43" s="237"/>
      <c r="L43" s="238"/>
      <c r="M43" s="238"/>
      <c r="N43" s="238"/>
      <c r="O43" s="238"/>
      <c r="P43" s="238"/>
      <c r="Q43" s="238"/>
      <c r="R43" s="238"/>
      <c r="S43" s="238"/>
      <c r="T43" s="238"/>
      <c r="U43" s="238"/>
      <c r="V43" s="238"/>
      <c r="W43" s="238"/>
      <c r="X43" s="238"/>
      <c r="Y43" s="238"/>
      <c r="Z43" s="278"/>
    </row>
    <row r="44" spans="1:26" ht="25.5" customHeight="1">
      <c r="A44" s="304">
        <f>IF(ISBLANK(E44),"",COUNTA(E$7:E44))</f>
        <v>5</v>
      </c>
      <c r="B44" s="188" t="s">
        <v>261</v>
      </c>
      <c r="C44" s="43" t="s">
        <v>27</v>
      </c>
      <c r="D44" s="310">
        <v>160</v>
      </c>
      <c r="E44" s="189">
        <v>12</v>
      </c>
      <c r="F44" s="305"/>
      <c r="G44" s="189">
        <f>ROUND(D44*E44,2)</f>
        <v>1920</v>
      </c>
      <c r="H44" s="306"/>
      <c r="I44" s="307" t="s">
        <v>262</v>
      </c>
      <c r="J44" s="297"/>
      <c r="K44" s="237"/>
      <c r="L44" s="238"/>
      <c r="M44" s="238"/>
      <c r="N44" s="238"/>
      <c r="O44" s="238"/>
      <c r="P44" s="238"/>
      <c r="Q44" s="238"/>
      <c r="R44" s="238"/>
      <c r="S44" s="238"/>
      <c r="T44" s="238"/>
      <c r="U44" s="238"/>
      <c r="V44" s="238"/>
      <c r="W44" s="238"/>
      <c r="X44" s="238"/>
      <c r="Y44" s="238"/>
      <c r="Z44" s="278"/>
    </row>
    <row r="45" spans="1:26" ht="13.2" customHeight="1">
      <c r="A45" s="174"/>
      <c r="B45" s="314"/>
      <c r="C45" s="46"/>
      <c r="D45" s="189"/>
      <c r="E45" s="189"/>
      <c r="F45" s="305"/>
      <c r="G45" s="189"/>
      <c r="H45" s="306"/>
      <c r="I45" s="297"/>
      <c r="J45" s="297"/>
      <c r="K45" s="237"/>
      <c r="L45" s="238"/>
      <c r="M45" s="238"/>
      <c r="N45" s="238"/>
      <c r="O45" s="238"/>
      <c r="P45" s="238"/>
      <c r="Q45" s="238"/>
      <c r="R45" s="238"/>
      <c r="S45" s="238"/>
      <c r="T45" s="238"/>
      <c r="U45" s="238"/>
      <c r="V45" s="238"/>
      <c r="W45" s="238"/>
      <c r="X45" s="238"/>
      <c r="Y45" s="238"/>
      <c r="Z45" s="278"/>
    </row>
    <row r="46" spans="1:26" ht="14.25" customHeight="1">
      <c r="A46" s="169" t="str">
        <f>IF(ISBLANK(E46),"",COUNTA(E$7:E46))</f>
        <v/>
      </c>
      <c r="B46" s="302" t="s">
        <v>263</v>
      </c>
      <c r="C46" s="303"/>
      <c r="D46" s="303"/>
      <c r="E46" s="303"/>
      <c r="F46" s="303"/>
      <c r="G46" s="303"/>
      <c r="H46" s="303"/>
      <c r="I46" s="297"/>
      <c r="J46" s="296"/>
      <c r="K46" s="237"/>
      <c r="L46" s="238"/>
      <c r="M46" s="238"/>
      <c r="N46" s="238"/>
      <c r="O46" s="238"/>
      <c r="P46" s="238"/>
      <c r="Q46" s="238"/>
      <c r="R46" s="238"/>
      <c r="S46" s="238"/>
      <c r="T46" s="238"/>
      <c r="U46" s="238"/>
      <c r="V46" s="238"/>
      <c r="W46" s="238"/>
      <c r="X46" s="238"/>
      <c r="Y46" s="238"/>
      <c r="Z46" s="278"/>
    </row>
    <row r="47" spans="1:26" ht="13.65" customHeight="1">
      <c r="A47" s="304">
        <f>IF(ISBLANK(E47),"",COUNTA(E$7:E47))</f>
        <v>6</v>
      </c>
      <c r="B47" s="188" t="s">
        <v>264</v>
      </c>
      <c r="C47" s="43" t="s">
        <v>21</v>
      </c>
      <c r="D47" s="189">
        <v>2</v>
      </c>
      <c r="E47" s="189">
        <v>1200</v>
      </c>
      <c r="F47" s="305"/>
      <c r="G47" s="189">
        <f>ROUND(D47*E47,2)</f>
        <v>2400</v>
      </c>
      <c r="H47" s="306"/>
      <c r="I47" s="297"/>
      <c r="J47" s="297"/>
      <c r="K47" s="237"/>
      <c r="L47" s="238"/>
      <c r="M47" s="238"/>
      <c r="N47" s="238"/>
      <c r="O47" s="238"/>
      <c r="P47" s="238"/>
      <c r="Q47" s="238"/>
      <c r="R47" s="238"/>
      <c r="S47" s="238"/>
      <c r="T47" s="238"/>
      <c r="U47" s="238"/>
      <c r="V47" s="238"/>
      <c r="W47" s="238"/>
      <c r="X47" s="238"/>
      <c r="Y47" s="238"/>
      <c r="Z47" s="278"/>
    </row>
    <row r="48" spans="1:26" ht="15" customHeight="1">
      <c r="A48" s="169" t="str">
        <f>IF(ISBLANK(E48),"",COUNTA(E$7:E48))</f>
        <v/>
      </c>
      <c r="B48" s="307" t="s">
        <v>265</v>
      </c>
      <c r="C48" s="307" t="s">
        <v>21</v>
      </c>
      <c r="D48" s="301">
        <v>2</v>
      </c>
      <c r="E48" s="303"/>
      <c r="F48" s="303">
        <v>662</v>
      </c>
      <c r="G48" s="303"/>
      <c r="H48" s="303">
        <f>ROUND(D48*F48,2)</f>
        <v>1324</v>
      </c>
      <c r="I48" s="307" t="s">
        <v>266</v>
      </c>
      <c r="J48" s="297"/>
      <c r="K48" s="237"/>
      <c r="L48" s="238"/>
      <c r="M48" s="238"/>
      <c r="N48" s="238"/>
      <c r="O48" s="238"/>
      <c r="P48" s="238"/>
      <c r="Q48" s="238"/>
      <c r="R48" s="238"/>
      <c r="S48" s="238"/>
      <c r="T48" s="238"/>
      <c r="U48" s="238"/>
      <c r="V48" s="238"/>
      <c r="W48" s="238"/>
      <c r="X48" s="238"/>
      <c r="Y48" s="238"/>
      <c r="Z48" s="278"/>
    </row>
    <row r="49" spans="1:26" ht="13.65" customHeight="1">
      <c r="A49" s="304">
        <f>IF(ISBLANK(E49),"",COUNTA(E$7:E49))</f>
        <v>7</v>
      </c>
      <c r="B49" s="188" t="s">
        <v>267</v>
      </c>
      <c r="C49" s="43" t="s">
        <v>27</v>
      </c>
      <c r="D49" s="310">
        <v>95</v>
      </c>
      <c r="E49" s="189">
        <v>168</v>
      </c>
      <c r="F49" s="305"/>
      <c r="G49" s="189">
        <f>ROUND(D49*E49,2)</f>
        <v>15960</v>
      </c>
      <c r="H49" s="306"/>
      <c r="I49" s="307" t="s">
        <v>268</v>
      </c>
      <c r="J49" s="297"/>
      <c r="K49" s="237"/>
      <c r="L49" s="238"/>
      <c r="M49" s="238"/>
      <c r="N49" s="238"/>
      <c r="O49" s="238"/>
      <c r="P49" s="238"/>
      <c r="Q49" s="238"/>
      <c r="R49" s="238"/>
      <c r="S49" s="238"/>
      <c r="T49" s="238"/>
      <c r="U49" s="238"/>
      <c r="V49" s="238"/>
      <c r="W49" s="238"/>
      <c r="X49" s="238"/>
      <c r="Y49" s="238"/>
      <c r="Z49" s="278"/>
    </row>
    <row r="50" spans="1:26" ht="13.65" customHeight="1">
      <c r="A50" s="169" t="str">
        <f>IF(ISBLANK(E50),"",COUNTA(E$7:E50))</f>
        <v/>
      </c>
      <c r="B50" s="307" t="s">
        <v>269</v>
      </c>
      <c r="C50" s="307" t="s">
        <v>21</v>
      </c>
      <c r="D50" s="315">
        <v>16</v>
      </c>
      <c r="E50" s="303"/>
      <c r="F50" s="303">
        <v>102.56</v>
      </c>
      <c r="G50" s="303"/>
      <c r="H50" s="303">
        <f t="shared" ref="H50:H61" si="2">ROUND(D50*F50,2)</f>
        <v>1640.96</v>
      </c>
      <c r="I50" s="699" t="s">
        <v>270</v>
      </c>
      <c r="J50" s="297"/>
      <c r="K50" s="316">
        <f>D50*2</f>
        <v>32</v>
      </c>
      <c r="L50" s="238"/>
      <c r="M50" s="238"/>
      <c r="N50" s="238"/>
      <c r="O50" s="238"/>
      <c r="P50" s="238"/>
      <c r="Q50" s="238"/>
      <c r="R50" s="238"/>
      <c r="S50" s="238"/>
      <c r="T50" s="238"/>
      <c r="U50" s="238"/>
      <c r="V50" s="238"/>
      <c r="W50" s="238"/>
      <c r="X50" s="238"/>
      <c r="Y50" s="238"/>
      <c r="Z50" s="278"/>
    </row>
    <row r="51" spans="1:26" ht="13.65" customHeight="1">
      <c r="A51" s="169" t="str">
        <f>IF(ISBLANK(E51),"",COUNTA(E$7:E51))</f>
        <v/>
      </c>
      <c r="B51" s="307" t="s">
        <v>271</v>
      </c>
      <c r="C51" s="307" t="s">
        <v>21</v>
      </c>
      <c r="D51" s="315">
        <v>22</v>
      </c>
      <c r="E51" s="303"/>
      <c r="F51" s="303">
        <v>58.77</v>
      </c>
      <c r="G51" s="303"/>
      <c r="H51" s="303">
        <f t="shared" si="2"/>
        <v>1292.94</v>
      </c>
      <c r="I51" s="703"/>
      <c r="J51" s="297"/>
      <c r="K51" s="316">
        <v>22</v>
      </c>
      <c r="L51" s="238"/>
      <c r="M51" s="238"/>
      <c r="N51" s="238"/>
      <c r="O51" s="238"/>
      <c r="P51" s="238"/>
      <c r="Q51" s="238"/>
      <c r="R51" s="238"/>
      <c r="S51" s="238"/>
      <c r="T51" s="238"/>
      <c r="U51" s="238"/>
      <c r="V51" s="238"/>
      <c r="W51" s="238"/>
      <c r="X51" s="238"/>
      <c r="Y51" s="238"/>
      <c r="Z51" s="278"/>
    </row>
    <row r="52" spans="1:26" ht="13.65" customHeight="1">
      <c r="A52" s="169" t="str">
        <f>IF(ISBLANK(E52),"",COUNTA(E$7:E52))</f>
        <v/>
      </c>
      <c r="B52" s="307" t="s">
        <v>272</v>
      </c>
      <c r="C52" s="307" t="s">
        <v>21</v>
      </c>
      <c r="D52" s="315">
        <v>24</v>
      </c>
      <c r="E52" s="303"/>
      <c r="F52" s="303">
        <v>40.880000000000003</v>
      </c>
      <c r="G52" s="303"/>
      <c r="H52" s="303">
        <f t="shared" si="2"/>
        <v>981.12</v>
      </c>
      <c r="I52" s="703"/>
      <c r="J52" s="297"/>
      <c r="K52" s="316">
        <v>12</v>
      </c>
      <c r="L52" s="238"/>
      <c r="M52" s="238"/>
      <c r="N52" s="238"/>
      <c r="O52" s="238"/>
      <c r="P52" s="238"/>
      <c r="Q52" s="238"/>
      <c r="R52" s="238"/>
      <c r="S52" s="238"/>
      <c r="T52" s="238"/>
      <c r="U52" s="238"/>
      <c r="V52" s="238"/>
      <c r="W52" s="238"/>
      <c r="X52" s="238"/>
      <c r="Y52" s="238"/>
      <c r="Z52" s="278"/>
    </row>
    <row r="53" spans="1:26" ht="13.65" customHeight="1">
      <c r="A53" s="169" t="str">
        <f>IF(ISBLANK(E53),"",COUNTA(E$7:E53))</f>
        <v/>
      </c>
      <c r="B53" s="307" t="s">
        <v>273</v>
      </c>
      <c r="C53" s="307" t="s">
        <v>21</v>
      </c>
      <c r="D53" s="315">
        <v>16</v>
      </c>
      <c r="E53" s="303"/>
      <c r="F53" s="303">
        <v>34.64</v>
      </c>
      <c r="G53" s="303"/>
      <c r="H53" s="303">
        <f t="shared" si="2"/>
        <v>554.24</v>
      </c>
      <c r="I53" s="700"/>
      <c r="J53" s="297"/>
      <c r="K53" s="316">
        <v>4</v>
      </c>
      <c r="L53" s="238"/>
      <c r="M53" s="238"/>
      <c r="N53" s="238"/>
      <c r="O53" s="238"/>
      <c r="P53" s="238"/>
      <c r="Q53" s="238"/>
      <c r="R53" s="238"/>
      <c r="S53" s="238"/>
      <c r="T53" s="238"/>
      <c r="U53" s="238"/>
      <c r="V53" s="238"/>
      <c r="W53" s="238"/>
      <c r="X53" s="238"/>
      <c r="Y53" s="238"/>
      <c r="Z53" s="278"/>
    </row>
    <row r="54" spans="1:26" ht="13.65" customHeight="1">
      <c r="A54" s="169" t="str">
        <f>IF(ISBLANK(E54),"",COUNTA(E$7:E54))</f>
        <v/>
      </c>
      <c r="B54" s="312" t="s">
        <v>274</v>
      </c>
      <c r="C54" s="307" t="s">
        <v>21</v>
      </c>
      <c r="D54" s="301">
        <v>6</v>
      </c>
      <c r="E54" s="303"/>
      <c r="F54" s="303">
        <v>102.56</v>
      </c>
      <c r="G54" s="303"/>
      <c r="H54" s="303">
        <f t="shared" si="2"/>
        <v>615.36</v>
      </c>
      <c r="I54" s="699" t="s">
        <v>275</v>
      </c>
      <c r="J54" s="297"/>
      <c r="K54" s="237"/>
      <c r="L54" s="238"/>
      <c r="M54" s="238"/>
      <c r="N54" s="238"/>
      <c r="O54" s="238"/>
      <c r="P54" s="238"/>
      <c r="Q54" s="238"/>
      <c r="R54" s="238"/>
      <c r="S54" s="238"/>
      <c r="T54" s="238"/>
      <c r="U54" s="238"/>
      <c r="V54" s="238"/>
      <c r="W54" s="238"/>
      <c r="X54" s="238"/>
      <c r="Y54" s="238"/>
      <c r="Z54" s="278"/>
    </row>
    <row r="55" spans="1:26" ht="13.65" customHeight="1">
      <c r="A55" s="169" t="str">
        <f>IF(ISBLANK(E55),"",COUNTA(E$7:E55))</f>
        <v/>
      </c>
      <c r="B55" s="312" t="s">
        <v>276</v>
      </c>
      <c r="C55" s="307" t="s">
        <v>21</v>
      </c>
      <c r="D55" s="301">
        <v>8</v>
      </c>
      <c r="E55" s="303"/>
      <c r="F55" s="303">
        <v>58.77</v>
      </c>
      <c r="G55" s="303"/>
      <c r="H55" s="303">
        <f t="shared" si="2"/>
        <v>470.16</v>
      </c>
      <c r="I55" s="703"/>
      <c r="J55" s="297"/>
      <c r="K55" s="237"/>
      <c r="L55" s="238"/>
      <c r="M55" s="238"/>
      <c r="N55" s="238"/>
      <c r="O55" s="238"/>
      <c r="P55" s="238"/>
      <c r="Q55" s="238"/>
      <c r="R55" s="238"/>
      <c r="S55" s="238"/>
      <c r="T55" s="238"/>
      <c r="U55" s="238"/>
      <c r="V55" s="238"/>
      <c r="W55" s="238"/>
      <c r="X55" s="238"/>
      <c r="Y55" s="238"/>
      <c r="Z55" s="278"/>
    </row>
    <row r="56" spans="1:26" ht="13.65" customHeight="1">
      <c r="A56" s="169" t="str">
        <f>IF(ISBLANK(E56),"",COUNTA(E$7:E56))</f>
        <v/>
      </c>
      <c r="B56" s="312" t="s">
        <v>277</v>
      </c>
      <c r="C56" s="307" t="s">
        <v>21</v>
      </c>
      <c r="D56" s="301">
        <v>8</v>
      </c>
      <c r="E56" s="303"/>
      <c r="F56" s="303">
        <v>40.880000000000003</v>
      </c>
      <c r="G56" s="303"/>
      <c r="H56" s="303">
        <f t="shared" si="2"/>
        <v>327.04000000000002</v>
      </c>
      <c r="I56" s="703"/>
      <c r="J56" s="297"/>
      <c r="K56" s="237"/>
      <c r="L56" s="238"/>
      <c r="M56" s="238"/>
      <c r="N56" s="238"/>
      <c r="O56" s="238"/>
      <c r="P56" s="238"/>
      <c r="Q56" s="238"/>
      <c r="R56" s="238"/>
      <c r="S56" s="238"/>
      <c r="T56" s="238"/>
      <c r="U56" s="238"/>
      <c r="V56" s="238"/>
      <c r="W56" s="238"/>
      <c r="X56" s="238"/>
      <c r="Y56" s="238"/>
      <c r="Z56" s="278"/>
    </row>
    <row r="57" spans="1:26" ht="13.65" customHeight="1">
      <c r="A57" s="169" t="str">
        <f>IF(ISBLANK(E57),"",COUNTA(E$7:E57))</f>
        <v/>
      </c>
      <c r="B57" s="312" t="s">
        <v>278</v>
      </c>
      <c r="C57" s="307" t="s">
        <v>21</v>
      </c>
      <c r="D57" s="301">
        <v>8</v>
      </c>
      <c r="E57" s="303"/>
      <c r="F57" s="303">
        <v>34.64</v>
      </c>
      <c r="G57" s="303"/>
      <c r="H57" s="303">
        <f t="shared" si="2"/>
        <v>277.12</v>
      </c>
      <c r="I57" s="700"/>
      <c r="J57" s="297"/>
      <c r="K57" s="237"/>
      <c r="L57" s="238"/>
      <c r="M57" s="238"/>
      <c r="N57" s="238"/>
      <c r="O57" s="238"/>
      <c r="P57" s="238"/>
      <c r="Q57" s="238"/>
      <c r="R57" s="238"/>
      <c r="S57" s="238"/>
      <c r="T57" s="238"/>
      <c r="U57" s="238"/>
      <c r="V57" s="238"/>
      <c r="W57" s="238"/>
      <c r="X57" s="238"/>
      <c r="Y57" s="238"/>
      <c r="Z57" s="278"/>
    </row>
    <row r="58" spans="1:26" ht="13.65" customHeight="1">
      <c r="A58" s="169" t="str">
        <f>IF(ISBLANK(E58),"",COUNTA(E$7:E58))</f>
        <v/>
      </c>
      <c r="B58" s="307" t="s">
        <v>279</v>
      </c>
      <c r="C58" s="307" t="s">
        <v>21</v>
      </c>
      <c r="D58" s="301">
        <v>40</v>
      </c>
      <c r="E58" s="303"/>
      <c r="F58" s="303">
        <v>25.67</v>
      </c>
      <c r="G58" s="303"/>
      <c r="H58" s="303">
        <f t="shared" si="2"/>
        <v>1026.8</v>
      </c>
      <c r="I58" s="297"/>
      <c r="J58" s="297"/>
      <c r="K58" s="237"/>
      <c r="L58" s="238"/>
      <c r="M58" s="238"/>
      <c r="N58" s="238"/>
      <c r="O58" s="238"/>
      <c r="P58" s="238"/>
      <c r="Q58" s="238"/>
      <c r="R58" s="238"/>
      <c r="S58" s="238"/>
      <c r="T58" s="238"/>
      <c r="U58" s="238"/>
      <c r="V58" s="238"/>
      <c r="W58" s="238"/>
      <c r="X58" s="238"/>
      <c r="Y58" s="238"/>
      <c r="Z58" s="278"/>
    </row>
    <row r="59" spans="1:26" ht="13.65" customHeight="1">
      <c r="A59" s="169" t="str">
        <f>IF(ISBLANK(E59),"",COUNTA(E$7:E59))</f>
        <v/>
      </c>
      <c r="B59" s="307" t="s">
        <v>280</v>
      </c>
      <c r="C59" s="307" t="s">
        <v>21</v>
      </c>
      <c r="D59" s="301">
        <v>20</v>
      </c>
      <c r="E59" s="303"/>
      <c r="F59" s="303">
        <v>36.67</v>
      </c>
      <c r="G59" s="303"/>
      <c r="H59" s="303">
        <f t="shared" si="2"/>
        <v>733.4</v>
      </c>
      <c r="I59" s="297"/>
      <c r="J59" s="297"/>
      <c r="K59" s="237"/>
      <c r="L59" s="238"/>
      <c r="M59" s="238"/>
      <c r="N59" s="238"/>
      <c r="O59" s="238"/>
      <c r="P59" s="238"/>
      <c r="Q59" s="238"/>
      <c r="R59" s="238"/>
      <c r="S59" s="238"/>
      <c r="T59" s="238"/>
      <c r="U59" s="238"/>
      <c r="V59" s="238"/>
      <c r="W59" s="238"/>
      <c r="X59" s="238"/>
      <c r="Y59" s="238"/>
      <c r="Z59" s="278"/>
    </row>
    <row r="60" spans="1:26" ht="13.65" customHeight="1">
      <c r="A60" s="169" t="str">
        <f>IF(ISBLANK(E60),"",COUNTA(E$7:E60))</f>
        <v/>
      </c>
      <c r="B60" s="307" t="s">
        <v>281</v>
      </c>
      <c r="C60" s="307" t="s">
        <v>21</v>
      </c>
      <c r="D60" s="301">
        <v>10</v>
      </c>
      <c r="E60" s="303"/>
      <c r="F60" s="317">
        <v>102.98</v>
      </c>
      <c r="G60" s="303"/>
      <c r="H60" s="303">
        <f t="shared" si="2"/>
        <v>1029.8</v>
      </c>
      <c r="I60" s="318">
        <v>32</v>
      </c>
      <c r="J60" s="297"/>
      <c r="K60" s="237"/>
      <c r="L60" s="238"/>
      <c r="M60" s="238"/>
      <c r="N60" s="238"/>
      <c r="O60" s="238"/>
      <c r="P60" s="238"/>
      <c r="Q60" s="238"/>
      <c r="R60" s="238"/>
      <c r="S60" s="238"/>
      <c r="T60" s="238"/>
      <c r="U60" s="238"/>
      <c r="V60" s="238"/>
      <c r="W60" s="238"/>
      <c r="X60" s="238"/>
      <c r="Y60" s="238"/>
      <c r="Z60" s="278"/>
    </row>
    <row r="61" spans="1:26" ht="13.65" customHeight="1">
      <c r="A61" s="169" t="str">
        <f>IF(ISBLANK(E61),"",COUNTA(E$7:E61))</f>
        <v/>
      </c>
      <c r="B61" s="307" t="s">
        <v>282</v>
      </c>
      <c r="C61" s="307" t="s">
        <v>21</v>
      </c>
      <c r="D61" s="301">
        <v>60</v>
      </c>
      <c r="E61" s="303"/>
      <c r="F61" s="303">
        <v>10.85</v>
      </c>
      <c r="G61" s="303"/>
      <c r="H61" s="303">
        <f t="shared" si="2"/>
        <v>651</v>
      </c>
      <c r="I61" s="297"/>
      <c r="J61" s="297"/>
      <c r="K61" s="237"/>
      <c r="L61" s="238"/>
      <c r="M61" s="238"/>
      <c r="N61" s="238"/>
      <c r="O61" s="238"/>
      <c r="P61" s="238"/>
      <c r="Q61" s="238"/>
      <c r="R61" s="238"/>
      <c r="S61" s="238"/>
      <c r="T61" s="238"/>
      <c r="U61" s="238"/>
      <c r="V61" s="238"/>
      <c r="W61" s="238"/>
      <c r="X61" s="238"/>
      <c r="Y61" s="238"/>
      <c r="Z61" s="278"/>
    </row>
    <row r="62" spans="1:26" ht="13.65" customHeight="1">
      <c r="A62" s="304">
        <f>IF(ISBLANK(E62),"",COUNTA(E$7:E62))</f>
        <v>8</v>
      </c>
      <c r="B62" s="188" t="s">
        <v>283</v>
      </c>
      <c r="C62" s="43" t="s">
        <v>27</v>
      </c>
      <c r="D62" s="189">
        <v>20</v>
      </c>
      <c r="E62" s="189">
        <v>204</v>
      </c>
      <c r="F62" s="305"/>
      <c r="G62" s="189">
        <f>ROUND(D62*E62,2)</f>
        <v>4080</v>
      </c>
      <c r="H62" s="306"/>
      <c r="I62" s="297"/>
      <c r="J62" s="297"/>
      <c r="K62" s="237"/>
      <c r="L62" s="238"/>
      <c r="M62" s="238"/>
      <c r="N62" s="238"/>
      <c r="O62" s="238"/>
      <c r="P62" s="238"/>
      <c r="Q62" s="238"/>
      <c r="R62" s="238"/>
      <c r="S62" s="238"/>
      <c r="T62" s="238"/>
      <c r="U62" s="238"/>
      <c r="V62" s="238"/>
      <c r="W62" s="238"/>
      <c r="X62" s="238"/>
      <c r="Y62" s="238"/>
      <c r="Z62" s="278"/>
    </row>
    <row r="63" spans="1:26" ht="13.65" customHeight="1">
      <c r="A63" s="169" t="str">
        <f>IF(ISBLANK(E63),"",COUNTA(E$7:E63))</f>
        <v/>
      </c>
      <c r="B63" s="307" t="s">
        <v>284</v>
      </c>
      <c r="C63" s="307" t="s">
        <v>21</v>
      </c>
      <c r="D63" s="315">
        <v>2</v>
      </c>
      <c r="E63" s="303"/>
      <c r="F63" s="303">
        <v>294.35000000000002</v>
      </c>
      <c r="G63" s="303"/>
      <c r="H63" s="303">
        <f>ROUND(D63*F63,2)</f>
        <v>588.70000000000005</v>
      </c>
      <c r="I63" s="699" t="s">
        <v>285</v>
      </c>
      <c r="J63" s="297"/>
      <c r="K63" s="316">
        <f>D63*2</f>
        <v>4</v>
      </c>
      <c r="L63" s="238"/>
      <c r="M63" s="238"/>
      <c r="N63" s="238"/>
      <c r="O63" s="238"/>
      <c r="P63" s="238"/>
      <c r="Q63" s="238"/>
      <c r="R63" s="238"/>
      <c r="S63" s="238"/>
      <c r="T63" s="238"/>
      <c r="U63" s="238"/>
      <c r="V63" s="238"/>
      <c r="W63" s="238"/>
      <c r="X63" s="238"/>
      <c r="Y63" s="238"/>
      <c r="Z63" s="278"/>
    </row>
    <row r="64" spans="1:26" ht="13.65" customHeight="1">
      <c r="A64" s="169" t="str">
        <f>IF(ISBLANK(E64),"",COUNTA(E$7:E64))</f>
        <v/>
      </c>
      <c r="B64" s="307" t="s">
        <v>286</v>
      </c>
      <c r="C64" s="307" t="s">
        <v>21</v>
      </c>
      <c r="D64" s="315">
        <v>5</v>
      </c>
      <c r="E64" s="303"/>
      <c r="F64" s="303">
        <v>194.04</v>
      </c>
      <c r="G64" s="303"/>
      <c r="H64" s="303">
        <f>ROUND(D64*F64,2)</f>
        <v>970.2</v>
      </c>
      <c r="I64" s="703"/>
      <c r="J64" s="297"/>
      <c r="K64" s="316">
        <v>6</v>
      </c>
      <c r="L64" s="238"/>
      <c r="M64" s="238"/>
      <c r="N64" s="238"/>
      <c r="O64" s="238"/>
      <c r="P64" s="238"/>
      <c r="Q64" s="238"/>
      <c r="R64" s="238"/>
      <c r="S64" s="238"/>
      <c r="T64" s="238"/>
      <c r="U64" s="238"/>
      <c r="V64" s="238"/>
      <c r="W64" s="238"/>
      <c r="X64" s="238"/>
      <c r="Y64" s="238"/>
      <c r="Z64" s="278"/>
    </row>
    <row r="65" spans="1:26" ht="13.65" customHeight="1">
      <c r="A65" s="169" t="str">
        <f>IF(ISBLANK(E65),"",COUNTA(E$7:E65))</f>
        <v/>
      </c>
      <c r="B65" s="307" t="s">
        <v>287</v>
      </c>
      <c r="C65" s="307" t="s">
        <v>21</v>
      </c>
      <c r="D65" s="315">
        <v>16</v>
      </c>
      <c r="E65" s="303"/>
      <c r="F65" s="303">
        <v>119.46</v>
      </c>
      <c r="G65" s="303"/>
      <c r="H65" s="303">
        <f>ROUND(D65*F65,2)</f>
        <v>1911.36</v>
      </c>
      <c r="I65" s="703"/>
      <c r="J65" s="297"/>
      <c r="K65" s="316">
        <f>D65*0.5</f>
        <v>8</v>
      </c>
      <c r="L65" s="238"/>
      <c r="M65" s="238"/>
      <c r="N65" s="238"/>
      <c r="O65" s="238"/>
      <c r="P65" s="238"/>
      <c r="Q65" s="238"/>
      <c r="R65" s="238"/>
      <c r="S65" s="238"/>
      <c r="T65" s="238"/>
      <c r="U65" s="238"/>
      <c r="V65" s="238"/>
      <c r="W65" s="238"/>
      <c r="X65" s="238"/>
      <c r="Y65" s="238"/>
      <c r="Z65" s="278"/>
    </row>
    <row r="66" spans="1:26" ht="13.65" customHeight="1">
      <c r="A66" s="169" t="str">
        <f>IF(ISBLANK(E66),"",COUNTA(E$7:E66))</f>
        <v/>
      </c>
      <c r="B66" s="307" t="s">
        <v>288</v>
      </c>
      <c r="C66" s="307" t="s">
        <v>21</v>
      </c>
      <c r="D66" s="315">
        <v>12</v>
      </c>
      <c r="E66" s="303"/>
      <c r="F66" s="303">
        <v>68.13</v>
      </c>
      <c r="G66" s="303"/>
      <c r="H66" s="303">
        <f>ROUND(D66*F66,2)</f>
        <v>817.56</v>
      </c>
      <c r="I66" s="700"/>
      <c r="J66" s="297"/>
      <c r="K66" s="316">
        <f>D66*0.25</f>
        <v>3</v>
      </c>
      <c r="L66" s="238"/>
      <c r="M66" s="238"/>
      <c r="N66" s="238"/>
      <c r="O66" s="238"/>
      <c r="P66" s="238"/>
      <c r="Q66" s="238"/>
      <c r="R66" s="238"/>
      <c r="S66" s="238"/>
      <c r="T66" s="238"/>
      <c r="U66" s="238"/>
      <c r="V66" s="238"/>
      <c r="W66" s="238"/>
      <c r="X66" s="238"/>
      <c r="Y66" s="238"/>
      <c r="Z66" s="278"/>
    </row>
    <row r="67" spans="1:26" ht="13.65" customHeight="1">
      <c r="A67" s="304">
        <f>IF(ISBLANK(E67),"",COUNTA(E$7:E67))</f>
        <v>9</v>
      </c>
      <c r="B67" s="188" t="s">
        <v>247</v>
      </c>
      <c r="C67" s="43" t="s">
        <v>21</v>
      </c>
      <c r="D67" s="189">
        <v>167</v>
      </c>
      <c r="E67" s="189">
        <v>40</v>
      </c>
      <c r="F67" s="305"/>
      <c r="G67" s="189">
        <f>ROUND(D67*E67,2)</f>
        <v>6680</v>
      </c>
      <c r="H67" s="306"/>
      <c r="I67" s="297"/>
      <c r="J67" s="297"/>
      <c r="K67" s="237"/>
      <c r="L67" s="238"/>
      <c r="M67" s="238"/>
      <c r="N67" s="238"/>
      <c r="O67" s="238"/>
      <c r="P67" s="238"/>
      <c r="Q67" s="238"/>
      <c r="R67" s="238"/>
      <c r="S67" s="238"/>
      <c r="T67" s="238"/>
      <c r="U67" s="238"/>
      <c r="V67" s="238"/>
      <c r="W67" s="238"/>
      <c r="X67" s="238"/>
      <c r="Y67" s="238"/>
      <c r="Z67" s="278"/>
    </row>
    <row r="68" spans="1:26" ht="14.25" customHeight="1">
      <c r="A68" s="169" t="str">
        <f>IF(ISBLANK(E68),"",COUNTA(E$7:E68))</f>
        <v/>
      </c>
      <c r="B68" s="307" t="s">
        <v>289</v>
      </c>
      <c r="C68" s="307" t="s">
        <v>21</v>
      </c>
      <c r="D68" s="303">
        <v>5</v>
      </c>
      <c r="E68" s="303"/>
      <c r="F68" s="303">
        <v>59.77</v>
      </c>
      <c r="G68" s="303"/>
      <c r="H68" s="303">
        <f t="shared" ref="H68:H81" si="3">ROUND(D68*F68,2)</f>
        <v>298.85000000000002</v>
      </c>
      <c r="I68" s="699" t="s">
        <v>290</v>
      </c>
      <c r="J68" s="297"/>
      <c r="K68" s="237"/>
      <c r="L68" s="238"/>
      <c r="M68" s="238"/>
      <c r="N68" s="238"/>
      <c r="O68" s="238"/>
      <c r="P68" s="238"/>
      <c r="Q68" s="238"/>
      <c r="R68" s="238"/>
      <c r="S68" s="238"/>
      <c r="T68" s="238"/>
      <c r="U68" s="238"/>
      <c r="V68" s="238"/>
      <c r="W68" s="238"/>
      <c r="X68" s="238"/>
      <c r="Y68" s="238"/>
      <c r="Z68" s="278"/>
    </row>
    <row r="69" spans="1:26" ht="13.65" customHeight="1">
      <c r="A69" s="283" t="str">
        <f>IF(ISBLANK(E69),"",COUNTA(E$7:E69))</f>
        <v/>
      </c>
      <c r="B69" s="48" t="s">
        <v>291</v>
      </c>
      <c r="C69" s="48" t="s">
        <v>21</v>
      </c>
      <c r="D69" s="319">
        <v>18</v>
      </c>
      <c r="E69" s="51"/>
      <c r="F69" s="51">
        <v>55.38</v>
      </c>
      <c r="G69" s="306"/>
      <c r="H69" s="51">
        <f t="shared" si="3"/>
        <v>996.84</v>
      </c>
      <c r="I69" s="703"/>
      <c r="J69" s="297"/>
      <c r="K69" s="320"/>
      <c r="L69" s="238"/>
      <c r="M69" s="238"/>
      <c r="N69" s="238"/>
      <c r="O69" s="238"/>
      <c r="P69" s="238"/>
      <c r="Q69" s="238"/>
      <c r="R69" s="238"/>
      <c r="S69" s="238"/>
      <c r="T69" s="238"/>
      <c r="U69" s="238"/>
      <c r="V69" s="238"/>
      <c r="W69" s="238"/>
      <c r="X69" s="238"/>
      <c r="Y69" s="238"/>
      <c r="Z69" s="278"/>
    </row>
    <row r="70" spans="1:26" ht="13.65" customHeight="1">
      <c r="A70" s="283" t="str">
        <f>IF(ISBLANK(E70),"",COUNTA(E$7:E70))</f>
        <v/>
      </c>
      <c r="B70" s="48" t="s">
        <v>292</v>
      </c>
      <c r="C70" s="48" t="s">
        <v>21</v>
      </c>
      <c r="D70" s="319">
        <v>25</v>
      </c>
      <c r="E70" s="51"/>
      <c r="F70" s="51">
        <v>23.15</v>
      </c>
      <c r="G70" s="306"/>
      <c r="H70" s="51">
        <f t="shared" si="3"/>
        <v>578.75</v>
      </c>
      <c r="I70" s="703"/>
      <c r="J70" s="297"/>
      <c r="K70" s="320"/>
      <c r="L70" s="238"/>
      <c r="M70" s="238"/>
      <c r="N70" s="238"/>
      <c r="O70" s="238"/>
      <c r="P70" s="238"/>
      <c r="Q70" s="238"/>
      <c r="R70" s="238"/>
      <c r="S70" s="238"/>
      <c r="T70" s="238"/>
      <c r="U70" s="238"/>
      <c r="V70" s="238"/>
      <c r="W70" s="238"/>
      <c r="X70" s="238"/>
      <c r="Y70" s="238"/>
      <c r="Z70" s="278"/>
    </row>
    <row r="71" spans="1:26" ht="13.65" customHeight="1">
      <c r="A71" s="283" t="str">
        <f>IF(ISBLANK(E71),"",COUNTA(E$7:E71))</f>
        <v/>
      </c>
      <c r="B71" s="48" t="s">
        <v>293</v>
      </c>
      <c r="C71" s="48" t="s">
        <v>21</v>
      </c>
      <c r="D71" s="319">
        <v>58</v>
      </c>
      <c r="E71" s="51"/>
      <c r="F71" s="51">
        <v>21.12</v>
      </c>
      <c r="G71" s="306"/>
      <c r="H71" s="51">
        <f t="shared" si="3"/>
        <v>1224.96</v>
      </c>
      <c r="I71" s="703"/>
      <c r="J71" s="297"/>
      <c r="K71" s="320"/>
      <c r="L71" s="238"/>
      <c r="M71" s="238"/>
      <c r="N71" s="238"/>
      <c r="O71" s="238"/>
      <c r="P71" s="238"/>
      <c r="Q71" s="238"/>
      <c r="R71" s="238"/>
      <c r="S71" s="238"/>
      <c r="T71" s="238"/>
      <c r="U71" s="238"/>
      <c r="V71" s="238"/>
      <c r="W71" s="238"/>
      <c r="X71" s="238"/>
      <c r="Y71" s="238"/>
      <c r="Z71" s="278"/>
    </row>
    <row r="72" spans="1:26" ht="13.65" customHeight="1">
      <c r="A72" s="283" t="str">
        <f>IF(ISBLANK(E72),"",COUNTA(E$7:E72))</f>
        <v/>
      </c>
      <c r="B72" s="48" t="s">
        <v>294</v>
      </c>
      <c r="C72" s="48" t="s">
        <v>21</v>
      </c>
      <c r="D72" s="319">
        <v>5</v>
      </c>
      <c r="E72" s="51"/>
      <c r="F72" s="51">
        <v>23.15</v>
      </c>
      <c r="G72" s="306"/>
      <c r="H72" s="51">
        <f t="shared" si="3"/>
        <v>115.75</v>
      </c>
      <c r="I72" s="703"/>
      <c r="J72" s="297"/>
      <c r="K72" s="320"/>
      <c r="L72" s="238"/>
      <c r="M72" s="238"/>
      <c r="N72" s="238"/>
      <c r="O72" s="238"/>
      <c r="P72" s="238"/>
      <c r="Q72" s="238"/>
      <c r="R72" s="238"/>
      <c r="S72" s="238"/>
      <c r="T72" s="238"/>
      <c r="U72" s="238"/>
      <c r="V72" s="238"/>
      <c r="W72" s="238"/>
      <c r="X72" s="238"/>
      <c r="Y72" s="238"/>
      <c r="Z72" s="278"/>
    </row>
    <row r="73" spans="1:26" ht="13.65" customHeight="1">
      <c r="A73" s="283" t="str">
        <f>IF(ISBLANK(E73),"",COUNTA(E$7:E73))</f>
        <v/>
      </c>
      <c r="B73" s="48" t="s">
        <v>295</v>
      </c>
      <c r="C73" s="48" t="s">
        <v>21</v>
      </c>
      <c r="D73" s="319">
        <v>10</v>
      </c>
      <c r="E73" s="51"/>
      <c r="F73" s="51">
        <v>21.12</v>
      </c>
      <c r="G73" s="306"/>
      <c r="H73" s="51">
        <f t="shared" si="3"/>
        <v>211.2</v>
      </c>
      <c r="I73" s="703"/>
      <c r="J73" s="297"/>
      <c r="K73" s="320"/>
      <c r="L73" s="238"/>
      <c r="M73" s="238"/>
      <c r="N73" s="238"/>
      <c r="O73" s="238"/>
      <c r="P73" s="238"/>
      <c r="Q73" s="238"/>
      <c r="R73" s="238"/>
      <c r="S73" s="238"/>
      <c r="T73" s="238"/>
      <c r="U73" s="238"/>
      <c r="V73" s="238"/>
      <c r="W73" s="238"/>
      <c r="X73" s="238"/>
      <c r="Y73" s="238"/>
      <c r="Z73" s="278"/>
    </row>
    <row r="74" spans="1:26" ht="13.65" customHeight="1">
      <c r="A74" s="283" t="str">
        <f>IF(ISBLANK(E74),"",COUNTA(E$7:E74))</f>
        <v/>
      </c>
      <c r="B74" s="48" t="s">
        <v>296</v>
      </c>
      <c r="C74" s="48" t="s">
        <v>21</v>
      </c>
      <c r="D74" s="319">
        <v>2</v>
      </c>
      <c r="E74" s="51"/>
      <c r="F74" s="51">
        <v>95.52</v>
      </c>
      <c r="G74" s="306"/>
      <c r="H74" s="51">
        <f t="shared" si="3"/>
        <v>191.04</v>
      </c>
      <c r="I74" s="703"/>
      <c r="J74" s="297"/>
      <c r="K74" s="320"/>
      <c r="L74" s="238"/>
      <c r="M74" s="238"/>
      <c r="N74" s="238"/>
      <c r="O74" s="238"/>
      <c r="P74" s="238"/>
      <c r="Q74" s="238"/>
      <c r="R74" s="238"/>
      <c r="S74" s="238"/>
      <c r="T74" s="238"/>
      <c r="U74" s="238"/>
      <c r="V74" s="238"/>
      <c r="W74" s="238"/>
      <c r="X74" s="238"/>
      <c r="Y74" s="238"/>
      <c r="Z74" s="278"/>
    </row>
    <row r="75" spans="1:26" ht="13.65" customHeight="1">
      <c r="A75" s="283" t="str">
        <f>IF(ISBLANK(E75),"",COUNTA(E$7:E75))</f>
        <v/>
      </c>
      <c r="B75" s="48" t="s">
        <v>297</v>
      </c>
      <c r="C75" s="48" t="s">
        <v>21</v>
      </c>
      <c r="D75" s="319">
        <v>4</v>
      </c>
      <c r="E75" s="51"/>
      <c r="F75" s="51">
        <v>99.52</v>
      </c>
      <c r="G75" s="306"/>
      <c r="H75" s="51">
        <f t="shared" si="3"/>
        <v>398.08</v>
      </c>
      <c r="I75" s="703"/>
      <c r="J75" s="297"/>
      <c r="K75" s="320"/>
      <c r="L75" s="238"/>
      <c r="M75" s="238"/>
      <c r="N75" s="238"/>
      <c r="O75" s="238"/>
      <c r="P75" s="238"/>
      <c r="Q75" s="238"/>
      <c r="R75" s="238"/>
      <c r="S75" s="238"/>
      <c r="T75" s="238"/>
      <c r="U75" s="238"/>
      <c r="V75" s="238"/>
      <c r="W75" s="238"/>
      <c r="X75" s="238"/>
      <c r="Y75" s="238"/>
      <c r="Z75" s="278"/>
    </row>
    <row r="76" spans="1:26" ht="13.65" customHeight="1">
      <c r="A76" s="283" t="str">
        <f>IF(ISBLANK(E76),"",COUNTA(E$7:E76))</f>
        <v/>
      </c>
      <c r="B76" s="48" t="s">
        <v>298</v>
      </c>
      <c r="C76" s="48" t="s">
        <v>21</v>
      </c>
      <c r="D76" s="319">
        <v>6</v>
      </c>
      <c r="E76" s="51"/>
      <c r="F76" s="51">
        <v>79.63</v>
      </c>
      <c r="G76" s="306"/>
      <c r="H76" s="51">
        <f t="shared" si="3"/>
        <v>477.78</v>
      </c>
      <c r="I76" s="703"/>
      <c r="J76" s="297"/>
      <c r="K76" s="320"/>
      <c r="L76" s="238"/>
      <c r="M76" s="238"/>
      <c r="N76" s="238"/>
      <c r="O76" s="238"/>
      <c r="P76" s="238"/>
      <c r="Q76" s="238"/>
      <c r="R76" s="238"/>
      <c r="S76" s="238"/>
      <c r="T76" s="238"/>
      <c r="U76" s="238"/>
      <c r="V76" s="238"/>
      <c r="W76" s="238"/>
      <c r="X76" s="238"/>
      <c r="Y76" s="238"/>
      <c r="Z76" s="278"/>
    </row>
    <row r="77" spans="1:26" ht="13.65" customHeight="1">
      <c r="A77" s="283" t="str">
        <f>IF(ISBLANK(E77),"",COUNTA(E$7:E77))</f>
        <v/>
      </c>
      <c r="B77" s="48" t="s">
        <v>299</v>
      </c>
      <c r="C77" s="48" t="s">
        <v>21</v>
      </c>
      <c r="D77" s="319">
        <v>10</v>
      </c>
      <c r="E77" s="51"/>
      <c r="F77" s="51">
        <v>41.24</v>
      </c>
      <c r="G77" s="306"/>
      <c r="H77" s="51">
        <f t="shared" si="3"/>
        <v>412.4</v>
      </c>
      <c r="I77" s="703"/>
      <c r="J77" s="297"/>
      <c r="K77" s="320"/>
      <c r="L77" s="238"/>
      <c r="M77" s="238"/>
      <c r="N77" s="238"/>
      <c r="O77" s="238"/>
      <c r="P77" s="238"/>
      <c r="Q77" s="238"/>
      <c r="R77" s="238"/>
      <c r="S77" s="238"/>
      <c r="T77" s="238"/>
      <c r="U77" s="238"/>
      <c r="V77" s="238"/>
      <c r="W77" s="238"/>
      <c r="X77" s="238"/>
      <c r="Y77" s="238"/>
      <c r="Z77" s="278"/>
    </row>
    <row r="78" spans="1:26" ht="13.65" customHeight="1">
      <c r="A78" s="283" t="str">
        <f>IF(ISBLANK(E78),"",COUNTA(E$7:E78))</f>
        <v/>
      </c>
      <c r="B78" s="48" t="s">
        <v>300</v>
      </c>
      <c r="C78" s="48" t="s">
        <v>21</v>
      </c>
      <c r="D78" s="319">
        <v>20</v>
      </c>
      <c r="E78" s="51"/>
      <c r="F78" s="51">
        <v>42.75</v>
      </c>
      <c r="G78" s="306"/>
      <c r="H78" s="51">
        <f t="shared" si="3"/>
        <v>855</v>
      </c>
      <c r="I78" s="703"/>
      <c r="J78" s="297"/>
      <c r="K78" s="320"/>
      <c r="L78" s="238"/>
      <c r="M78" s="238"/>
      <c r="N78" s="238"/>
      <c r="O78" s="238"/>
      <c r="P78" s="238"/>
      <c r="Q78" s="238"/>
      <c r="R78" s="238"/>
      <c r="S78" s="238"/>
      <c r="T78" s="238"/>
      <c r="U78" s="238"/>
      <c r="V78" s="238"/>
      <c r="W78" s="238"/>
      <c r="X78" s="238"/>
      <c r="Y78" s="238"/>
      <c r="Z78" s="278"/>
    </row>
    <row r="79" spans="1:26" ht="13.65" customHeight="1">
      <c r="A79" s="283" t="str">
        <f>IF(ISBLANK(E79),"",COUNTA(E$7:E79))</f>
        <v/>
      </c>
      <c r="B79" s="48" t="s">
        <v>301</v>
      </c>
      <c r="C79" s="48" t="s">
        <v>21</v>
      </c>
      <c r="D79" s="319">
        <v>3</v>
      </c>
      <c r="E79" s="321"/>
      <c r="F79" s="51">
        <v>48.14</v>
      </c>
      <c r="G79" s="321"/>
      <c r="H79" s="51">
        <f t="shared" si="3"/>
        <v>144.41999999999999</v>
      </c>
      <c r="I79" s="703"/>
      <c r="J79" s="297"/>
      <c r="K79" s="320"/>
      <c r="L79" s="238"/>
      <c r="M79" s="238"/>
      <c r="N79" s="238"/>
      <c r="O79" s="238"/>
      <c r="P79" s="238"/>
      <c r="Q79" s="238"/>
      <c r="R79" s="238"/>
      <c r="S79" s="238"/>
      <c r="T79" s="238"/>
      <c r="U79" s="238"/>
      <c r="V79" s="238"/>
      <c r="W79" s="238"/>
      <c r="X79" s="238"/>
      <c r="Y79" s="238"/>
      <c r="Z79" s="278"/>
    </row>
    <row r="80" spans="1:26" ht="13.65" customHeight="1">
      <c r="A80" s="283" t="str">
        <f>IF(ISBLANK(E80),"",COUNTA(E$7:E80))</f>
        <v/>
      </c>
      <c r="B80" s="48" t="s">
        <v>302</v>
      </c>
      <c r="C80" s="48" t="s">
        <v>21</v>
      </c>
      <c r="D80" s="319">
        <v>1</v>
      </c>
      <c r="E80" s="321"/>
      <c r="F80" s="51">
        <v>25.01</v>
      </c>
      <c r="G80" s="321"/>
      <c r="H80" s="51">
        <f t="shared" si="3"/>
        <v>25.01</v>
      </c>
      <c r="I80" s="700"/>
      <c r="J80" s="297"/>
      <c r="K80" s="320"/>
      <c r="L80" s="238"/>
      <c r="M80" s="238"/>
      <c r="N80" s="238"/>
      <c r="O80" s="238"/>
      <c r="P80" s="238"/>
      <c r="Q80" s="238"/>
      <c r="R80" s="238"/>
      <c r="S80" s="238"/>
      <c r="T80" s="238"/>
      <c r="U80" s="238"/>
      <c r="V80" s="238"/>
      <c r="W80" s="238"/>
      <c r="X80" s="238"/>
      <c r="Y80" s="238"/>
      <c r="Z80" s="278"/>
    </row>
    <row r="81" spans="1:26" ht="17.25" customHeight="1">
      <c r="A81" s="283" t="str">
        <f>IF(ISBLANK(E81),"",COUNTA(E$7:E81))</f>
        <v/>
      </c>
      <c r="B81" s="48" t="s">
        <v>303</v>
      </c>
      <c r="C81" s="48" t="s">
        <v>21</v>
      </c>
      <c r="D81" s="301">
        <v>2</v>
      </c>
      <c r="E81" s="322"/>
      <c r="F81" s="51">
        <v>128.77000000000001</v>
      </c>
      <c r="G81" s="51"/>
      <c r="H81" s="51">
        <f t="shared" si="3"/>
        <v>257.54000000000002</v>
      </c>
      <c r="I81" s="322"/>
      <c r="J81" s="297"/>
      <c r="K81" s="320"/>
      <c r="L81" s="238"/>
      <c r="M81" s="238"/>
      <c r="N81" s="238"/>
      <c r="O81" s="238"/>
      <c r="P81" s="238"/>
      <c r="Q81" s="238"/>
      <c r="R81" s="238"/>
      <c r="S81" s="238"/>
      <c r="T81" s="238"/>
      <c r="U81" s="238"/>
      <c r="V81" s="238"/>
      <c r="W81" s="238"/>
      <c r="X81" s="238"/>
      <c r="Y81" s="238"/>
      <c r="Z81" s="278"/>
    </row>
    <row r="82" spans="1:26" ht="13.65" customHeight="1">
      <c r="A82" s="304">
        <f>IF(ISBLANK(E82),"",COUNTA(E$7:E82))</f>
        <v>10</v>
      </c>
      <c r="B82" s="188" t="s">
        <v>304</v>
      </c>
      <c r="C82" s="43" t="s">
        <v>21</v>
      </c>
      <c r="D82" s="189">
        <v>1</v>
      </c>
      <c r="E82" s="189">
        <v>1440</v>
      </c>
      <c r="F82" s="305"/>
      <c r="G82" s="189">
        <f>ROUND(D82*E82,2)</f>
        <v>1440</v>
      </c>
      <c r="H82" s="306"/>
      <c r="I82" s="297"/>
      <c r="J82" s="297"/>
      <c r="K82" s="237"/>
      <c r="L82" s="238"/>
      <c r="M82" s="238"/>
      <c r="N82" s="238"/>
      <c r="O82" s="238"/>
      <c r="P82" s="238"/>
      <c r="Q82" s="238"/>
      <c r="R82" s="238"/>
      <c r="S82" s="238"/>
      <c r="T82" s="238"/>
      <c r="U82" s="238"/>
      <c r="V82" s="238"/>
      <c r="W82" s="238"/>
      <c r="X82" s="238"/>
      <c r="Y82" s="238"/>
      <c r="Z82" s="278"/>
    </row>
    <row r="83" spans="1:26" ht="17.25" customHeight="1">
      <c r="A83" s="283" t="str">
        <f>IF(ISBLANK(E83),"",COUNTA(E$7:E83))</f>
        <v/>
      </c>
      <c r="B83" s="48" t="s">
        <v>305</v>
      </c>
      <c r="C83" s="48" t="s">
        <v>21</v>
      </c>
      <c r="D83" s="301">
        <v>1</v>
      </c>
      <c r="E83" s="322"/>
      <c r="F83" s="51">
        <v>0</v>
      </c>
      <c r="G83" s="51"/>
      <c r="H83" s="51">
        <f>ROUND(D83*F83,2)</f>
        <v>0</v>
      </c>
      <c r="I83" s="322"/>
      <c r="J83" s="297"/>
      <c r="K83" s="320"/>
      <c r="L83" s="238"/>
      <c r="M83" s="238"/>
      <c r="N83" s="238"/>
      <c r="O83" s="238"/>
      <c r="P83" s="238"/>
      <c r="Q83" s="238"/>
      <c r="R83" s="238"/>
      <c r="S83" s="238"/>
      <c r="T83" s="238"/>
      <c r="U83" s="238"/>
      <c r="V83" s="238"/>
      <c r="W83" s="238"/>
      <c r="X83" s="238"/>
      <c r="Y83" s="238"/>
      <c r="Z83" s="278"/>
    </row>
    <row r="84" spans="1:26" ht="17.25" customHeight="1">
      <c r="A84" s="323"/>
      <c r="B84" s="322"/>
      <c r="C84" s="322"/>
      <c r="D84" s="301"/>
      <c r="E84" s="322"/>
      <c r="F84" s="51"/>
      <c r="G84" s="51"/>
      <c r="H84" s="51"/>
      <c r="I84" s="322"/>
      <c r="J84" s="297"/>
      <c r="K84" s="320"/>
      <c r="L84" s="238"/>
      <c r="M84" s="238"/>
      <c r="N84" s="238"/>
      <c r="O84" s="238"/>
      <c r="P84" s="238"/>
      <c r="Q84" s="238"/>
      <c r="R84" s="238"/>
      <c r="S84" s="238"/>
      <c r="T84" s="238"/>
      <c r="U84" s="238"/>
      <c r="V84" s="238"/>
      <c r="W84" s="238"/>
      <c r="X84" s="238"/>
      <c r="Y84" s="238"/>
      <c r="Z84" s="278"/>
    </row>
    <row r="85" spans="1:26" ht="17.25" customHeight="1">
      <c r="A85" s="323"/>
      <c r="B85" s="322"/>
      <c r="C85" s="322"/>
      <c r="D85" s="301"/>
      <c r="E85" s="322"/>
      <c r="F85" s="51"/>
      <c r="G85" s="51"/>
      <c r="H85" s="51"/>
      <c r="I85" s="322"/>
      <c r="J85" s="297"/>
      <c r="K85" s="320"/>
      <c r="L85" s="238"/>
      <c r="M85" s="238"/>
      <c r="N85" s="238"/>
      <c r="O85" s="238"/>
      <c r="P85" s="238"/>
      <c r="Q85" s="238"/>
      <c r="R85" s="238"/>
      <c r="S85" s="238"/>
      <c r="T85" s="238"/>
      <c r="U85" s="238"/>
      <c r="V85" s="238"/>
      <c r="W85" s="238"/>
      <c r="X85" s="238"/>
      <c r="Y85" s="238"/>
      <c r="Z85" s="278"/>
    </row>
    <row r="86" spans="1:26" ht="14.25" customHeight="1">
      <c r="A86" s="169" t="str">
        <f>IF(ISBLANK(E86),"",COUNTA(E$7:E86))</f>
        <v/>
      </c>
      <c r="B86" s="297"/>
      <c r="C86" s="297"/>
      <c r="D86" s="324"/>
      <c r="E86" s="303"/>
      <c r="F86" s="303"/>
      <c r="G86" s="303"/>
      <c r="H86" s="303"/>
      <c r="I86" s="314"/>
      <c r="J86" s="297"/>
      <c r="K86" s="237"/>
      <c r="L86" s="238"/>
      <c r="M86" s="238"/>
      <c r="N86" s="238"/>
      <c r="O86" s="238"/>
      <c r="P86" s="238"/>
      <c r="Q86" s="238"/>
      <c r="R86" s="238"/>
      <c r="S86" s="238"/>
      <c r="T86" s="238"/>
      <c r="U86" s="238"/>
      <c r="V86" s="238"/>
      <c r="W86" s="238"/>
      <c r="X86" s="238"/>
      <c r="Y86" s="238"/>
      <c r="Z86" s="278"/>
    </row>
    <row r="87" spans="1:26" ht="13.2" customHeight="1">
      <c r="A87" s="323"/>
      <c r="B87" s="297"/>
      <c r="C87" s="297"/>
      <c r="D87" s="324"/>
      <c r="E87" s="297"/>
      <c r="F87" s="51"/>
      <c r="G87" s="297"/>
      <c r="H87" s="297"/>
      <c r="I87" s="297"/>
      <c r="J87" s="297"/>
      <c r="K87" s="237"/>
      <c r="L87" s="238"/>
      <c r="M87" s="238"/>
      <c r="N87" s="238"/>
      <c r="O87" s="238"/>
      <c r="P87" s="238"/>
      <c r="Q87" s="238"/>
      <c r="R87" s="238"/>
      <c r="S87" s="238"/>
      <c r="T87" s="238"/>
      <c r="U87" s="238"/>
      <c r="V87" s="238"/>
      <c r="W87" s="238"/>
      <c r="X87" s="238"/>
      <c r="Y87" s="238"/>
      <c r="Z87" s="278"/>
    </row>
    <row r="88" spans="1:26" ht="13.65" customHeight="1">
      <c r="A88" s="323"/>
      <c r="B88" s="704" t="s">
        <v>64</v>
      </c>
      <c r="C88" s="705"/>
      <c r="D88" s="705"/>
      <c r="E88" s="303"/>
      <c r="F88" s="303"/>
      <c r="G88" s="189">
        <f>SUM(G10:G87)</f>
        <v>76904</v>
      </c>
      <c r="H88" s="46"/>
      <c r="I88" s="297"/>
      <c r="J88" s="297"/>
      <c r="K88" s="237"/>
      <c r="L88" s="238"/>
      <c r="M88" s="238"/>
      <c r="N88" s="238"/>
      <c r="O88" s="238"/>
      <c r="P88" s="238"/>
      <c r="Q88" s="238"/>
      <c r="R88" s="238"/>
      <c r="S88" s="238"/>
      <c r="T88" s="238"/>
      <c r="U88" s="238"/>
      <c r="V88" s="238"/>
      <c r="W88" s="238"/>
      <c r="X88" s="238"/>
      <c r="Y88" s="238"/>
      <c r="Z88" s="278"/>
    </row>
    <row r="89" spans="1:26" ht="13.65" customHeight="1">
      <c r="A89" s="323"/>
      <c r="B89" s="704" t="s">
        <v>65</v>
      </c>
      <c r="C89" s="705"/>
      <c r="D89" s="705"/>
      <c r="E89" s="303"/>
      <c r="F89" s="303"/>
      <c r="G89" s="189"/>
      <c r="H89" s="189">
        <f>SUBTOTAL(9,H10:H88)</f>
        <v>90698.569999999992</v>
      </c>
      <c r="I89" s="297"/>
      <c r="J89" s="297"/>
      <c r="K89" s="237"/>
      <c r="L89" s="238"/>
      <c r="M89" s="238"/>
      <c r="N89" s="238"/>
      <c r="O89" s="238"/>
      <c r="P89" s="238"/>
      <c r="Q89" s="238"/>
      <c r="R89" s="238"/>
      <c r="S89" s="238"/>
      <c r="T89" s="238"/>
      <c r="U89" s="238"/>
      <c r="V89" s="238"/>
      <c r="W89" s="238"/>
      <c r="X89" s="238"/>
      <c r="Y89" s="238"/>
      <c r="Z89" s="278"/>
    </row>
    <row r="90" spans="1:26" ht="13.65" customHeight="1">
      <c r="A90" s="323"/>
      <c r="B90" s="704" t="s">
        <v>66</v>
      </c>
      <c r="C90" s="705"/>
      <c r="D90" s="705"/>
      <c r="E90" s="269">
        <v>0.05</v>
      </c>
      <c r="F90" s="303"/>
      <c r="G90" s="189"/>
      <c r="H90" s="189">
        <f>H89*E90</f>
        <v>4534.9285</v>
      </c>
      <c r="I90" s="297"/>
      <c r="J90" s="297"/>
      <c r="K90" s="237"/>
      <c r="L90" s="238"/>
      <c r="M90" s="238"/>
      <c r="N90" s="238"/>
      <c r="O90" s="238"/>
      <c r="P90" s="238"/>
      <c r="Q90" s="238"/>
      <c r="R90" s="238"/>
      <c r="S90" s="238"/>
      <c r="T90" s="238"/>
      <c r="U90" s="238"/>
      <c r="V90" s="238"/>
      <c r="W90" s="238"/>
      <c r="X90" s="238"/>
      <c r="Y90" s="238"/>
      <c r="Z90" s="278"/>
    </row>
    <row r="91" spans="1:26" ht="13.65" customHeight="1">
      <c r="A91" s="323"/>
      <c r="B91" s="704" t="s">
        <v>67</v>
      </c>
      <c r="C91" s="705"/>
      <c r="D91" s="705"/>
      <c r="E91" s="269">
        <v>0.1</v>
      </c>
      <c r="F91" s="303"/>
      <c r="G91" s="189"/>
      <c r="H91" s="189">
        <f>G88*E91</f>
        <v>7690.4000000000005</v>
      </c>
      <c r="I91" s="297"/>
      <c r="J91" s="297"/>
      <c r="K91" s="237"/>
      <c r="L91" s="238"/>
      <c r="M91" s="238"/>
      <c r="N91" s="238"/>
      <c r="O91" s="238"/>
      <c r="P91" s="238"/>
      <c r="Q91" s="238"/>
      <c r="R91" s="238"/>
      <c r="S91" s="238"/>
      <c r="T91" s="238"/>
      <c r="U91" s="238"/>
      <c r="V91" s="238"/>
      <c r="W91" s="238"/>
      <c r="X91" s="238"/>
      <c r="Y91" s="238"/>
      <c r="Z91" s="278"/>
    </row>
    <row r="92" spans="1:26" ht="13.5" customHeight="1">
      <c r="A92" s="323"/>
      <c r="B92" s="704" t="s">
        <v>68</v>
      </c>
      <c r="C92" s="705"/>
      <c r="D92" s="705"/>
      <c r="E92" s="325">
        <v>0.05</v>
      </c>
      <c r="F92" s="303"/>
      <c r="G92" s="189"/>
      <c r="H92" s="326">
        <f>(H89+H90)*E92</f>
        <v>4761.6749249999993</v>
      </c>
      <c r="I92" s="297"/>
      <c r="J92" s="297"/>
      <c r="K92" s="237"/>
      <c r="L92" s="238"/>
      <c r="M92" s="238"/>
      <c r="N92" s="238"/>
      <c r="O92" s="238"/>
      <c r="P92" s="238"/>
      <c r="Q92" s="238"/>
      <c r="R92" s="238"/>
      <c r="S92" s="238"/>
      <c r="T92" s="238"/>
      <c r="U92" s="238"/>
      <c r="V92" s="238"/>
      <c r="W92" s="238"/>
      <c r="X92" s="238"/>
      <c r="Y92" s="238"/>
      <c r="Z92" s="278"/>
    </row>
    <row r="93" spans="1:26" ht="13.5" customHeight="1">
      <c r="A93" s="323"/>
      <c r="B93" s="706" t="s">
        <v>306</v>
      </c>
      <c r="C93" s="707"/>
      <c r="D93" s="707"/>
      <c r="E93" s="707"/>
      <c r="F93" s="707"/>
      <c r="G93" s="708"/>
      <c r="H93" s="327">
        <f>SUM(G88:G92,H88:H92)</f>
        <v>184589.57342500001</v>
      </c>
      <c r="I93" s="297"/>
      <c r="J93" s="297"/>
      <c r="K93" s="237"/>
      <c r="L93" s="238"/>
      <c r="M93" s="238"/>
      <c r="N93" s="238"/>
      <c r="O93" s="238"/>
      <c r="P93" s="238"/>
      <c r="Q93" s="238"/>
      <c r="R93" s="238"/>
      <c r="S93" s="238"/>
      <c r="T93" s="238"/>
      <c r="U93" s="238"/>
      <c r="V93" s="238"/>
      <c r="W93" s="238"/>
      <c r="X93" s="238"/>
      <c r="Y93" s="238"/>
      <c r="Z93" s="278"/>
    </row>
    <row r="94" spans="1:26" ht="13.5" customHeight="1">
      <c r="A94" s="328"/>
      <c r="B94" s="709" t="s">
        <v>307</v>
      </c>
      <c r="C94" s="710"/>
      <c r="D94" s="710"/>
      <c r="E94" s="710"/>
      <c r="F94" s="710"/>
      <c r="G94" s="711"/>
      <c r="H94" s="327">
        <f>H93/6</f>
        <v>30764.928904166667</v>
      </c>
      <c r="I94" s="297"/>
      <c r="J94" s="297"/>
      <c r="K94" s="237"/>
      <c r="L94" s="238"/>
      <c r="M94" s="238"/>
      <c r="N94" s="238"/>
      <c r="O94" s="238"/>
      <c r="P94" s="238"/>
      <c r="Q94" s="238"/>
      <c r="R94" s="238"/>
      <c r="S94" s="238"/>
      <c r="T94" s="238"/>
      <c r="U94" s="238"/>
      <c r="V94" s="238"/>
      <c r="W94" s="238"/>
      <c r="X94" s="238"/>
      <c r="Y94" s="238"/>
      <c r="Z94" s="278"/>
    </row>
    <row r="95" spans="1:26" ht="13.2" customHeight="1">
      <c r="A95" s="329"/>
      <c r="B95" s="330" t="s">
        <v>308</v>
      </c>
      <c r="C95" s="331"/>
      <c r="D95" s="331"/>
      <c r="E95" s="331"/>
      <c r="F95" s="331"/>
      <c r="G95" s="331"/>
      <c r="H95" s="331"/>
      <c r="I95" s="236"/>
      <c r="J95" s="236"/>
      <c r="K95" s="238"/>
      <c r="L95" s="238"/>
      <c r="M95" s="238"/>
      <c r="N95" s="238"/>
      <c r="O95" s="238"/>
      <c r="P95" s="238"/>
      <c r="Q95" s="238"/>
      <c r="R95" s="238"/>
      <c r="S95" s="238"/>
      <c r="T95" s="238"/>
      <c r="U95" s="238"/>
      <c r="V95" s="238"/>
      <c r="W95" s="238"/>
      <c r="X95" s="238"/>
      <c r="Y95" s="238"/>
      <c r="Z95" s="278"/>
    </row>
    <row r="96" spans="1:26" ht="13.5" customHeight="1">
      <c r="A96" s="332"/>
      <c r="B96" s="238"/>
      <c r="C96" s="238"/>
      <c r="D96" s="238"/>
      <c r="E96" s="238"/>
      <c r="F96" s="238"/>
      <c r="G96" s="238"/>
      <c r="H96" s="238"/>
      <c r="I96" s="238"/>
      <c r="J96" s="238"/>
      <c r="K96" s="238"/>
      <c r="L96" s="238"/>
      <c r="M96" s="238"/>
      <c r="N96" s="238"/>
      <c r="O96" s="238"/>
      <c r="P96" s="238"/>
      <c r="Q96" s="238"/>
      <c r="R96" s="238"/>
      <c r="S96" s="238"/>
      <c r="T96" s="238"/>
      <c r="U96" s="238"/>
      <c r="V96" s="238"/>
      <c r="W96" s="238"/>
      <c r="X96" s="238"/>
      <c r="Y96" s="238"/>
      <c r="Z96" s="278"/>
    </row>
    <row r="97" spans="1:26" ht="13.65" customHeight="1">
      <c r="A97" s="332"/>
      <c r="B97" s="333" t="s">
        <v>309</v>
      </c>
      <c r="C97" s="238"/>
      <c r="D97" s="334"/>
      <c r="E97" s="238"/>
      <c r="F97" s="238"/>
      <c r="G97" s="238"/>
      <c r="H97" s="238"/>
      <c r="I97" s="238"/>
      <c r="J97" s="238"/>
      <c r="K97" s="238"/>
      <c r="L97" s="238"/>
      <c r="M97" s="238"/>
      <c r="N97" s="238"/>
      <c r="O97" s="238"/>
      <c r="P97" s="238"/>
      <c r="Q97" s="238"/>
      <c r="R97" s="238"/>
      <c r="S97" s="238"/>
      <c r="T97" s="238"/>
      <c r="U97" s="238"/>
      <c r="V97" s="238"/>
      <c r="W97" s="238"/>
      <c r="X97" s="238"/>
      <c r="Y97" s="238"/>
      <c r="Z97" s="278"/>
    </row>
    <row r="98" spans="1:26" ht="47.25" customHeight="1">
      <c r="A98" s="332"/>
      <c r="B98" s="333" t="s">
        <v>310</v>
      </c>
      <c r="C98" s="335"/>
      <c r="D98" s="701" t="s">
        <v>311</v>
      </c>
      <c r="E98" s="702"/>
      <c r="F98" s="702"/>
      <c r="G98" s="238"/>
      <c r="H98" s="238"/>
      <c r="I98" s="238"/>
      <c r="J98" s="238"/>
      <c r="K98" s="238"/>
      <c r="L98" s="238"/>
      <c r="M98" s="238"/>
      <c r="N98" s="238"/>
      <c r="O98" s="238"/>
      <c r="P98" s="238"/>
      <c r="Q98" s="238"/>
      <c r="R98" s="238"/>
      <c r="S98" s="238"/>
      <c r="T98" s="238"/>
      <c r="U98" s="238"/>
      <c r="V98" s="238"/>
      <c r="W98" s="238"/>
      <c r="X98" s="238"/>
      <c r="Y98" s="238"/>
      <c r="Z98" s="278"/>
    </row>
    <row r="99" spans="1:26" ht="13.65" customHeight="1">
      <c r="A99" s="332"/>
      <c r="B99" s="333" t="s">
        <v>312</v>
      </c>
      <c r="C99" s="238"/>
      <c r="D99" s="702"/>
      <c r="E99" s="702"/>
      <c r="F99" s="702"/>
      <c r="G99" s="238"/>
      <c r="H99" s="238"/>
      <c r="I99" s="238"/>
      <c r="J99" s="238"/>
      <c r="K99" s="238"/>
      <c r="L99" s="238"/>
      <c r="M99" s="238"/>
      <c r="N99" s="238"/>
      <c r="O99" s="238"/>
      <c r="P99" s="238"/>
      <c r="Q99" s="238"/>
      <c r="R99" s="238"/>
      <c r="S99" s="238"/>
      <c r="T99" s="238"/>
      <c r="U99" s="238"/>
      <c r="V99" s="238"/>
      <c r="W99" s="238"/>
      <c r="X99" s="238"/>
      <c r="Y99" s="238"/>
      <c r="Z99" s="278"/>
    </row>
    <row r="100" spans="1:26" ht="38.25" customHeight="1">
      <c r="A100" s="332"/>
      <c r="B100" s="238"/>
      <c r="C100" s="238"/>
      <c r="D100" s="702"/>
      <c r="E100" s="702"/>
      <c r="F100" s="702"/>
      <c r="G100" s="238"/>
      <c r="H100" s="238"/>
      <c r="I100" s="238"/>
      <c r="J100" s="238"/>
      <c r="K100" s="238"/>
      <c r="L100" s="238"/>
      <c r="M100" s="238"/>
      <c r="N100" s="238"/>
      <c r="O100" s="238"/>
      <c r="P100" s="238"/>
      <c r="Q100" s="238"/>
      <c r="R100" s="238"/>
      <c r="S100" s="238"/>
      <c r="T100" s="238"/>
      <c r="U100" s="238"/>
      <c r="V100" s="238"/>
      <c r="W100" s="238"/>
      <c r="X100" s="238"/>
      <c r="Y100" s="238"/>
      <c r="Z100" s="278"/>
    </row>
    <row r="101" spans="1:26" ht="19.5" customHeight="1">
      <c r="A101" s="336"/>
      <c r="B101" s="337"/>
      <c r="C101" s="337"/>
      <c r="D101" s="338"/>
      <c r="E101" s="337"/>
      <c r="F101" s="337"/>
      <c r="G101" s="337"/>
      <c r="H101" s="337"/>
      <c r="I101" s="337"/>
      <c r="J101" s="337"/>
      <c r="K101" s="337"/>
      <c r="L101" s="337"/>
      <c r="M101" s="337"/>
      <c r="N101" s="337"/>
      <c r="O101" s="337"/>
      <c r="P101" s="337"/>
      <c r="Q101" s="337"/>
      <c r="R101" s="337"/>
      <c r="S101" s="337"/>
      <c r="T101" s="337"/>
      <c r="U101" s="337"/>
      <c r="V101" s="337"/>
      <c r="W101" s="337"/>
      <c r="X101" s="337"/>
      <c r="Y101" s="337"/>
      <c r="Z101" s="339"/>
    </row>
  </sheetData>
  <mergeCells count="18">
    <mergeCell ref="A2:H2"/>
    <mergeCell ref="A3:H3"/>
    <mergeCell ref="A4:H4"/>
    <mergeCell ref="I6:I7"/>
    <mergeCell ref="J6:J7"/>
    <mergeCell ref="I28:I29"/>
    <mergeCell ref="D98:F100"/>
    <mergeCell ref="I50:I53"/>
    <mergeCell ref="I54:I57"/>
    <mergeCell ref="I63:I66"/>
    <mergeCell ref="I68:I80"/>
    <mergeCell ref="B88:D88"/>
    <mergeCell ref="B89:D89"/>
    <mergeCell ref="B90:D90"/>
    <mergeCell ref="B91:D91"/>
    <mergeCell ref="B92:D92"/>
    <mergeCell ref="B93:G93"/>
    <mergeCell ref="B94:G94"/>
  </mergeCell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129"/>
  <sheetViews>
    <sheetView showGridLines="0" topLeftCell="A65" zoomScale="90" zoomScaleNormal="90" workbookViewId="0">
      <selection activeCell="B86" sqref="B86"/>
    </sheetView>
  </sheetViews>
  <sheetFormatPr defaultColWidth="8.88671875" defaultRowHeight="15" customHeight="1"/>
  <cols>
    <col min="1" max="1" width="3.6640625" style="5" customWidth="1"/>
    <col min="2" max="2" width="34" style="5" customWidth="1"/>
    <col min="3" max="3" width="7" style="5" customWidth="1"/>
    <col min="4" max="4" width="8.44140625" style="5" customWidth="1"/>
    <col min="5" max="5" width="10.44140625" style="5" customWidth="1"/>
    <col min="6" max="6" width="9.33203125" style="5" customWidth="1"/>
    <col min="7" max="7" width="10.109375" style="5" customWidth="1"/>
    <col min="8" max="8" width="10.88671875" style="5" customWidth="1"/>
    <col min="9" max="9" width="9" style="5" hidden="1" customWidth="1"/>
    <col min="10" max="10" width="10.44140625" style="5" hidden="1" customWidth="1"/>
    <col min="11" max="11" width="9.33203125" style="5" hidden="1" customWidth="1"/>
    <col min="12" max="12" width="10.44140625" style="5" hidden="1" customWidth="1"/>
    <col min="13" max="13" width="9.88671875" style="5" hidden="1" customWidth="1"/>
    <col min="14" max="14" width="8.44140625" style="5" hidden="1" customWidth="1"/>
    <col min="15" max="15" width="10.44140625" style="5" hidden="1" customWidth="1"/>
    <col min="16" max="16" width="9.33203125" style="5" hidden="1" customWidth="1"/>
    <col min="17" max="17" width="10.109375" style="5" hidden="1" customWidth="1"/>
    <col min="18" max="18" width="10.88671875" style="5" hidden="1" customWidth="1"/>
    <col min="19" max="19" width="8.44140625" style="5" customWidth="1"/>
    <col min="20" max="21" width="10.44140625" style="5" customWidth="1"/>
    <col min="22" max="22" width="11.109375" style="5" customWidth="1"/>
    <col min="23" max="23" width="10.88671875" style="5" customWidth="1"/>
    <col min="24" max="16384" width="8.88671875" style="5"/>
  </cols>
  <sheetData>
    <row r="1" spans="1:23" ht="16.649999999999999" customHeight="1">
      <c r="A1" s="731" t="s">
        <v>73</v>
      </c>
      <c r="B1" s="732"/>
      <c r="C1" s="732"/>
      <c r="D1" s="732"/>
      <c r="E1" s="732"/>
      <c r="F1" s="732"/>
      <c r="G1" s="732"/>
      <c r="H1" s="732"/>
      <c r="I1" s="732"/>
      <c r="J1" s="732"/>
      <c r="K1" s="732"/>
      <c r="L1" s="732"/>
      <c r="M1" s="732"/>
      <c r="N1" s="732"/>
      <c r="O1" s="732"/>
      <c r="P1" s="732"/>
      <c r="Q1" s="732"/>
      <c r="R1" s="732"/>
      <c r="S1" s="732"/>
      <c r="T1" s="732"/>
      <c r="U1" s="733"/>
      <c r="V1" s="85"/>
      <c r="W1" s="85"/>
    </row>
    <row r="2" spans="1:23" ht="16.649999999999999" customHeight="1">
      <c r="A2" s="731" t="s">
        <v>74</v>
      </c>
      <c r="B2" s="732"/>
      <c r="C2" s="732"/>
      <c r="D2" s="732"/>
      <c r="E2" s="732"/>
      <c r="F2" s="732"/>
      <c r="G2" s="732"/>
      <c r="H2" s="732"/>
      <c r="I2" s="732"/>
      <c r="J2" s="732"/>
      <c r="K2" s="732"/>
      <c r="L2" s="732"/>
      <c r="M2" s="732"/>
      <c r="N2" s="732"/>
      <c r="O2" s="732"/>
      <c r="P2" s="732"/>
      <c r="Q2" s="732"/>
      <c r="R2" s="732"/>
      <c r="S2" s="732"/>
      <c r="T2" s="732"/>
      <c r="U2" s="733"/>
      <c r="V2" s="85"/>
      <c r="W2" s="85"/>
    </row>
    <row r="3" spans="1:23" ht="16.649999999999999" customHeight="1">
      <c r="A3" s="81"/>
      <c r="B3" s="81"/>
      <c r="C3" s="82"/>
      <c r="D3" s="83"/>
      <c r="E3" s="83"/>
      <c r="F3" s="85"/>
      <c r="G3" s="85"/>
      <c r="H3" s="85"/>
      <c r="I3" s="83"/>
      <c r="J3" s="83"/>
      <c r="K3" s="85"/>
      <c r="L3" s="85"/>
      <c r="M3" s="85"/>
      <c r="N3" s="83"/>
      <c r="O3" s="83"/>
      <c r="P3" s="85"/>
      <c r="Q3" s="85"/>
      <c r="R3" s="85"/>
      <c r="S3" s="83"/>
      <c r="T3" s="83"/>
      <c r="U3" s="85"/>
      <c r="V3" s="85"/>
      <c r="W3" s="85"/>
    </row>
    <row r="4" spans="1:23" ht="16.649999999999999" customHeight="1">
      <c r="A4" s="734" t="s">
        <v>75</v>
      </c>
      <c r="B4" s="735"/>
      <c r="C4" s="735"/>
      <c r="D4" s="735"/>
      <c r="E4" s="86"/>
      <c r="F4" s="85"/>
      <c r="G4" s="85"/>
      <c r="H4" s="85"/>
      <c r="I4" s="6"/>
      <c r="J4" s="86"/>
      <c r="K4" s="85"/>
      <c r="L4" s="85"/>
      <c r="M4" s="85"/>
      <c r="N4" s="6"/>
      <c r="O4" s="86"/>
      <c r="P4" s="85"/>
      <c r="Q4" s="85"/>
      <c r="R4" s="85"/>
      <c r="S4" s="211"/>
      <c r="T4" s="86"/>
      <c r="U4" s="85"/>
      <c r="V4" s="85"/>
      <c r="W4" s="85"/>
    </row>
    <row r="5" spans="1:23" ht="16.649999999999999" customHeight="1">
      <c r="A5" s="731" t="s">
        <v>76</v>
      </c>
      <c r="B5" s="732"/>
      <c r="C5" s="732"/>
      <c r="D5" s="732"/>
      <c r="E5" s="732"/>
      <c r="F5" s="732"/>
      <c r="G5" s="732"/>
      <c r="H5" s="732"/>
      <c r="I5" s="732"/>
      <c r="J5" s="732"/>
      <c r="K5" s="732"/>
      <c r="L5" s="732"/>
      <c r="M5" s="732"/>
      <c r="N5" s="732"/>
      <c r="O5" s="732"/>
      <c r="P5" s="732"/>
      <c r="Q5" s="732"/>
      <c r="R5" s="732"/>
      <c r="S5" s="732"/>
      <c r="T5" s="733"/>
      <c r="U5" s="85"/>
      <c r="V5" s="85"/>
      <c r="W5" s="85"/>
    </row>
    <row r="6" spans="1:23" ht="15.6" customHeight="1">
      <c r="A6" s="81"/>
      <c r="B6" s="87"/>
      <c r="C6" s="88"/>
      <c r="D6" s="86"/>
      <c r="E6" s="86"/>
      <c r="F6" s="85"/>
      <c r="G6" s="85"/>
      <c r="H6" s="85"/>
      <c r="I6" s="86"/>
      <c r="J6" s="86"/>
      <c r="K6" s="85"/>
      <c r="L6" s="85"/>
      <c r="M6" s="85"/>
      <c r="N6" s="86"/>
      <c r="O6" s="86"/>
      <c r="P6" s="85"/>
      <c r="Q6" s="85"/>
      <c r="R6" s="85"/>
      <c r="S6" s="86"/>
      <c r="T6" s="86"/>
      <c r="U6" s="85"/>
      <c r="V6" s="85"/>
      <c r="W6" s="85"/>
    </row>
    <row r="7" spans="1:23" ht="16.649999999999999" customHeight="1">
      <c r="A7" s="731" t="s">
        <v>77</v>
      </c>
      <c r="B7" s="732"/>
      <c r="C7" s="732"/>
      <c r="D7" s="732"/>
      <c r="E7" s="732"/>
      <c r="F7" s="732"/>
      <c r="G7" s="732"/>
      <c r="H7" s="732"/>
      <c r="I7" s="732"/>
      <c r="J7" s="732"/>
      <c r="K7" s="732"/>
      <c r="L7" s="732"/>
      <c r="M7" s="732"/>
      <c r="N7" s="732"/>
      <c r="O7" s="732"/>
      <c r="P7" s="732"/>
      <c r="Q7" s="732"/>
      <c r="R7" s="732"/>
      <c r="S7" s="732"/>
      <c r="T7" s="732"/>
      <c r="U7" s="732"/>
      <c r="V7" s="732"/>
      <c r="W7" s="733"/>
    </row>
    <row r="8" spans="1:23" ht="12.75" customHeight="1">
      <c r="A8" s="89"/>
      <c r="B8" s="6"/>
      <c r="C8" s="6"/>
      <c r="D8" s="90"/>
      <c r="E8" s="91"/>
      <c r="F8" s="720" t="s">
        <v>314</v>
      </c>
      <c r="G8" s="721"/>
      <c r="H8" s="721"/>
      <c r="I8" s="90"/>
      <c r="J8" s="91"/>
      <c r="K8" s="720" t="s">
        <v>314</v>
      </c>
      <c r="L8" s="721"/>
      <c r="M8" s="721"/>
      <c r="N8" s="90"/>
      <c r="O8" s="91"/>
      <c r="P8" s="720" t="s">
        <v>314</v>
      </c>
      <c r="Q8" s="721"/>
      <c r="R8" s="721"/>
      <c r="S8" s="90"/>
      <c r="T8" s="91"/>
      <c r="U8" s="720" t="s">
        <v>314</v>
      </c>
      <c r="V8" s="721"/>
      <c r="W8" s="721"/>
    </row>
    <row r="9" spans="1:23" ht="15.75" customHeight="1">
      <c r="A9" s="728" t="s">
        <v>446</v>
      </c>
      <c r="B9" s="729"/>
      <c r="C9" s="729"/>
      <c r="D9" s="729"/>
      <c r="E9" s="729"/>
      <c r="F9" s="729"/>
      <c r="G9" s="729"/>
      <c r="H9" s="729"/>
      <c r="I9" s="729"/>
      <c r="J9" s="729"/>
      <c r="K9" s="729"/>
      <c r="L9" s="729"/>
      <c r="M9" s="729"/>
      <c r="N9" s="729"/>
      <c r="O9" s="729"/>
      <c r="P9" s="729"/>
      <c r="Q9" s="729"/>
      <c r="R9" s="729"/>
      <c r="S9" s="729"/>
      <c r="T9" s="730"/>
    </row>
    <row r="10" spans="1:23" ht="15.75" customHeight="1">
      <c r="A10" s="667" t="s">
        <v>78</v>
      </c>
      <c r="B10" s="668"/>
      <c r="C10" s="668"/>
      <c r="D10" s="668"/>
      <c r="E10" s="668"/>
      <c r="F10" s="668"/>
      <c r="G10" s="668"/>
      <c r="H10" s="668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211"/>
      <c r="T10" s="211"/>
    </row>
    <row r="11" spans="1:23" ht="15.75" customHeight="1">
      <c r="A11" s="667" t="s">
        <v>79</v>
      </c>
      <c r="B11" s="668"/>
      <c r="C11" s="668"/>
      <c r="D11" s="668"/>
      <c r="E11" s="668"/>
      <c r="F11" s="668"/>
      <c r="G11" s="668"/>
      <c r="H11" s="668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211"/>
      <c r="T11" s="211"/>
    </row>
    <row r="12" spans="1:23" ht="15.75" customHeight="1" thickBot="1">
      <c r="A12" s="94"/>
      <c r="B12" s="95"/>
      <c r="C12" s="95"/>
      <c r="D12" s="96"/>
      <c r="E12" s="97"/>
      <c r="F12" s="98"/>
      <c r="G12" s="98"/>
      <c r="H12" s="97"/>
      <c r="I12" s="718" t="s">
        <v>81</v>
      </c>
      <c r="J12" s="719"/>
      <c r="K12" s="719"/>
      <c r="L12" s="719"/>
      <c r="M12" s="719"/>
      <c r="N12" s="718" t="s">
        <v>315</v>
      </c>
      <c r="O12" s="719"/>
      <c r="P12" s="719"/>
      <c r="Q12" s="719"/>
      <c r="R12" s="719"/>
      <c r="S12" s="96"/>
      <c r="T12" s="97"/>
      <c r="U12" s="98"/>
      <c r="V12" s="98"/>
      <c r="W12" s="403">
        <v>44535</v>
      </c>
    </row>
    <row r="13" spans="1:23" ht="38.25" customHeight="1">
      <c r="A13" s="99" t="s">
        <v>9</v>
      </c>
      <c r="B13" s="340" t="s">
        <v>10</v>
      </c>
      <c r="C13" s="340" t="s">
        <v>11</v>
      </c>
      <c r="D13" s="341" t="s">
        <v>12</v>
      </c>
      <c r="E13" s="341" t="s">
        <v>13</v>
      </c>
      <c r="F13" s="341" t="s">
        <v>14</v>
      </c>
      <c r="G13" s="341" t="s">
        <v>15</v>
      </c>
      <c r="H13" s="341" t="s">
        <v>16</v>
      </c>
      <c r="I13" s="341" t="s">
        <v>12</v>
      </c>
      <c r="J13" s="341" t="s">
        <v>13</v>
      </c>
      <c r="K13" s="341" t="s">
        <v>14</v>
      </c>
      <c r="L13" s="341" t="s">
        <v>15</v>
      </c>
      <c r="M13" s="341" t="s">
        <v>16</v>
      </c>
      <c r="N13" s="341" t="s">
        <v>12</v>
      </c>
      <c r="O13" s="341" t="s">
        <v>13</v>
      </c>
      <c r="P13" s="341" t="s">
        <v>14</v>
      </c>
      <c r="Q13" s="341" t="s">
        <v>15</v>
      </c>
      <c r="R13" s="342" t="s">
        <v>16</v>
      </c>
      <c r="S13" s="341" t="s">
        <v>12</v>
      </c>
      <c r="T13" s="341" t="s">
        <v>13</v>
      </c>
      <c r="U13" s="341" t="s">
        <v>14</v>
      </c>
      <c r="V13" s="341" t="s">
        <v>15</v>
      </c>
      <c r="W13" s="341" t="s">
        <v>16</v>
      </c>
    </row>
    <row r="14" spans="1:23" ht="15.6" customHeight="1">
      <c r="A14" s="103"/>
      <c r="B14" s="104" t="s">
        <v>82</v>
      </c>
      <c r="C14" s="105"/>
      <c r="D14" s="106"/>
      <c r="E14" s="107"/>
      <c r="F14" s="108"/>
      <c r="G14" s="108"/>
      <c r="H14" s="109"/>
      <c r="I14" s="106"/>
      <c r="J14" s="107"/>
      <c r="K14" s="108"/>
      <c r="L14" s="108"/>
      <c r="M14" s="109"/>
      <c r="N14" s="106"/>
      <c r="O14" s="107"/>
      <c r="P14" s="108"/>
      <c r="Q14" s="108"/>
      <c r="R14" s="109"/>
      <c r="S14" s="106"/>
      <c r="T14" s="107"/>
      <c r="U14" s="108"/>
      <c r="V14" s="108"/>
      <c r="W14" s="109"/>
    </row>
    <row r="15" spans="1:23" ht="31.2" customHeight="1">
      <c r="A15" s="103"/>
      <c r="B15" s="110" t="s">
        <v>316</v>
      </c>
      <c r="C15" s="111" t="s">
        <v>40</v>
      </c>
      <c r="D15" s="343">
        <f>(D17*11.9+D18*7.2+D19*7.1+D16*12.12)/1000</f>
        <v>0.59619999999999995</v>
      </c>
      <c r="E15" s="107">
        <f t="shared" ref="E15:O29" si="0">28000*1.2</f>
        <v>33600</v>
      </c>
      <c r="F15" s="108"/>
      <c r="G15" s="108">
        <f>D15*E15</f>
        <v>20032.32</v>
      </c>
      <c r="H15" s="109"/>
      <c r="I15" s="343">
        <f>(I17*11.9+I18*7.2+I19*7.1+I16*12.12)/1000</f>
        <v>0.59619999999999995</v>
      </c>
      <c r="J15" s="107">
        <f t="shared" si="0"/>
        <v>33600</v>
      </c>
      <c r="K15" s="108"/>
      <c r="L15" s="108">
        <f>I15*J15</f>
        <v>20032.32</v>
      </c>
      <c r="M15" s="109"/>
      <c r="N15" s="343"/>
      <c r="O15" s="107">
        <f t="shared" si="0"/>
        <v>33600</v>
      </c>
      <c r="P15" s="108"/>
      <c r="Q15" s="108">
        <f>N15*O15</f>
        <v>0</v>
      </c>
      <c r="R15" s="109"/>
      <c r="S15" s="343"/>
      <c r="T15" s="107">
        <f t="shared" ref="T15:T29" si="1">28000*1.2</f>
        <v>33600</v>
      </c>
      <c r="U15" s="108"/>
      <c r="V15" s="108">
        <f>S15*T15</f>
        <v>0</v>
      </c>
      <c r="W15" s="109"/>
    </row>
    <row r="16" spans="1:23" ht="15.6" customHeight="1">
      <c r="A16" s="103"/>
      <c r="B16" s="113" t="s">
        <v>317</v>
      </c>
      <c r="C16" s="111" t="s">
        <v>27</v>
      </c>
      <c r="D16" s="106">
        <v>20</v>
      </c>
      <c r="E16" s="107"/>
      <c r="F16" s="108">
        <v>402.47</v>
      </c>
      <c r="G16" s="108"/>
      <c r="H16" s="109">
        <f t="shared" ref="H16:H22" si="2">D16*F16</f>
        <v>8049.4000000000005</v>
      </c>
      <c r="I16" s="106">
        <v>20</v>
      </c>
      <c r="J16" s="107"/>
      <c r="K16" s="108">
        <v>402.47</v>
      </c>
      <c r="L16" s="108"/>
      <c r="M16" s="109">
        <f t="shared" ref="M16:M22" si="3">I16*K16</f>
        <v>8049.4000000000005</v>
      </c>
      <c r="N16" s="106"/>
      <c r="O16" s="107"/>
      <c r="P16" s="108">
        <v>402.47</v>
      </c>
      <c r="Q16" s="108"/>
      <c r="R16" s="109">
        <f t="shared" ref="R16:R22" si="4">N16*P16</f>
        <v>0</v>
      </c>
      <c r="S16" s="106"/>
      <c r="T16" s="107"/>
      <c r="U16" s="108">
        <v>402.47</v>
      </c>
      <c r="V16" s="108"/>
      <c r="W16" s="109">
        <f t="shared" ref="W16:W22" si="5">S16*U16</f>
        <v>0</v>
      </c>
    </row>
    <row r="17" spans="1:23" ht="15.6" customHeight="1">
      <c r="A17" s="103"/>
      <c r="B17" s="113" t="s">
        <v>318</v>
      </c>
      <c r="C17" s="111" t="s">
        <v>27</v>
      </c>
      <c r="D17" s="106">
        <v>8</v>
      </c>
      <c r="E17" s="107"/>
      <c r="F17" s="108">
        <v>363.6</v>
      </c>
      <c r="G17" s="108"/>
      <c r="H17" s="109">
        <f t="shared" si="2"/>
        <v>2908.8</v>
      </c>
      <c r="I17" s="106">
        <v>8</v>
      </c>
      <c r="J17" s="107"/>
      <c r="K17" s="108">
        <v>363.6</v>
      </c>
      <c r="L17" s="108"/>
      <c r="M17" s="109">
        <f t="shared" si="3"/>
        <v>2908.8</v>
      </c>
      <c r="N17" s="106"/>
      <c r="O17" s="107"/>
      <c r="P17" s="108">
        <v>363.6</v>
      </c>
      <c r="Q17" s="108"/>
      <c r="R17" s="109">
        <f t="shared" si="4"/>
        <v>0</v>
      </c>
      <c r="S17" s="106"/>
      <c r="T17" s="107"/>
      <c r="U17" s="108">
        <v>363.6</v>
      </c>
      <c r="V17" s="108"/>
      <c r="W17" s="109">
        <f t="shared" si="5"/>
        <v>0</v>
      </c>
    </row>
    <row r="18" spans="1:23" ht="15.6" customHeight="1">
      <c r="A18" s="103"/>
      <c r="B18" s="113" t="s">
        <v>319</v>
      </c>
      <c r="C18" s="111" t="s">
        <v>27</v>
      </c>
      <c r="D18" s="106">
        <v>30</v>
      </c>
      <c r="E18" s="107"/>
      <c r="F18" s="108">
        <v>201.95</v>
      </c>
      <c r="G18" s="108"/>
      <c r="H18" s="109">
        <f t="shared" si="2"/>
        <v>6058.5</v>
      </c>
      <c r="I18" s="106">
        <v>30</v>
      </c>
      <c r="J18" s="107"/>
      <c r="K18" s="108">
        <v>201.95</v>
      </c>
      <c r="L18" s="108"/>
      <c r="M18" s="109">
        <f t="shared" si="3"/>
        <v>6058.5</v>
      </c>
      <c r="N18" s="106"/>
      <c r="O18" s="107"/>
      <c r="P18" s="108">
        <v>201.95</v>
      </c>
      <c r="Q18" s="108"/>
      <c r="R18" s="109">
        <f t="shared" si="4"/>
        <v>0</v>
      </c>
      <c r="S18" s="106"/>
      <c r="T18" s="107"/>
      <c r="U18" s="108">
        <v>201.95</v>
      </c>
      <c r="V18" s="108"/>
      <c r="W18" s="109">
        <f t="shared" si="5"/>
        <v>0</v>
      </c>
    </row>
    <row r="19" spans="1:23" ht="15.6" customHeight="1">
      <c r="A19" s="103"/>
      <c r="B19" s="113" t="s">
        <v>320</v>
      </c>
      <c r="C19" s="111" t="s">
        <v>27</v>
      </c>
      <c r="D19" s="106">
        <v>6</v>
      </c>
      <c r="E19" s="107"/>
      <c r="F19" s="108">
        <v>179.55</v>
      </c>
      <c r="G19" s="108"/>
      <c r="H19" s="109">
        <f t="shared" si="2"/>
        <v>1077.3000000000002</v>
      </c>
      <c r="I19" s="106">
        <v>6</v>
      </c>
      <c r="J19" s="107"/>
      <c r="K19" s="108">
        <v>179.55</v>
      </c>
      <c r="L19" s="108"/>
      <c r="M19" s="109">
        <f t="shared" si="3"/>
        <v>1077.3000000000002</v>
      </c>
      <c r="N19" s="106"/>
      <c r="O19" s="107"/>
      <c r="P19" s="108">
        <v>179.55</v>
      </c>
      <c r="Q19" s="108"/>
      <c r="R19" s="109">
        <f t="shared" si="4"/>
        <v>0</v>
      </c>
      <c r="S19" s="106"/>
      <c r="T19" s="107"/>
      <c r="U19" s="108">
        <v>179.55</v>
      </c>
      <c r="V19" s="108"/>
      <c r="W19" s="109">
        <f t="shared" si="5"/>
        <v>0</v>
      </c>
    </row>
    <row r="20" spans="1:23" ht="15.6" customHeight="1">
      <c r="A20" s="103"/>
      <c r="B20" s="113" t="s">
        <v>321</v>
      </c>
      <c r="C20" s="111" t="s">
        <v>37</v>
      </c>
      <c r="D20" s="106">
        <v>0.33</v>
      </c>
      <c r="E20" s="107"/>
      <c r="F20" s="108">
        <v>1399</v>
      </c>
      <c r="G20" s="108"/>
      <c r="H20" s="109">
        <f t="shared" si="2"/>
        <v>461.67</v>
      </c>
      <c r="I20" s="106">
        <v>0.33</v>
      </c>
      <c r="J20" s="107"/>
      <c r="K20" s="108">
        <v>1399</v>
      </c>
      <c r="L20" s="108"/>
      <c r="M20" s="109">
        <f t="shared" si="3"/>
        <v>461.67</v>
      </c>
      <c r="N20" s="106"/>
      <c r="O20" s="107"/>
      <c r="P20" s="108">
        <v>1399</v>
      </c>
      <c r="Q20" s="108"/>
      <c r="R20" s="109">
        <f t="shared" si="4"/>
        <v>0</v>
      </c>
      <c r="S20" s="106"/>
      <c r="T20" s="107"/>
      <c r="U20" s="108">
        <v>1399</v>
      </c>
      <c r="V20" s="108"/>
      <c r="W20" s="109">
        <f t="shared" si="5"/>
        <v>0</v>
      </c>
    </row>
    <row r="21" spans="1:23" ht="15.6" customHeight="1">
      <c r="A21" s="103"/>
      <c r="B21" s="113" t="s">
        <v>87</v>
      </c>
      <c r="C21" s="111" t="s">
        <v>88</v>
      </c>
      <c r="D21" s="106">
        <v>5</v>
      </c>
      <c r="E21" s="107"/>
      <c r="F21" s="108">
        <v>89.19</v>
      </c>
      <c r="G21" s="108"/>
      <c r="H21" s="109">
        <f t="shared" si="2"/>
        <v>445.95</v>
      </c>
      <c r="I21" s="106">
        <v>15</v>
      </c>
      <c r="J21" s="107"/>
      <c r="K21" s="108">
        <v>89.19</v>
      </c>
      <c r="L21" s="108"/>
      <c r="M21" s="109">
        <f t="shared" si="3"/>
        <v>1337.85</v>
      </c>
      <c r="N21" s="106"/>
      <c r="O21" s="107"/>
      <c r="P21" s="108">
        <v>89.19</v>
      </c>
      <c r="Q21" s="108"/>
      <c r="R21" s="109">
        <f t="shared" si="4"/>
        <v>0</v>
      </c>
      <c r="S21" s="106"/>
      <c r="T21" s="107"/>
      <c r="U21" s="108">
        <v>89.19</v>
      </c>
      <c r="V21" s="108"/>
      <c r="W21" s="109">
        <f t="shared" si="5"/>
        <v>0</v>
      </c>
    </row>
    <row r="22" spans="1:23" ht="15.6" customHeight="1">
      <c r="A22" s="103"/>
      <c r="B22" s="113" t="s">
        <v>89</v>
      </c>
      <c r="C22" s="111" t="s">
        <v>21</v>
      </c>
      <c r="D22" s="106">
        <v>5</v>
      </c>
      <c r="E22" s="107"/>
      <c r="F22" s="108">
        <v>42.16</v>
      </c>
      <c r="G22" s="108"/>
      <c r="H22" s="109">
        <f t="shared" si="2"/>
        <v>210.79999999999998</v>
      </c>
      <c r="I22" s="106">
        <v>20</v>
      </c>
      <c r="J22" s="107"/>
      <c r="K22" s="108">
        <v>42.16</v>
      </c>
      <c r="L22" s="108"/>
      <c r="M22" s="109">
        <f t="shared" si="3"/>
        <v>843.19999999999993</v>
      </c>
      <c r="N22" s="106"/>
      <c r="O22" s="107"/>
      <c r="P22" s="108">
        <v>42.16</v>
      </c>
      <c r="Q22" s="108"/>
      <c r="R22" s="109">
        <f t="shared" si="4"/>
        <v>0</v>
      </c>
      <c r="S22" s="106"/>
      <c r="T22" s="107"/>
      <c r="U22" s="108">
        <v>42.16</v>
      </c>
      <c r="V22" s="108"/>
      <c r="W22" s="109">
        <f t="shared" si="5"/>
        <v>0</v>
      </c>
    </row>
    <row r="23" spans="1:23" ht="15.6" customHeight="1">
      <c r="A23" s="103"/>
      <c r="B23" s="114" t="s">
        <v>322</v>
      </c>
      <c r="C23" s="111" t="s">
        <v>37</v>
      </c>
      <c r="D23" s="106">
        <v>9</v>
      </c>
      <c r="E23" s="107">
        <v>80</v>
      </c>
      <c r="F23" s="108"/>
      <c r="G23" s="108">
        <f>D23*E23</f>
        <v>720</v>
      </c>
      <c r="H23" s="109"/>
      <c r="I23" s="106">
        <f>I17*0.32+I18*0.32+I20+I19*0.3</f>
        <v>14.29</v>
      </c>
      <c r="J23" s="107">
        <v>80</v>
      </c>
      <c r="K23" s="108"/>
      <c r="L23" s="108">
        <f>I23*J23</f>
        <v>1143.1999999999998</v>
      </c>
      <c r="M23" s="109"/>
      <c r="N23" s="106"/>
      <c r="O23" s="107">
        <v>80</v>
      </c>
      <c r="P23" s="108"/>
      <c r="Q23" s="108">
        <f>N23*O23</f>
        <v>0</v>
      </c>
      <c r="R23" s="109"/>
      <c r="S23" s="106"/>
      <c r="T23" s="107">
        <v>80</v>
      </c>
      <c r="U23" s="108"/>
      <c r="V23" s="108">
        <f>S23*T23</f>
        <v>0</v>
      </c>
      <c r="W23" s="109"/>
    </row>
    <row r="24" spans="1:23" ht="15.6" customHeight="1">
      <c r="A24" s="103"/>
      <c r="B24" s="113" t="s">
        <v>91</v>
      </c>
      <c r="C24" s="111" t="s">
        <v>92</v>
      </c>
      <c r="D24" s="106">
        <f>D23*0.3</f>
        <v>2.6999999999999997</v>
      </c>
      <c r="E24" s="107"/>
      <c r="F24" s="108">
        <v>56</v>
      </c>
      <c r="G24" s="108"/>
      <c r="H24" s="109">
        <f>D24*F24</f>
        <v>151.19999999999999</v>
      </c>
      <c r="I24" s="106">
        <f>I23*0.3</f>
        <v>4.2869999999999999</v>
      </c>
      <c r="J24" s="107"/>
      <c r="K24" s="108">
        <v>56</v>
      </c>
      <c r="L24" s="108"/>
      <c r="M24" s="109">
        <f>I24*K24</f>
        <v>240.072</v>
      </c>
      <c r="N24" s="106"/>
      <c r="O24" s="107"/>
      <c r="P24" s="108">
        <v>56</v>
      </c>
      <c r="Q24" s="108"/>
      <c r="R24" s="109">
        <f>N24*P24</f>
        <v>0</v>
      </c>
      <c r="S24" s="106"/>
      <c r="T24" s="107"/>
      <c r="U24" s="108">
        <v>56</v>
      </c>
      <c r="V24" s="108"/>
      <c r="W24" s="109">
        <f>S24*U24</f>
        <v>0</v>
      </c>
    </row>
    <row r="25" spans="1:23" ht="15.6" customHeight="1">
      <c r="A25" s="103"/>
      <c r="B25" s="113" t="s">
        <v>93</v>
      </c>
      <c r="C25" s="111" t="s">
        <v>92</v>
      </c>
      <c r="D25" s="106">
        <v>1</v>
      </c>
      <c r="E25" s="107"/>
      <c r="F25" s="108">
        <v>54</v>
      </c>
      <c r="G25" s="108"/>
      <c r="H25" s="109">
        <f>D25*F25</f>
        <v>54</v>
      </c>
      <c r="I25" s="106">
        <f>I23*0.1</f>
        <v>1.429</v>
      </c>
      <c r="J25" s="107"/>
      <c r="K25" s="108">
        <v>54</v>
      </c>
      <c r="L25" s="108"/>
      <c r="M25" s="109">
        <f>I25*K25</f>
        <v>77.165999999999997</v>
      </c>
      <c r="N25" s="106"/>
      <c r="O25" s="107"/>
      <c r="P25" s="108">
        <v>54</v>
      </c>
      <c r="Q25" s="108"/>
      <c r="R25" s="109">
        <f>N25*P25</f>
        <v>0</v>
      </c>
      <c r="S25" s="106"/>
      <c r="T25" s="107"/>
      <c r="U25" s="108">
        <v>54</v>
      </c>
      <c r="V25" s="108"/>
      <c r="W25" s="109">
        <f>S25*U25</f>
        <v>0</v>
      </c>
    </row>
    <row r="26" spans="1:23" ht="14.4" customHeight="1">
      <c r="A26" s="115"/>
      <c r="B26" s="116"/>
      <c r="C26" s="117"/>
      <c r="D26" s="118"/>
      <c r="E26" s="119"/>
      <c r="F26" s="119"/>
      <c r="G26" s="119"/>
      <c r="H26" s="120"/>
      <c r="I26" s="121"/>
      <c r="J26" s="119"/>
      <c r="K26" s="119"/>
      <c r="L26" s="119"/>
      <c r="M26" s="120"/>
      <c r="N26" s="121"/>
      <c r="O26" s="119"/>
      <c r="P26" s="119"/>
      <c r="Q26" s="119"/>
      <c r="R26" s="120"/>
      <c r="S26" s="118"/>
      <c r="T26" s="119"/>
      <c r="U26" s="119"/>
      <c r="V26" s="119"/>
      <c r="W26" s="120"/>
    </row>
    <row r="27" spans="1:23" ht="14.4" customHeight="1">
      <c r="A27" s="115"/>
      <c r="B27" s="122"/>
      <c r="C27" s="123"/>
      <c r="D27" s="124"/>
      <c r="E27" s="125"/>
      <c r="F27" s="125"/>
      <c r="G27" s="125"/>
      <c r="H27" s="126"/>
      <c r="I27" s="127"/>
      <c r="J27" s="125"/>
      <c r="K27" s="125"/>
      <c r="L27" s="125"/>
      <c r="M27" s="126"/>
      <c r="N27" s="127"/>
      <c r="O27" s="125"/>
      <c r="P27" s="125"/>
      <c r="Q27" s="125"/>
      <c r="R27" s="126"/>
      <c r="S27" s="124"/>
      <c r="T27" s="125"/>
      <c r="U27" s="125"/>
      <c r="V27" s="125"/>
      <c r="W27" s="126"/>
    </row>
    <row r="28" spans="1:23" ht="31.5" customHeight="1">
      <c r="A28" s="103"/>
      <c r="B28" s="344" t="s">
        <v>323</v>
      </c>
      <c r="C28" s="105"/>
      <c r="D28" s="106"/>
      <c r="E28" s="107"/>
      <c r="F28" s="108"/>
      <c r="G28" s="108"/>
      <c r="H28" s="109"/>
      <c r="I28" s="106"/>
      <c r="J28" s="107"/>
      <c r="K28" s="108"/>
      <c r="L28" s="108"/>
      <c r="M28" s="109"/>
      <c r="N28" s="106"/>
      <c r="O28" s="107"/>
      <c r="P28" s="108"/>
      <c r="Q28" s="108"/>
      <c r="R28" s="109"/>
      <c r="S28" s="106"/>
      <c r="T28" s="107"/>
      <c r="U28" s="108"/>
      <c r="V28" s="108"/>
      <c r="W28" s="109"/>
    </row>
    <row r="29" spans="1:23" ht="60" customHeight="1">
      <c r="A29" s="103"/>
      <c r="B29" s="110" t="s">
        <v>324</v>
      </c>
      <c r="C29" s="111" t="s">
        <v>40</v>
      </c>
      <c r="D29" s="106">
        <f>(D30*12.12+D31*11.9+D34*7.2+D35*7.1+D32*4.2+D33*2.4+0.01)/1000</f>
        <v>0.68171000000000004</v>
      </c>
      <c r="E29" s="107">
        <f t="shared" si="0"/>
        <v>33600</v>
      </c>
      <c r="F29" s="108"/>
      <c r="G29" s="108">
        <f>D29*E29</f>
        <v>22905.456000000002</v>
      </c>
      <c r="H29" s="109"/>
      <c r="I29" s="106"/>
      <c r="J29" s="107">
        <f t="shared" si="0"/>
        <v>33600</v>
      </c>
      <c r="K29" s="108"/>
      <c r="L29" s="108">
        <f>I29*J29</f>
        <v>0</v>
      </c>
      <c r="M29" s="109"/>
      <c r="N29" s="106">
        <v>0.68</v>
      </c>
      <c r="O29" s="107">
        <f t="shared" si="0"/>
        <v>33600</v>
      </c>
      <c r="P29" s="108"/>
      <c r="Q29" s="108">
        <f>N29*O29</f>
        <v>22848</v>
      </c>
      <c r="R29" s="109"/>
      <c r="S29" s="106"/>
      <c r="T29" s="107">
        <f t="shared" si="1"/>
        <v>33600</v>
      </c>
      <c r="U29" s="108"/>
      <c r="V29" s="108">
        <f>S29*T29</f>
        <v>0</v>
      </c>
      <c r="W29" s="109"/>
    </row>
    <row r="30" spans="1:23" ht="15.6" customHeight="1">
      <c r="A30" s="103"/>
      <c r="B30" s="113" t="s">
        <v>317</v>
      </c>
      <c r="C30" s="111" t="s">
        <v>27</v>
      </c>
      <c r="D30" s="106">
        <v>39</v>
      </c>
      <c r="E30" s="107"/>
      <c r="F30" s="108">
        <v>402.47</v>
      </c>
      <c r="G30" s="108"/>
      <c r="H30" s="109"/>
      <c r="I30" s="106">
        <v>39</v>
      </c>
      <c r="J30" s="107"/>
      <c r="K30" s="108">
        <v>402.47</v>
      </c>
      <c r="L30" s="108"/>
      <c r="M30" s="109">
        <f t="shared" ref="M30:M39" si="6">I30*K30</f>
        <v>15696.330000000002</v>
      </c>
      <c r="N30" s="106"/>
      <c r="O30" s="107"/>
      <c r="P30" s="108">
        <v>402.47</v>
      </c>
      <c r="Q30" s="108"/>
      <c r="R30" s="109"/>
      <c r="S30" s="106"/>
      <c r="T30" s="107"/>
      <c r="U30" s="108">
        <v>402.47</v>
      </c>
      <c r="V30" s="108"/>
      <c r="W30" s="109"/>
    </row>
    <row r="31" spans="1:23" ht="15.6" customHeight="1">
      <c r="A31" s="103"/>
      <c r="B31" s="113" t="s">
        <v>318</v>
      </c>
      <c r="C31" s="111" t="s">
        <v>27</v>
      </c>
      <c r="D31" s="106">
        <v>9</v>
      </c>
      <c r="E31" s="107"/>
      <c r="F31" s="108">
        <v>363.6</v>
      </c>
      <c r="G31" s="108"/>
      <c r="H31" s="109">
        <f>D31*F31</f>
        <v>3272.4</v>
      </c>
      <c r="I31" s="106">
        <v>9</v>
      </c>
      <c r="J31" s="107"/>
      <c r="K31" s="108">
        <v>363.6</v>
      </c>
      <c r="L31" s="108"/>
      <c r="M31" s="109">
        <f t="shared" si="6"/>
        <v>3272.4</v>
      </c>
      <c r="N31" s="106"/>
      <c r="O31" s="107"/>
      <c r="P31" s="108">
        <v>363.6</v>
      </c>
      <c r="Q31" s="108"/>
      <c r="R31" s="109">
        <f>N31*P31</f>
        <v>0</v>
      </c>
      <c r="S31" s="106"/>
      <c r="T31" s="107"/>
      <c r="U31" s="108">
        <v>363.6</v>
      </c>
      <c r="V31" s="108"/>
      <c r="W31" s="109">
        <f>S31*U31</f>
        <v>0</v>
      </c>
    </row>
    <row r="32" spans="1:23" ht="15.6" customHeight="1">
      <c r="A32" s="103"/>
      <c r="B32" s="113" t="s">
        <v>325</v>
      </c>
      <c r="C32" s="111" t="s">
        <v>27</v>
      </c>
      <c r="D32" s="106">
        <v>3</v>
      </c>
      <c r="E32" s="107"/>
      <c r="F32" s="108">
        <v>146.33000000000001</v>
      </c>
      <c r="G32" s="108"/>
      <c r="H32" s="109"/>
      <c r="I32" s="106">
        <v>3</v>
      </c>
      <c r="J32" s="107"/>
      <c r="K32" s="108">
        <v>146.33000000000001</v>
      </c>
      <c r="L32" s="108"/>
      <c r="M32" s="109">
        <f t="shared" si="6"/>
        <v>438.99</v>
      </c>
      <c r="N32" s="106"/>
      <c r="O32" s="107"/>
      <c r="P32" s="108">
        <v>146.33000000000001</v>
      </c>
      <c r="Q32" s="108"/>
      <c r="R32" s="109"/>
      <c r="S32" s="106"/>
      <c r="T32" s="107"/>
      <c r="U32" s="108">
        <v>146.33000000000001</v>
      </c>
      <c r="V32" s="108"/>
      <c r="W32" s="109"/>
    </row>
    <row r="33" spans="1:23" ht="15.6" customHeight="1">
      <c r="A33" s="103"/>
      <c r="B33" s="113" t="s">
        <v>326</v>
      </c>
      <c r="C33" s="111" t="s">
        <v>27</v>
      </c>
      <c r="D33" s="106">
        <v>1.3</v>
      </c>
      <c r="E33" s="107"/>
      <c r="F33" s="108">
        <v>119</v>
      </c>
      <c r="G33" s="108"/>
      <c r="H33" s="109"/>
      <c r="I33" s="106">
        <v>1.3</v>
      </c>
      <c r="J33" s="107"/>
      <c r="K33" s="108">
        <v>119</v>
      </c>
      <c r="L33" s="108"/>
      <c r="M33" s="109">
        <f t="shared" si="6"/>
        <v>154.70000000000002</v>
      </c>
      <c r="N33" s="106"/>
      <c r="O33" s="107"/>
      <c r="P33" s="108">
        <v>119</v>
      </c>
      <c r="Q33" s="108"/>
      <c r="R33" s="109"/>
      <c r="S33" s="106"/>
      <c r="T33" s="107"/>
      <c r="U33" s="108">
        <v>119</v>
      </c>
      <c r="V33" s="108"/>
      <c r="W33" s="109"/>
    </row>
    <row r="34" spans="1:23" ht="15.6" customHeight="1">
      <c r="A34" s="345"/>
      <c r="B34" s="113" t="s">
        <v>319</v>
      </c>
      <c r="C34" s="111" t="s">
        <v>27</v>
      </c>
      <c r="D34" s="106">
        <v>10</v>
      </c>
      <c r="E34" s="107"/>
      <c r="F34" s="108">
        <v>201.95</v>
      </c>
      <c r="G34" s="108"/>
      <c r="H34" s="109"/>
      <c r="I34" s="106">
        <v>10</v>
      </c>
      <c r="J34" s="107"/>
      <c r="K34" s="108">
        <v>201.95</v>
      </c>
      <c r="L34" s="108"/>
      <c r="M34" s="109">
        <f t="shared" si="6"/>
        <v>2019.5</v>
      </c>
      <c r="N34" s="106"/>
      <c r="O34" s="107"/>
      <c r="P34" s="108">
        <v>201.95</v>
      </c>
      <c r="Q34" s="108"/>
      <c r="R34" s="109"/>
      <c r="S34" s="106"/>
      <c r="T34" s="107"/>
      <c r="U34" s="108">
        <v>201.95</v>
      </c>
      <c r="V34" s="108"/>
      <c r="W34" s="109"/>
    </row>
    <row r="35" spans="1:23" ht="15.6" customHeight="1">
      <c r="A35" s="345"/>
      <c r="B35" s="113" t="s">
        <v>320</v>
      </c>
      <c r="C35" s="111" t="s">
        <v>27</v>
      </c>
      <c r="D35" s="106">
        <v>2</v>
      </c>
      <c r="E35" s="107"/>
      <c r="F35" s="108">
        <v>179.55</v>
      </c>
      <c r="G35" s="108"/>
      <c r="H35" s="109"/>
      <c r="I35" s="106">
        <v>2</v>
      </c>
      <c r="J35" s="107"/>
      <c r="K35" s="108">
        <v>179.55</v>
      </c>
      <c r="L35" s="108"/>
      <c r="M35" s="109">
        <f t="shared" si="6"/>
        <v>359.1</v>
      </c>
      <c r="N35" s="106"/>
      <c r="O35" s="107"/>
      <c r="P35" s="108">
        <v>179.55</v>
      </c>
      <c r="Q35" s="108"/>
      <c r="R35" s="109"/>
      <c r="S35" s="106"/>
      <c r="T35" s="107"/>
      <c r="U35" s="108">
        <v>179.55</v>
      </c>
      <c r="V35" s="108"/>
      <c r="W35" s="109"/>
    </row>
    <row r="36" spans="1:23" ht="15.6" customHeight="1">
      <c r="A36" s="103"/>
      <c r="B36" s="113" t="s">
        <v>321</v>
      </c>
      <c r="C36" s="111" t="s">
        <v>37</v>
      </c>
      <c r="D36" s="106">
        <v>0.2</v>
      </c>
      <c r="E36" s="107"/>
      <c r="F36" s="108">
        <v>1399</v>
      </c>
      <c r="G36" s="108"/>
      <c r="H36" s="109">
        <f>D36*F36</f>
        <v>279.8</v>
      </c>
      <c r="I36" s="106">
        <v>0.2</v>
      </c>
      <c r="J36" s="107"/>
      <c r="K36" s="108">
        <v>1399</v>
      </c>
      <c r="L36" s="108"/>
      <c r="M36" s="109">
        <f t="shared" si="6"/>
        <v>279.8</v>
      </c>
      <c r="N36" s="106"/>
      <c r="O36" s="107"/>
      <c r="P36" s="108">
        <v>1399</v>
      </c>
      <c r="Q36" s="108"/>
      <c r="R36" s="109">
        <f>N36*P36</f>
        <v>0</v>
      </c>
      <c r="S36" s="106"/>
      <c r="T36" s="107"/>
      <c r="U36" s="108">
        <v>1399</v>
      </c>
      <c r="V36" s="108"/>
      <c r="W36" s="109">
        <f>S36*U36</f>
        <v>0</v>
      </c>
    </row>
    <row r="37" spans="1:23" ht="15.6" customHeight="1">
      <c r="A37" s="103"/>
      <c r="B37" s="113" t="s">
        <v>86</v>
      </c>
      <c r="C37" s="111" t="s">
        <v>21</v>
      </c>
      <c r="D37" s="106">
        <v>16</v>
      </c>
      <c r="E37" s="107"/>
      <c r="F37" s="108">
        <v>42.96</v>
      </c>
      <c r="G37" s="108"/>
      <c r="H37" s="109">
        <f>D37*F37</f>
        <v>687.36</v>
      </c>
      <c r="I37" s="106">
        <v>16</v>
      </c>
      <c r="J37" s="107"/>
      <c r="K37" s="108">
        <v>42.96</v>
      </c>
      <c r="L37" s="108"/>
      <c r="M37" s="109">
        <f t="shared" si="6"/>
        <v>687.36</v>
      </c>
      <c r="N37" s="106"/>
      <c r="O37" s="107"/>
      <c r="P37" s="108">
        <v>42.96</v>
      </c>
      <c r="Q37" s="108"/>
      <c r="R37" s="109">
        <f>N37*P37</f>
        <v>0</v>
      </c>
      <c r="S37" s="106"/>
      <c r="T37" s="107"/>
      <c r="U37" s="108">
        <v>42.96</v>
      </c>
      <c r="V37" s="108"/>
      <c r="W37" s="109">
        <f>S37*U37</f>
        <v>0</v>
      </c>
    </row>
    <row r="38" spans="1:23" ht="15.6" customHeight="1">
      <c r="A38" s="103"/>
      <c r="B38" s="113" t="s">
        <v>87</v>
      </c>
      <c r="C38" s="111" t="s">
        <v>88</v>
      </c>
      <c r="D38" s="106">
        <v>10</v>
      </c>
      <c r="E38" s="107"/>
      <c r="F38" s="108">
        <v>89.19</v>
      </c>
      <c r="G38" s="108"/>
      <c r="H38" s="109">
        <f>D38*F38</f>
        <v>891.9</v>
      </c>
      <c r="I38" s="106">
        <v>10</v>
      </c>
      <c r="J38" s="107"/>
      <c r="K38" s="108">
        <v>89.19</v>
      </c>
      <c r="L38" s="108"/>
      <c r="M38" s="109">
        <f t="shared" si="6"/>
        <v>891.9</v>
      </c>
      <c r="N38" s="106"/>
      <c r="O38" s="107"/>
      <c r="P38" s="108">
        <v>89.19</v>
      </c>
      <c r="Q38" s="108"/>
      <c r="R38" s="109">
        <f>N38*P38</f>
        <v>0</v>
      </c>
      <c r="S38" s="106"/>
      <c r="T38" s="107"/>
      <c r="U38" s="108">
        <v>89.19</v>
      </c>
      <c r="V38" s="108"/>
      <c r="W38" s="109">
        <f>S38*U38</f>
        <v>0</v>
      </c>
    </row>
    <row r="39" spans="1:23" ht="15.6" customHeight="1">
      <c r="A39" s="103"/>
      <c r="B39" s="113" t="s">
        <v>89</v>
      </c>
      <c r="C39" s="111" t="s">
        <v>21</v>
      </c>
      <c r="D39" s="106">
        <v>10</v>
      </c>
      <c r="E39" s="107"/>
      <c r="F39" s="108">
        <v>42.16</v>
      </c>
      <c r="G39" s="108"/>
      <c r="H39" s="109">
        <f>D39*F39</f>
        <v>421.59999999999997</v>
      </c>
      <c r="I39" s="106">
        <v>10</v>
      </c>
      <c r="J39" s="107"/>
      <c r="K39" s="108">
        <v>42.16</v>
      </c>
      <c r="L39" s="108"/>
      <c r="M39" s="109">
        <f t="shared" si="6"/>
        <v>421.59999999999997</v>
      </c>
      <c r="N39" s="106"/>
      <c r="O39" s="107"/>
      <c r="P39" s="108">
        <v>42.16</v>
      </c>
      <c r="Q39" s="108"/>
      <c r="R39" s="109">
        <f>N39*P39</f>
        <v>0</v>
      </c>
      <c r="S39" s="106"/>
      <c r="T39" s="107"/>
      <c r="U39" s="108">
        <v>42.16</v>
      </c>
      <c r="V39" s="108"/>
      <c r="W39" s="109">
        <f>S39*U39</f>
        <v>0</v>
      </c>
    </row>
    <row r="40" spans="1:23" ht="15.6" customHeight="1">
      <c r="A40" s="103"/>
      <c r="B40" s="114" t="s">
        <v>322</v>
      </c>
      <c r="C40" s="111" t="s">
        <v>37</v>
      </c>
      <c r="D40" s="106">
        <v>19</v>
      </c>
      <c r="E40" s="107">
        <v>80</v>
      </c>
      <c r="F40" s="108"/>
      <c r="G40" s="108">
        <f>D40*E40</f>
        <v>1520</v>
      </c>
      <c r="H40" s="109"/>
      <c r="I40" s="106">
        <v>23.116</v>
      </c>
      <c r="J40" s="107">
        <v>80</v>
      </c>
      <c r="K40" s="108"/>
      <c r="L40" s="108">
        <f>I40*J40</f>
        <v>1849.28</v>
      </c>
      <c r="M40" s="109"/>
      <c r="N40" s="106"/>
      <c r="O40" s="107"/>
      <c r="P40" s="108"/>
      <c r="Q40" s="108">
        <f>N40*O40</f>
        <v>0</v>
      </c>
      <c r="R40" s="109"/>
      <c r="S40" s="106"/>
      <c r="T40" s="107">
        <v>80</v>
      </c>
      <c r="U40" s="108"/>
      <c r="V40" s="108">
        <f>S40*T40</f>
        <v>0</v>
      </c>
      <c r="W40" s="109"/>
    </row>
    <row r="41" spans="1:23" ht="15.6" customHeight="1">
      <c r="A41" s="103"/>
      <c r="B41" s="113" t="s">
        <v>91</v>
      </c>
      <c r="C41" s="111" t="s">
        <v>92</v>
      </c>
      <c r="D41" s="106">
        <f>D40*0.3</f>
        <v>5.7</v>
      </c>
      <c r="E41" s="107"/>
      <c r="F41" s="108">
        <v>56</v>
      </c>
      <c r="G41" s="108"/>
      <c r="H41" s="109">
        <f>D41*F41</f>
        <v>319.2</v>
      </c>
      <c r="I41" s="106">
        <v>6.9348000000000001</v>
      </c>
      <c r="J41" s="107"/>
      <c r="K41" s="108">
        <v>56</v>
      </c>
      <c r="L41" s="108"/>
      <c r="M41" s="109">
        <f>I41*K41</f>
        <v>388.34879999999998</v>
      </c>
      <c r="N41" s="106"/>
      <c r="O41" s="107"/>
      <c r="P41" s="108">
        <v>56</v>
      </c>
      <c r="Q41" s="108"/>
      <c r="R41" s="109">
        <f>N41*P41</f>
        <v>0</v>
      </c>
      <c r="S41" s="106"/>
      <c r="T41" s="107"/>
      <c r="U41" s="108">
        <v>56</v>
      </c>
      <c r="V41" s="108"/>
      <c r="W41" s="109">
        <f>S41*U41</f>
        <v>0</v>
      </c>
    </row>
    <row r="42" spans="1:23" ht="15.6" customHeight="1">
      <c r="A42" s="103"/>
      <c r="B42" s="113" t="s">
        <v>93</v>
      </c>
      <c r="C42" s="111" t="s">
        <v>92</v>
      </c>
      <c r="D42" s="106">
        <v>2</v>
      </c>
      <c r="E42" s="107"/>
      <c r="F42" s="108">
        <v>54</v>
      </c>
      <c r="G42" s="108"/>
      <c r="H42" s="109">
        <f>D42*F42</f>
        <v>108</v>
      </c>
      <c r="I42" s="106">
        <v>2.3115999999999999</v>
      </c>
      <c r="J42" s="107"/>
      <c r="K42" s="108">
        <v>54</v>
      </c>
      <c r="L42" s="108"/>
      <c r="M42" s="109">
        <f>I42*K42</f>
        <v>124.82639999999999</v>
      </c>
      <c r="N42" s="106"/>
      <c r="O42" s="107"/>
      <c r="P42" s="108">
        <v>54</v>
      </c>
      <c r="Q42" s="108"/>
      <c r="R42" s="109">
        <f>N42*P42</f>
        <v>0</v>
      </c>
      <c r="S42" s="106"/>
      <c r="T42" s="107"/>
      <c r="U42" s="108">
        <v>54</v>
      </c>
      <c r="V42" s="108"/>
      <c r="W42" s="109">
        <f>S42*U42</f>
        <v>0</v>
      </c>
    </row>
    <row r="43" spans="1:23" ht="15.6" customHeight="1">
      <c r="A43" s="103"/>
      <c r="B43" s="104" t="s">
        <v>460</v>
      </c>
      <c r="C43" s="105"/>
      <c r="D43" s="106"/>
      <c r="E43" s="107"/>
      <c r="F43" s="108"/>
      <c r="G43" s="108"/>
      <c r="H43" s="109"/>
      <c r="I43" s="106"/>
      <c r="J43" s="107"/>
      <c r="K43" s="108"/>
      <c r="L43" s="108"/>
      <c r="M43" s="109"/>
      <c r="N43" s="106"/>
      <c r="O43" s="107"/>
      <c r="P43" s="108"/>
      <c r="Q43" s="108"/>
      <c r="R43" s="109"/>
      <c r="S43" s="106"/>
      <c r="T43" s="107"/>
      <c r="U43" s="108"/>
      <c r="V43" s="108"/>
      <c r="W43" s="109"/>
    </row>
    <row r="44" spans="1:23" ht="31.2" customHeight="1">
      <c r="A44" s="103"/>
      <c r="B44" s="110" t="s">
        <v>461</v>
      </c>
      <c r="C44" s="111" t="s">
        <v>327</v>
      </c>
      <c r="D44" s="106">
        <v>1</v>
      </c>
      <c r="E44" s="107">
        <v>12000</v>
      </c>
      <c r="F44" s="108"/>
      <c r="G44" s="108">
        <f>D44*E44</f>
        <v>12000</v>
      </c>
      <c r="H44" s="109"/>
      <c r="I44" s="106"/>
      <c r="J44" s="107">
        <v>12000</v>
      </c>
      <c r="K44" s="108"/>
      <c r="L44" s="108">
        <f>I44*J44</f>
        <v>0</v>
      </c>
      <c r="M44" s="109"/>
      <c r="N44" s="106"/>
      <c r="O44" s="107">
        <v>12000</v>
      </c>
      <c r="P44" s="108"/>
      <c r="Q44" s="108">
        <f>N44*O44</f>
        <v>0</v>
      </c>
      <c r="R44" s="109"/>
      <c r="S44" s="106">
        <v>1</v>
      </c>
      <c r="T44" s="107">
        <v>12000</v>
      </c>
      <c r="U44" s="108"/>
      <c r="V44" s="108">
        <f>S44*T44</f>
        <v>12000</v>
      </c>
      <c r="W44" s="109"/>
    </row>
    <row r="45" spans="1:23" ht="15.6" customHeight="1">
      <c r="A45" s="103"/>
      <c r="B45" s="113" t="s">
        <v>325</v>
      </c>
      <c r="C45" s="111" t="s">
        <v>27</v>
      </c>
      <c r="D45" s="106">
        <v>48</v>
      </c>
      <c r="E45" s="107"/>
      <c r="F45" s="108">
        <v>146.33000000000001</v>
      </c>
      <c r="G45" s="108"/>
      <c r="H45" s="109">
        <f>D45*F45</f>
        <v>7023.84</v>
      </c>
      <c r="I45" s="106"/>
      <c r="J45" s="107"/>
      <c r="K45" s="108">
        <v>146.33000000000001</v>
      </c>
      <c r="L45" s="108"/>
      <c r="M45" s="109">
        <f>I45*K45</f>
        <v>0</v>
      </c>
      <c r="N45" s="106"/>
      <c r="O45" s="107"/>
      <c r="P45" s="108">
        <v>146.33000000000001</v>
      </c>
      <c r="Q45" s="108"/>
      <c r="R45" s="109">
        <f>N45*P45</f>
        <v>0</v>
      </c>
      <c r="S45" s="106"/>
      <c r="T45" s="107"/>
      <c r="U45" s="108">
        <v>146.33000000000001</v>
      </c>
      <c r="V45" s="108"/>
      <c r="W45" s="109">
        <f t="shared" ref="W45:W50" si="7">S45*U45</f>
        <v>0</v>
      </c>
    </row>
    <row r="46" spans="1:23" ht="15.6" customHeight="1">
      <c r="A46" s="103"/>
      <c r="B46" s="113" t="s">
        <v>317</v>
      </c>
      <c r="C46" s="111" t="s">
        <v>40</v>
      </c>
      <c r="D46" s="106"/>
      <c r="E46" s="107"/>
      <c r="F46" s="108"/>
      <c r="G46" s="108"/>
      <c r="H46" s="109"/>
      <c r="I46" s="106"/>
      <c r="J46" s="107"/>
      <c r="K46" s="108"/>
      <c r="L46" s="108"/>
      <c r="M46" s="109"/>
      <c r="N46" s="106"/>
      <c r="O46" s="107"/>
      <c r="P46" s="108"/>
      <c r="Q46" s="108"/>
      <c r="R46" s="109"/>
      <c r="S46" s="106">
        <v>0.26500000000000001</v>
      </c>
      <c r="T46" s="107"/>
      <c r="U46" s="108">
        <v>29157</v>
      </c>
      <c r="V46" s="108"/>
      <c r="W46" s="109">
        <f t="shared" si="7"/>
        <v>7726.6050000000005</v>
      </c>
    </row>
    <row r="47" spans="1:23" ht="15.6" customHeight="1">
      <c r="A47" s="103"/>
      <c r="B47" s="113" t="s">
        <v>85</v>
      </c>
      <c r="C47" s="111" t="s">
        <v>37</v>
      </c>
      <c r="D47" s="106">
        <v>0.1</v>
      </c>
      <c r="E47" s="107"/>
      <c r="F47" s="108">
        <f t="shared" ref="F47:P67" si="8">1450/1.2</f>
        <v>1208.3333333333335</v>
      </c>
      <c r="G47" s="108"/>
      <c r="H47" s="109">
        <f>D47*F47</f>
        <v>120.83333333333336</v>
      </c>
      <c r="I47" s="106"/>
      <c r="J47" s="107"/>
      <c r="K47" s="108">
        <f t="shared" si="8"/>
        <v>1208.3333333333335</v>
      </c>
      <c r="L47" s="108"/>
      <c r="M47" s="109">
        <f>I47*K47</f>
        <v>0</v>
      </c>
      <c r="N47" s="106"/>
      <c r="O47" s="107"/>
      <c r="P47" s="108">
        <f t="shared" si="8"/>
        <v>1208.3333333333335</v>
      </c>
      <c r="Q47" s="108"/>
      <c r="R47" s="109">
        <f>N47*P47</f>
        <v>0</v>
      </c>
      <c r="S47" s="106">
        <v>0.5</v>
      </c>
      <c r="T47" s="107"/>
      <c r="U47" s="108">
        <f t="shared" ref="U47:U67" si="9">1450/1.2</f>
        <v>1208.3333333333335</v>
      </c>
      <c r="V47" s="108"/>
      <c r="W47" s="109">
        <f t="shared" si="7"/>
        <v>604.16666666666674</v>
      </c>
    </row>
    <row r="48" spans="1:23" ht="15.6" customHeight="1">
      <c r="A48" s="103"/>
      <c r="B48" s="113" t="s">
        <v>86</v>
      </c>
      <c r="C48" s="111" t="s">
        <v>21</v>
      </c>
      <c r="D48" s="106">
        <v>8</v>
      </c>
      <c r="E48" s="107"/>
      <c r="F48" s="108">
        <v>42.96</v>
      </c>
      <c r="G48" s="108"/>
      <c r="H48" s="109">
        <f>D48*F48</f>
        <v>343.68</v>
      </c>
      <c r="I48" s="106"/>
      <c r="J48" s="107"/>
      <c r="K48" s="108">
        <v>42.96</v>
      </c>
      <c r="L48" s="108"/>
      <c r="M48" s="109">
        <f>I48*K48</f>
        <v>0</v>
      </c>
      <c r="N48" s="106"/>
      <c r="O48" s="107"/>
      <c r="P48" s="108">
        <v>42.96</v>
      </c>
      <c r="Q48" s="108"/>
      <c r="R48" s="109">
        <f>N48*P48</f>
        <v>0</v>
      </c>
      <c r="S48" s="106">
        <v>27</v>
      </c>
      <c r="T48" s="107"/>
      <c r="U48" s="108">
        <v>42.96</v>
      </c>
      <c r="V48" s="108"/>
      <c r="W48" s="109">
        <f t="shared" si="7"/>
        <v>1159.92</v>
      </c>
    </row>
    <row r="49" spans="1:23" ht="15.6" customHeight="1">
      <c r="A49" s="103"/>
      <c r="B49" s="113" t="s">
        <v>87</v>
      </c>
      <c r="C49" s="111" t="s">
        <v>88</v>
      </c>
      <c r="D49" s="106">
        <v>1.5</v>
      </c>
      <c r="E49" s="107"/>
      <c r="F49" s="108">
        <v>89.19</v>
      </c>
      <c r="G49" s="108"/>
      <c r="H49" s="109">
        <f>D49*F49</f>
        <v>133.785</v>
      </c>
      <c r="I49" s="106"/>
      <c r="J49" s="107"/>
      <c r="K49" s="108">
        <v>89.19</v>
      </c>
      <c r="L49" s="108"/>
      <c r="M49" s="109">
        <f>I49*K49</f>
        <v>0</v>
      </c>
      <c r="N49" s="106"/>
      <c r="O49" s="107"/>
      <c r="P49" s="108">
        <v>89.19</v>
      </c>
      <c r="Q49" s="108"/>
      <c r="R49" s="109">
        <f>N49*P49</f>
        <v>0</v>
      </c>
      <c r="S49" s="106"/>
      <c r="T49" s="107"/>
      <c r="U49" s="108">
        <v>89.19</v>
      </c>
      <c r="V49" s="108"/>
      <c r="W49" s="109">
        <f t="shared" si="7"/>
        <v>0</v>
      </c>
    </row>
    <row r="50" spans="1:23" ht="15.6" customHeight="1">
      <c r="A50" s="103"/>
      <c r="B50" s="113" t="s">
        <v>89</v>
      </c>
      <c r="C50" s="111" t="s">
        <v>21</v>
      </c>
      <c r="D50" s="106">
        <v>2</v>
      </c>
      <c r="E50" s="107"/>
      <c r="F50" s="108">
        <v>42.16</v>
      </c>
      <c r="G50" s="108"/>
      <c r="H50" s="109">
        <f>D50*F50</f>
        <v>84.32</v>
      </c>
      <c r="I50" s="106"/>
      <c r="J50" s="107"/>
      <c r="K50" s="108">
        <v>42.16</v>
      </c>
      <c r="L50" s="108"/>
      <c r="M50" s="109">
        <f>I50*K50</f>
        <v>0</v>
      </c>
      <c r="N50" s="106"/>
      <c r="O50" s="107"/>
      <c r="P50" s="108">
        <v>42.16</v>
      </c>
      <c r="Q50" s="108"/>
      <c r="R50" s="109">
        <f>N50*P50</f>
        <v>0</v>
      </c>
      <c r="S50" s="106"/>
      <c r="T50" s="107"/>
      <c r="U50" s="108">
        <v>42.16</v>
      </c>
      <c r="V50" s="108"/>
      <c r="W50" s="109">
        <f t="shared" si="7"/>
        <v>0</v>
      </c>
    </row>
    <row r="51" spans="1:23" ht="15.6" customHeight="1">
      <c r="A51" s="103"/>
      <c r="B51" s="114" t="s">
        <v>322</v>
      </c>
      <c r="C51" s="111" t="s">
        <v>37</v>
      </c>
      <c r="D51" s="106">
        <v>8</v>
      </c>
      <c r="E51" s="107">
        <v>80</v>
      </c>
      <c r="F51" s="108"/>
      <c r="G51" s="108">
        <f>D51*E51</f>
        <v>640</v>
      </c>
      <c r="H51" s="109"/>
      <c r="I51" s="106"/>
      <c r="J51" s="107">
        <v>80</v>
      </c>
      <c r="K51" s="108"/>
      <c r="L51" s="108">
        <f>I51*J51</f>
        <v>0</v>
      </c>
      <c r="M51" s="109"/>
      <c r="N51" s="106"/>
      <c r="O51" s="107">
        <v>80</v>
      </c>
      <c r="P51" s="108"/>
      <c r="Q51" s="108">
        <f>N51*O51</f>
        <v>0</v>
      </c>
      <c r="R51" s="109"/>
      <c r="S51" s="106"/>
      <c r="T51" s="107">
        <v>80</v>
      </c>
      <c r="U51" s="108"/>
      <c r="V51" s="108">
        <f>S51*T51</f>
        <v>0</v>
      </c>
      <c r="W51" s="109"/>
    </row>
    <row r="52" spans="1:23" ht="15.6" customHeight="1">
      <c r="A52" s="103"/>
      <c r="B52" s="113" t="s">
        <v>91</v>
      </c>
      <c r="C52" s="111" t="s">
        <v>92</v>
      </c>
      <c r="D52" s="106">
        <f>D51*0.2</f>
        <v>1.6</v>
      </c>
      <c r="E52" s="107"/>
      <c r="F52" s="108">
        <v>56</v>
      </c>
      <c r="G52" s="108"/>
      <c r="H52" s="109">
        <f>D52*F52</f>
        <v>89.600000000000009</v>
      </c>
      <c r="I52" s="106"/>
      <c r="J52" s="107"/>
      <c r="K52" s="108">
        <v>56</v>
      </c>
      <c r="L52" s="108"/>
      <c r="M52" s="109">
        <f>I52*K52</f>
        <v>0</v>
      </c>
      <c r="N52" s="106"/>
      <c r="O52" s="107"/>
      <c r="P52" s="108">
        <v>56</v>
      </c>
      <c r="Q52" s="108"/>
      <c r="R52" s="109">
        <f>N52*P52</f>
        <v>0</v>
      </c>
      <c r="S52" s="106"/>
      <c r="T52" s="107"/>
      <c r="U52" s="108">
        <v>56</v>
      </c>
      <c r="V52" s="108"/>
      <c r="W52" s="109">
        <f>S52*U52</f>
        <v>0</v>
      </c>
    </row>
    <row r="53" spans="1:23" ht="15.6" customHeight="1">
      <c r="A53" s="103"/>
      <c r="B53" s="113" t="s">
        <v>93</v>
      </c>
      <c r="C53" s="111" t="s">
        <v>92</v>
      </c>
      <c r="D53" s="106">
        <v>1</v>
      </c>
      <c r="E53" s="107"/>
      <c r="F53" s="108">
        <v>54</v>
      </c>
      <c r="G53" s="108"/>
      <c r="H53" s="109">
        <f>D53*F53</f>
        <v>54</v>
      </c>
      <c r="I53" s="106"/>
      <c r="J53" s="107"/>
      <c r="K53" s="108">
        <v>54</v>
      </c>
      <c r="L53" s="108"/>
      <c r="M53" s="109">
        <f>I53*K53</f>
        <v>0</v>
      </c>
      <c r="N53" s="106"/>
      <c r="O53" s="107"/>
      <c r="P53" s="108">
        <v>54</v>
      </c>
      <c r="Q53" s="108"/>
      <c r="R53" s="109">
        <f>N53*P53</f>
        <v>0</v>
      </c>
      <c r="S53" s="106"/>
      <c r="T53" s="107"/>
      <c r="U53" s="108">
        <v>54</v>
      </c>
      <c r="V53" s="108"/>
      <c r="W53" s="109">
        <f>S53*U53</f>
        <v>0</v>
      </c>
    </row>
    <row r="54" spans="1:23" ht="15.6" customHeight="1">
      <c r="A54" s="103"/>
      <c r="B54" s="104" t="s">
        <v>328</v>
      </c>
      <c r="C54" s="105"/>
      <c r="D54" s="106"/>
      <c r="E54" s="107"/>
      <c r="F54" s="108"/>
      <c r="G54" s="108"/>
      <c r="H54" s="109"/>
      <c r="I54" s="106"/>
      <c r="J54" s="107"/>
      <c r="K54" s="108"/>
      <c r="L54" s="108"/>
      <c r="M54" s="109"/>
      <c r="N54" s="106"/>
      <c r="O54" s="107"/>
      <c r="P54" s="108"/>
      <c r="Q54" s="108"/>
      <c r="R54" s="109"/>
      <c r="S54" s="106"/>
      <c r="T54" s="107"/>
      <c r="U54" s="108"/>
      <c r="V54" s="108"/>
      <c r="W54" s="109"/>
    </row>
    <row r="55" spans="1:23" ht="31.2" customHeight="1">
      <c r="A55" s="103"/>
      <c r="B55" s="110" t="s">
        <v>329</v>
      </c>
      <c r="C55" s="111" t="s">
        <v>327</v>
      </c>
      <c r="D55" s="106">
        <v>1</v>
      </c>
      <c r="E55" s="107">
        <v>25000</v>
      </c>
      <c r="F55" s="108"/>
      <c r="G55" s="108">
        <f>D55*E55</f>
        <v>25000</v>
      </c>
      <c r="H55" s="109"/>
      <c r="I55" s="106">
        <v>1</v>
      </c>
      <c r="J55" s="107">
        <v>25000</v>
      </c>
      <c r="K55" s="108"/>
      <c r="L55" s="108">
        <f>I55*J55</f>
        <v>25000</v>
      </c>
      <c r="M55" s="109"/>
      <c r="N55" s="106"/>
      <c r="O55" s="107">
        <v>25000</v>
      </c>
      <c r="P55" s="108"/>
      <c r="Q55" s="108">
        <f>N55*O55</f>
        <v>0</v>
      </c>
      <c r="R55" s="109"/>
      <c r="S55" s="106"/>
      <c r="T55" s="107">
        <v>25000</v>
      </c>
      <c r="U55" s="108"/>
      <c r="V55" s="108">
        <f>S55*T55</f>
        <v>0</v>
      </c>
      <c r="W55" s="109"/>
    </row>
    <row r="56" spans="1:23" ht="15.6" customHeight="1">
      <c r="A56" s="103"/>
      <c r="B56" s="113" t="s">
        <v>325</v>
      </c>
      <c r="C56" s="111" t="s">
        <v>27</v>
      </c>
      <c r="D56" s="106">
        <v>114</v>
      </c>
      <c r="E56" s="107"/>
      <c r="F56" s="108">
        <v>146.33000000000001</v>
      </c>
      <c r="G56" s="108"/>
      <c r="H56" s="109">
        <f>D56*F56</f>
        <v>16681.620000000003</v>
      </c>
      <c r="I56" s="106">
        <v>114</v>
      </c>
      <c r="J56" s="107"/>
      <c r="K56" s="108">
        <v>146.33000000000001</v>
      </c>
      <c r="L56" s="108"/>
      <c r="M56" s="109">
        <f>I56*K56</f>
        <v>16681.620000000003</v>
      </c>
      <c r="N56" s="106"/>
      <c r="O56" s="107"/>
      <c r="P56" s="108">
        <v>146.33000000000001</v>
      </c>
      <c r="Q56" s="108"/>
      <c r="R56" s="109">
        <f>N56*P56</f>
        <v>0</v>
      </c>
      <c r="S56" s="106"/>
      <c r="T56" s="107"/>
      <c r="U56" s="108">
        <v>146.33000000000001</v>
      </c>
      <c r="V56" s="108"/>
      <c r="W56" s="109">
        <f>S56*U56</f>
        <v>0</v>
      </c>
    </row>
    <row r="57" spans="1:23" ht="15.6" customHeight="1">
      <c r="A57" s="103"/>
      <c r="B57" s="113" t="s">
        <v>85</v>
      </c>
      <c r="C57" s="111" t="s">
        <v>37</v>
      </c>
      <c r="D57" s="106">
        <v>0.2</v>
      </c>
      <c r="E57" s="107"/>
      <c r="F57" s="108">
        <f t="shared" si="8"/>
        <v>1208.3333333333335</v>
      </c>
      <c r="G57" s="108"/>
      <c r="H57" s="109">
        <f>D57*F57</f>
        <v>241.66666666666671</v>
      </c>
      <c r="I57" s="106">
        <v>0.2</v>
      </c>
      <c r="J57" s="107"/>
      <c r="K57" s="108">
        <f t="shared" si="8"/>
        <v>1208.3333333333335</v>
      </c>
      <c r="L57" s="108"/>
      <c r="M57" s="109">
        <f>I57*K57</f>
        <v>241.66666666666671</v>
      </c>
      <c r="N57" s="106"/>
      <c r="O57" s="107"/>
      <c r="P57" s="108">
        <f t="shared" si="8"/>
        <v>1208.3333333333335</v>
      </c>
      <c r="Q57" s="108"/>
      <c r="R57" s="109">
        <f>N57*P57</f>
        <v>0</v>
      </c>
      <c r="S57" s="106"/>
      <c r="T57" s="107"/>
      <c r="U57" s="108">
        <f t="shared" si="9"/>
        <v>1208.3333333333335</v>
      </c>
      <c r="V57" s="108"/>
      <c r="W57" s="109">
        <f>S57*U57</f>
        <v>0</v>
      </c>
    </row>
    <row r="58" spans="1:23" ht="15.6" customHeight="1">
      <c r="A58" s="103"/>
      <c r="B58" s="113" t="s">
        <v>86</v>
      </c>
      <c r="C58" s="111" t="s">
        <v>21</v>
      </c>
      <c r="D58" s="106">
        <v>8</v>
      </c>
      <c r="E58" s="107"/>
      <c r="F58" s="108">
        <v>42.96</v>
      </c>
      <c r="G58" s="108"/>
      <c r="H58" s="109">
        <f>D58*F58</f>
        <v>343.68</v>
      </c>
      <c r="I58" s="106">
        <v>16</v>
      </c>
      <c r="J58" s="107"/>
      <c r="K58" s="108">
        <v>42.96</v>
      </c>
      <c r="L58" s="108"/>
      <c r="M58" s="109">
        <f>I58*K58</f>
        <v>687.36</v>
      </c>
      <c r="N58" s="106"/>
      <c r="O58" s="107"/>
      <c r="P58" s="108">
        <v>42.96</v>
      </c>
      <c r="Q58" s="108"/>
      <c r="R58" s="109">
        <f>N58*P58</f>
        <v>0</v>
      </c>
      <c r="S58" s="106"/>
      <c r="T58" s="107"/>
      <c r="U58" s="108">
        <v>42.96</v>
      </c>
      <c r="V58" s="108"/>
      <c r="W58" s="109">
        <f>S58*U58</f>
        <v>0</v>
      </c>
    </row>
    <row r="59" spans="1:23" ht="15.6" customHeight="1">
      <c r="A59" s="103"/>
      <c r="B59" s="113" t="s">
        <v>87</v>
      </c>
      <c r="C59" s="111" t="s">
        <v>88</v>
      </c>
      <c r="D59" s="106">
        <v>7.5</v>
      </c>
      <c r="E59" s="107"/>
      <c r="F59" s="108">
        <v>89.19</v>
      </c>
      <c r="G59" s="108"/>
      <c r="H59" s="109">
        <f>D59*F59</f>
        <v>668.92499999999995</v>
      </c>
      <c r="I59" s="106">
        <v>7.5</v>
      </c>
      <c r="J59" s="107"/>
      <c r="K59" s="108">
        <v>89.19</v>
      </c>
      <c r="L59" s="108"/>
      <c r="M59" s="109">
        <f>I59*K59</f>
        <v>668.92499999999995</v>
      </c>
      <c r="N59" s="106"/>
      <c r="O59" s="107"/>
      <c r="P59" s="108">
        <v>89.19</v>
      </c>
      <c r="Q59" s="108"/>
      <c r="R59" s="109">
        <f>N59*P59</f>
        <v>0</v>
      </c>
      <c r="S59" s="106"/>
      <c r="T59" s="107"/>
      <c r="U59" s="108">
        <v>89.19</v>
      </c>
      <c r="V59" s="108"/>
      <c r="W59" s="109">
        <f>S59*U59</f>
        <v>0</v>
      </c>
    </row>
    <row r="60" spans="1:23" ht="15.6" customHeight="1">
      <c r="A60" s="103"/>
      <c r="B60" s="113" t="s">
        <v>89</v>
      </c>
      <c r="C60" s="111" t="s">
        <v>21</v>
      </c>
      <c r="D60" s="106">
        <v>8</v>
      </c>
      <c r="E60" s="107"/>
      <c r="F60" s="108">
        <v>42.16</v>
      </c>
      <c r="G60" s="108"/>
      <c r="H60" s="109">
        <f>D60*F60</f>
        <v>337.28</v>
      </c>
      <c r="I60" s="106">
        <v>8</v>
      </c>
      <c r="J60" s="107"/>
      <c r="K60" s="108">
        <v>42.16</v>
      </c>
      <c r="L60" s="108"/>
      <c r="M60" s="109">
        <f>I60*K60</f>
        <v>337.28</v>
      </c>
      <c r="N60" s="106"/>
      <c r="O60" s="107"/>
      <c r="P60" s="108">
        <v>42.16</v>
      </c>
      <c r="Q60" s="108"/>
      <c r="R60" s="109">
        <f>N60*P60</f>
        <v>0</v>
      </c>
      <c r="S60" s="106"/>
      <c r="T60" s="107"/>
      <c r="U60" s="108">
        <v>42.16</v>
      </c>
      <c r="V60" s="108"/>
      <c r="W60" s="109">
        <f>S60*U60</f>
        <v>0</v>
      </c>
    </row>
    <row r="61" spans="1:23" ht="15.6" customHeight="1">
      <c r="A61" s="103"/>
      <c r="B61" s="114" t="s">
        <v>322</v>
      </c>
      <c r="C61" s="111" t="s">
        <v>37</v>
      </c>
      <c r="D61" s="106">
        <v>19</v>
      </c>
      <c r="E61" s="107">
        <v>80</v>
      </c>
      <c r="F61" s="108"/>
      <c r="G61" s="108">
        <f>D61*E61</f>
        <v>1520</v>
      </c>
      <c r="H61" s="109"/>
      <c r="I61" s="106">
        <f>I56*0.16</f>
        <v>18.240000000000002</v>
      </c>
      <c r="J61" s="107">
        <v>80</v>
      </c>
      <c r="K61" s="108"/>
      <c r="L61" s="108">
        <f>I61*J61</f>
        <v>1459.2000000000003</v>
      </c>
      <c r="M61" s="109"/>
      <c r="N61" s="106"/>
      <c r="O61" s="107">
        <v>80</v>
      </c>
      <c r="P61" s="108"/>
      <c r="Q61" s="108">
        <f>N61*O61</f>
        <v>0</v>
      </c>
      <c r="R61" s="109"/>
      <c r="S61" s="106"/>
      <c r="T61" s="107">
        <v>80</v>
      </c>
      <c r="U61" s="108"/>
      <c r="V61" s="108">
        <f>S61*T61</f>
        <v>0</v>
      </c>
      <c r="W61" s="109"/>
    </row>
    <row r="62" spans="1:23" ht="15.6" customHeight="1">
      <c r="A62" s="103"/>
      <c r="B62" s="113" t="s">
        <v>91</v>
      </c>
      <c r="C62" s="111" t="s">
        <v>92</v>
      </c>
      <c r="D62" s="106">
        <f>D61*0.3</f>
        <v>5.7</v>
      </c>
      <c r="E62" s="107"/>
      <c r="F62" s="108">
        <v>56</v>
      </c>
      <c r="G62" s="108"/>
      <c r="H62" s="109">
        <f>D62*F62</f>
        <v>319.2</v>
      </c>
      <c r="I62" s="106">
        <f>I61*0.3</f>
        <v>5.4720000000000004</v>
      </c>
      <c r="J62" s="107"/>
      <c r="K62" s="108">
        <v>56</v>
      </c>
      <c r="L62" s="108"/>
      <c r="M62" s="109">
        <f>I62*K62</f>
        <v>306.43200000000002</v>
      </c>
      <c r="N62" s="106"/>
      <c r="O62" s="107"/>
      <c r="P62" s="108">
        <v>56</v>
      </c>
      <c r="Q62" s="108"/>
      <c r="R62" s="109">
        <f>N62*P62</f>
        <v>0</v>
      </c>
      <c r="S62" s="106"/>
      <c r="T62" s="107"/>
      <c r="U62" s="108">
        <v>56</v>
      </c>
      <c r="V62" s="108"/>
      <c r="W62" s="109">
        <f>S62*U62</f>
        <v>0</v>
      </c>
    </row>
    <row r="63" spans="1:23" ht="15.6" customHeight="1">
      <c r="A63" s="103"/>
      <c r="B63" s="113" t="s">
        <v>93</v>
      </c>
      <c r="C63" s="111" t="s">
        <v>92</v>
      </c>
      <c r="D63" s="106">
        <v>2</v>
      </c>
      <c r="E63" s="107"/>
      <c r="F63" s="108">
        <v>54</v>
      </c>
      <c r="G63" s="108"/>
      <c r="H63" s="109">
        <f>D63*F63</f>
        <v>108</v>
      </c>
      <c r="I63" s="106">
        <f>I61*0.1</f>
        <v>1.8240000000000003</v>
      </c>
      <c r="J63" s="107"/>
      <c r="K63" s="108">
        <v>54</v>
      </c>
      <c r="L63" s="108"/>
      <c r="M63" s="109">
        <f>I63*K63</f>
        <v>98.496000000000009</v>
      </c>
      <c r="N63" s="106"/>
      <c r="O63" s="107"/>
      <c r="P63" s="108">
        <v>54</v>
      </c>
      <c r="Q63" s="108"/>
      <c r="R63" s="109">
        <f>N63*P63</f>
        <v>0</v>
      </c>
      <c r="S63" s="106"/>
      <c r="T63" s="107"/>
      <c r="U63" s="108">
        <v>54</v>
      </c>
      <c r="V63" s="108"/>
      <c r="W63" s="109">
        <f>S63*U63</f>
        <v>0</v>
      </c>
    </row>
    <row r="64" spans="1:23" ht="15.6" customHeight="1">
      <c r="A64" s="103"/>
      <c r="B64" s="104" t="s">
        <v>330</v>
      </c>
      <c r="C64" s="105"/>
      <c r="D64" s="106"/>
      <c r="E64" s="107"/>
      <c r="F64" s="108"/>
      <c r="G64" s="108"/>
      <c r="H64" s="109"/>
      <c r="I64" s="106"/>
      <c r="J64" s="107"/>
      <c r="K64" s="108"/>
      <c r="L64" s="108"/>
      <c r="M64" s="109"/>
      <c r="N64" s="106"/>
      <c r="O64" s="107"/>
      <c r="P64" s="108"/>
      <c r="Q64" s="108"/>
      <c r="R64" s="109"/>
      <c r="S64" s="106"/>
      <c r="T64" s="107"/>
      <c r="U64" s="108"/>
      <c r="V64" s="108"/>
      <c r="W64" s="109"/>
    </row>
    <row r="65" spans="1:23" ht="31.2" customHeight="1">
      <c r="A65" s="103"/>
      <c r="B65" s="110" t="s">
        <v>331</v>
      </c>
      <c r="C65" s="111" t="s">
        <v>327</v>
      </c>
      <c r="D65" s="106">
        <v>1</v>
      </c>
      <c r="E65" s="107">
        <v>7200</v>
      </c>
      <c r="F65" s="108"/>
      <c r="G65" s="108">
        <f>D65*E65</f>
        <v>7200</v>
      </c>
      <c r="H65" s="109"/>
      <c r="I65" s="106"/>
      <c r="J65" s="107">
        <v>7200</v>
      </c>
      <c r="K65" s="108"/>
      <c r="L65" s="108">
        <f>I65*J65</f>
        <v>0</v>
      </c>
      <c r="M65" s="109"/>
      <c r="N65" s="106"/>
      <c r="O65" s="107">
        <v>7200</v>
      </c>
      <c r="P65" s="108"/>
      <c r="Q65" s="108">
        <f>N65*O65</f>
        <v>0</v>
      </c>
      <c r="R65" s="109"/>
      <c r="S65" s="106">
        <v>1</v>
      </c>
      <c r="T65" s="107">
        <v>7200</v>
      </c>
      <c r="U65" s="108"/>
      <c r="V65" s="108">
        <f>S65*T65</f>
        <v>7200</v>
      </c>
      <c r="W65" s="109"/>
    </row>
    <row r="66" spans="1:23" ht="15.6" customHeight="1">
      <c r="A66" s="103"/>
      <c r="B66" s="113" t="s">
        <v>325</v>
      </c>
      <c r="C66" s="111" t="s">
        <v>27</v>
      </c>
      <c r="D66" s="106">
        <v>42</v>
      </c>
      <c r="E66" s="107"/>
      <c r="F66" s="108">
        <v>146.33000000000001</v>
      </c>
      <c r="G66" s="108"/>
      <c r="H66" s="109">
        <f>D66*F66</f>
        <v>6145.8600000000006</v>
      </c>
      <c r="I66" s="106"/>
      <c r="J66" s="107"/>
      <c r="K66" s="108">
        <v>146.33000000000001</v>
      </c>
      <c r="L66" s="108"/>
      <c r="M66" s="109">
        <f>I66*K66</f>
        <v>0</v>
      </c>
      <c r="N66" s="106"/>
      <c r="O66" s="107"/>
      <c r="P66" s="108">
        <v>146.33000000000001</v>
      </c>
      <c r="Q66" s="108"/>
      <c r="R66" s="109">
        <f>N66*P66</f>
        <v>0</v>
      </c>
      <c r="S66" s="106">
        <v>42</v>
      </c>
      <c r="T66" s="107"/>
      <c r="U66" s="108">
        <v>146.33000000000001</v>
      </c>
      <c r="V66" s="108"/>
      <c r="W66" s="109">
        <f>S66*U66</f>
        <v>6145.8600000000006</v>
      </c>
    </row>
    <row r="67" spans="1:23" ht="15.6" customHeight="1">
      <c r="A67" s="103"/>
      <c r="B67" s="113" t="s">
        <v>85</v>
      </c>
      <c r="C67" s="111" t="s">
        <v>37</v>
      </c>
      <c r="D67" s="106">
        <v>0.1</v>
      </c>
      <c r="E67" s="107"/>
      <c r="F67" s="108">
        <f t="shared" si="8"/>
        <v>1208.3333333333335</v>
      </c>
      <c r="G67" s="108"/>
      <c r="H67" s="109">
        <f>D67*F67</f>
        <v>120.83333333333336</v>
      </c>
      <c r="I67" s="106"/>
      <c r="J67" s="107"/>
      <c r="K67" s="108">
        <f t="shared" si="8"/>
        <v>1208.3333333333335</v>
      </c>
      <c r="L67" s="108"/>
      <c r="M67" s="109">
        <f>I67*K67</f>
        <v>0</v>
      </c>
      <c r="N67" s="106"/>
      <c r="O67" s="107"/>
      <c r="P67" s="108">
        <f t="shared" si="8"/>
        <v>1208.3333333333335</v>
      </c>
      <c r="Q67" s="108"/>
      <c r="R67" s="109">
        <f>N67*P67</f>
        <v>0</v>
      </c>
      <c r="S67" s="106">
        <v>0.1</v>
      </c>
      <c r="T67" s="107"/>
      <c r="U67" s="108">
        <f t="shared" si="9"/>
        <v>1208.3333333333335</v>
      </c>
      <c r="V67" s="108"/>
      <c r="W67" s="109">
        <f>S67*U67</f>
        <v>120.83333333333336</v>
      </c>
    </row>
    <row r="68" spans="1:23" ht="15.6" customHeight="1">
      <c r="A68" s="103"/>
      <c r="B68" s="113" t="s">
        <v>86</v>
      </c>
      <c r="C68" s="111" t="s">
        <v>21</v>
      </c>
      <c r="D68" s="106">
        <v>4</v>
      </c>
      <c r="E68" s="107"/>
      <c r="F68" s="108">
        <v>42.96</v>
      </c>
      <c r="G68" s="108"/>
      <c r="H68" s="109">
        <f>D68*F68</f>
        <v>171.84</v>
      </c>
      <c r="I68" s="106"/>
      <c r="J68" s="107"/>
      <c r="K68" s="108">
        <v>42.96</v>
      </c>
      <c r="L68" s="108"/>
      <c r="M68" s="109">
        <f>I68*K68</f>
        <v>0</v>
      </c>
      <c r="N68" s="106"/>
      <c r="O68" s="107"/>
      <c r="P68" s="108">
        <v>42.96</v>
      </c>
      <c r="Q68" s="108"/>
      <c r="R68" s="109">
        <f>N68*P68</f>
        <v>0</v>
      </c>
      <c r="S68" s="106">
        <v>4</v>
      </c>
      <c r="T68" s="107"/>
      <c r="U68" s="108">
        <v>42.96</v>
      </c>
      <c r="V68" s="108"/>
      <c r="W68" s="109">
        <f>S68*U68</f>
        <v>171.84</v>
      </c>
    </row>
    <row r="69" spans="1:23" ht="15.6" customHeight="1">
      <c r="A69" s="103"/>
      <c r="B69" s="113" t="s">
        <v>87</v>
      </c>
      <c r="C69" s="111" t="s">
        <v>88</v>
      </c>
      <c r="D69" s="106">
        <v>1.5</v>
      </c>
      <c r="E69" s="107"/>
      <c r="F69" s="108">
        <v>89.19</v>
      </c>
      <c r="G69" s="108"/>
      <c r="H69" s="109">
        <f>D69*F69</f>
        <v>133.785</v>
      </c>
      <c r="I69" s="106"/>
      <c r="J69" s="107"/>
      <c r="K69" s="108">
        <v>89.19</v>
      </c>
      <c r="L69" s="108"/>
      <c r="M69" s="109">
        <f>I69*K69</f>
        <v>0</v>
      </c>
      <c r="N69" s="106"/>
      <c r="O69" s="107"/>
      <c r="P69" s="108">
        <v>89.19</v>
      </c>
      <c r="Q69" s="108"/>
      <c r="R69" s="109">
        <f>N69*P69</f>
        <v>0</v>
      </c>
      <c r="S69" s="106">
        <v>1.5</v>
      </c>
      <c r="T69" s="107"/>
      <c r="U69" s="108">
        <v>89.19</v>
      </c>
      <c r="V69" s="108"/>
      <c r="W69" s="109">
        <f>S69*U69</f>
        <v>133.785</v>
      </c>
    </row>
    <row r="70" spans="1:23" ht="15.6" customHeight="1">
      <c r="A70" s="103"/>
      <c r="B70" s="113" t="s">
        <v>89</v>
      </c>
      <c r="C70" s="111" t="s">
        <v>21</v>
      </c>
      <c r="D70" s="106">
        <v>2</v>
      </c>
      <c r="E70" s="107"/>
      <c r="F70" s="108">
        <v>42.16</v>
      </c>
      <c r="G70" s="108"/>
      <c r="H70" s="109">
        <f>D70*F70</f>
        <v>84.32</v>
      </c>
      <c r="I70" s="106"/>
      <c r="J70" s="107"/>
      <c r="K70" s="108">
        <v>42.16</v>
      </c>
      <c r="L70" s="108"/>
      <c r="M70" s="109">
        <f>I70*K70</f>
        <v>0</v>
      </c>
      <c r="N70" s="106"/>
      <c r="O70" s="107"/>
      <c r="P70" s="108">
        <v>42.16</v>
      </c>
      <c r="Q70" s="108"/>
      <c r="R70" s="109">
        <f>N70*P70</f>
        <v>0</v>
      </c>
      <c r="S70" s="106">
        <v>2</v>
      </c>
      <c r="T70" s="107"/>
      <c r="U70" s="108">
        <v>42.16</v>
      </c>
      <c r="V70" s="108"/>
      <c r="W70" s="109">
        <f>S70*U70</f>
        <v>84.32</v>
      </c>
    </row>
    <row r="71" spans="1:23" ht="15.6" customHeight="1">
      <c r="A71" s="103"/>
      <c r="B71" s="114" t="s">
        <v>90</v>
      </c>
      <c r="C71" s="111" t="s">
        <v>37</v>
      </c>
      <c r="D71" s="106">
        <v>7</v>
      </c>
      <c r="E71" s="107">
        <v>80</v>
      </c>
      <c r="F71" s="108"/>
      <c r="G71" s="108">
        <f>D71*E71</f>
        <v>560</v>
      </c>
      <c r="H71" s="109"/>
      <c r="I71" s="106"/>
      <c r="J71" s="107">
        <v>80</v>
      </c>
      <c r="K71" s="108"/>
      <c r="L71" s="108">
        <f>I71*J71</f>
        <v>0</v>
      </c>
      <c r="M71" s="109"/>
      <c r="N71" s="106"/>
      <c r="O71" s="107">
        <v>80</v>
      </c>
      <c r="P71" s="108"/>
      <c r="Q71" s="108">
        <f>N71*O71</f>
        <v>0</v>
      </c>
      <c r="R71" s="109"/>
      <c r="S71" s="106">
        <v>7</v>
      </c>
      <c r="T71" s="107">
        <v>80</v>
      </c>
      <c r="U71" s="108"/>
      <c r="V71" s="108">
        <f>S71*T71</f>
        <v>560</v>
      </c>
      <c r="W71" s="109"/>
    </row>
    <row r="72" spans="1:23" ht="15.6" customHeight="1">
      <c r="A72" s="103"/>
      <c r="B72" s="113" t="s">
        <v>91</v>
      </c>
      <c r="C72" s="111" t="s">
        <v>92</v>
      </c>
      <c r="D72" s="106">
        <f>D71*0.2</f>
        <v>1.4000000000000001</v>
      </c>
      <c r="E72" s="107"/>
      <c r="F72" s="108">
        <v>56</v>
      </c>
      <c r="G72" s="108"/>
      <c r="H72" s="109">
        <f>D72*F72</f>
        <v>78.400000000000006</v>
      </c>
      <c r="I72" s="106"/>
      <c r="J72" s="107"/>
      <c r="K72" s="108">
        <v>56</v>
      </c>
      <c r="L72" s="108"/>
      <c r="M72" s="109">
        <f>I72*K72</f>
        <v>0</v>
      </c>
      <c r="N72" s="106"/>
      <c r="O72" s="107"/>
      <c r="P72" s="108">
        <v>56</v>
      </c>
      <c r="Q72" s="108"/>
      <c r="R72" s="109">
        <f>N72*P72</f>
        <v>0</v>
      </c>
      <c r="S72" s="106">
        <f>S71*0.2</f>
        <v>1.4000000000000001</v>
      </c>
      <c r="T72" s="107"/>
      <c r="U72" s="108">
        <v>56</v>
      </c>
      <c r="V72" s="108"/>
      <c r="W72" s="109">
        <f>S72*U72</f>
        <v>78.400000000000006</v>
      </c>
    </row>
    <row r="73" spans="1:23" ht="15.6" customHeight="1">
      <c r="A73" s="103"/>
      <c r="B73" s="113" t="s">
        <v>93</v>
      </c>
      <c r="C73" s="111" t="s">
        <v>92</v>
      </c>
      <c r="D73" s="106">
        <v>1</v>
      </c>
      <c r="E73" s="107"/>
      <c r="F73" s="108">
        <v>54</v>
      </c>
      <c r="G73" s="108"/>
      <c r="H73" s="109">
        <f>D73*F73</f>
        <v>54</v>
      </c>
      <c r="I73" s="106"/>
      <c r="J73" s="107"/>
      <c r="K73" s="108">
        <v>54</v>
      </c>
      <c r="L73" s="108"/>
      <c r="M73" s="109">
        <f>I73*K73</f>
        <v>0</v>
      </c>
      <c r="N73" s="106"/>
      <c r="O73" s="107"/>
      <c r="P73" s="108">
        <v>54</v>
      </c>
      <c r="Q73" s="108"/>
      <c r="R73" s="109">
        <f>N73*P73</f>
        <v>0</v>
      </c>
      <c r="S73" s="106">
        <v>1</v>
      </c>
      <c r="T73" s="107"/>
      <c r="U73" s="108">
        <v>54</v>
      </c>
      <c r="V73" s="108"/>
      <c r="W73" s="109">
        <f>S73*U73</f>
        <v>54</v>
      </c>
    </row>
    <row r="74" spans="1:23" ht="14.4" customHeight="1">
      <c r="A74" s="115"/>
      <c r="B74" s="165" t="s">
        <v>125</v>
      </c>
      <c r="C74" s="166" t="s">
        <v>126</v>
      </c>
      <c r="D74" s="133">
        <v>5</v>
      </c>
      <c r="E74" s="167">
        <v>750</v>
      </c>
      <c r="F74" s="167"/>
      <c r="G74" s="168">
        <f>D74*E74</f>
        <v>3750</v>
      </c>
      <c r="H74" s="30"/>
      <c r="I74" s="133">
        <v>5</v>
      </c>
      <c r="J74" s="167">
        <v>750</v>
      </c>
      <c r="K74" s="167"/>
      <c r="L74" s="168">
        <f>I74*J74</f>
        <v>3750</v>
      </c>
      <c r="M74" s="30"/>
      <c r="N74" s="136"/>
      <c r="O74" s="167">
        <v>750</v>
      </c>
      <c r="P74" s="167"/>
      <c r="Q74" s="168">
        <f>N74*O74</f>
        <v>0</v>
      </c>
      <c r="R74" s="164"/>
      <c r="S74" s="133"/>
      <c r="T74" s="167">
        <v>750</v>
      </c>
      <c r="U74" s="167"/>
      <c r="V74" s="168">
        <f>S74*T74</f>
        <v>0</v>
      </c>
      <c r="W74" s="30"/>
    </row>
    <row r="75" spans="1:23" ht="26.4" customHeight="1">
      <c r="A75" s="169"/>
      <c r="B75" s="44" t="s">
        <v>127</v>
      </c>
      <c r="C75" s="170"/>
      <c r="D75" s="171"/>
      <c r="E75" s="172"/>
      <c r="F75" s="172"/>
      <c r="G75" s="172"/>
      <c r="H75" s="172"/>
      <c r="I75" s="171"/>
      <c r="J75" s="172"/>
      <c r="K75" s="172"/>
      <c r="L75" s="172"/>
      <c r="M75" s="172"/>
      <c r="N75" s="171"/>
      <c r="O75" s="172"/>
      <c r="P75" s="172"/>
      <c r="Q75" s="172"/>
      <c r="R75" s="173"/>
      <c r="S75" s="171"/>
      <c r="T75" s="172"/>
      <c r="U75" s="172"/>
      <c r="V75" s="172"/>
      <c r="W75" s="172"/>
    </row>
    <row r="76" spans="1:23" ht="13.65" customHeight="1">
      <c r="A76" s="174"/>
      <c r="B76" s="722" t="s">
        <v>64</v>
      </c>
      <c r="C76" s="723"/>
      <c r="D76" s="723"/>
      <c r="E76" s="175"/>
      <c r="F76" s="176"/>
      <c r="G76" s="177">
        <f>SUM(G13:G75)</f>
        <v>95847.775999999998</v>
      </c>
      <c r="H76" s="178"/>
      <c r="I76" s="179"/>
      <c r="J76" s="175"/>
      <c r="K76" s="176"/>
      <c r="L76" s="177">
        <f>SUM(L13:L75)</f>
        <v>53234</v>
      </c>
      <c r="M76" s="178"/>
      <c r="N76" s="179"/>
      <c r="O76" s="175"/>
      <c r="P76" s="176"/>
      <c r="Q76" s="177">
        <f>SUM(Q13:Q75)</f>
        <v>22848</v>
      </c>
      <c r="R76" s="178"/>
      <c r="S76" s="346"/>
      <c r="T76" s="175"/>
      <c r="U76" s="176"/>
      <c r="V76" s="177">
        <f>SUM(V13:V75)</f>
        <v>19760</v>
      </c>
      <c r="W76" s="178"/>
    </row>
    <row r="77" spans="1:23" ht="13.65" customHeight="1">
      <c r="A77" s="174"/>
      <c r="B77" s="722" t="s">
        <v>65</v>
      </c>
      <c r="C77" s="723"/>
      <c r="D77" s="723"/>
      <c r="E77" s="175"/>
      <c r="F77" s="176"/>
      <c r="G77" s="177"/>
      <c r="H77" s="178">
        <f>SUM(H13:H76)</f>
        <v>58737.348333333335</v>
      </c>
      <c r="I77" s="180"/>
      <c r="J77" s="175"/>
      <c r="K77" s="176"/>
      <c r="L77" s="177"/>
      <c r="M77" s="178">
        <f>SUM(M13:M76)</f>
        <v>64810.592866666666</v>
      </c>
      <c r="N77" s="180"/>
      <c r="O77" s="175"/>
      <c r="P77" s="176"/>
      <c r="Q77" s="177"/>
      <c r="R77" s="178">
        <f>SUM(R13:R76)</f>
        <v>0</v>
      </c>
      <c r="S77" s="220"/>
      <c r="T77" s="175"/>
      <c r="U77" s="176"/>
      <c r="V77" s="177"/>
      <c r="W77" s="178">
        <f>SUM(W13:W76)</f>
        <v>16279.730000000001</v>
      </c>
    </row>
    <row r="78" spans="1:23" ht="13.65" customHeight="1">
      <c r="A78" s="174"/>
      <c r="B78" s="722" t="s">
        <v>66</v>
      </c>
      <c r="C78" s="723"/>
      <c r="D78" s="723"/>
      <c r="E78" s="181">
        <v>0.05</v>
      </c>
      <c r="F78" s="176"/>
      <c r="G78" s="176"/>
      <c r="H78" s="182">
        <f>H77*E78</f>
        <v>2936.8674166666669</v>
      </c>
      <c r="I78" s="180"/>
      <c r="J78" s="181">
        <v>0.05</v>
      </c>
      <c r="K78" s="176"/>
      <c r="L78" s="176"/>
      <c r="M78" s="182">
        <f>M77*J78</f>
        <v>3240.5296433333333</v>
      </c>
      <c r="N78" s="180"/>
      <c r="O78" s="181">
        <v>0.05</v>
      </c>
      <c r="P78" s="176"/>
      <c r="Q78" s="176"/>
      <c r="R78" s="182">
        <f>R77*O78</f>
        <v>0</v>
      </c>
      <c r="S78" s="220"/>
      <c r="T78" s="181">
        <v>0.05</v>
      </c>
      <c r="U78" s="176"/>
      <c r="V78" s="176"/>
      <c r="W78" s="182">
        <f>W77*T78</f>
        <v>813.98650000000009</v>
      </c>
    </row>
    <row r="79" spans="1:23" ht="13.65" customHeight="1">
      <c r="A79" s="174"/>
      <c r="B79" s="722" t="s">
        <v>67</v>
      </c>
      <c r="C79" s="723"/>
      <c r="D79" s="723"/>
      <c r="E79" s="181">
        <v>0.1</v>
      </c>
      <c r="F79" s="176"/>
      <c r="G79" s="176">
        <f>G76*E79</f>
        <v>9584.7775999999994</v>
      </c>
      <c r="H79" s="182"/>
      <c r="I79" s="180"/>
      <c r="J79" s="181">
        <v>0.1</v>
      </c>
      <c r="K79" s="176"/>
      <c r="L79" s="176">
        <f>L76*J79</f>
        <v>5323.4000000000005</v>
      </c>
      <c r="M79" s="182"/>
      <c r="N79" s="180"/>
      <c r="O79" s="181">
        <v>0.1</v>
      </c>
      <c r="P79" s="176"/>
      <c r="Q79" s="176">
        <f>Q76*O79</f>
        <v>2284.8000000000002</v>
      </c>
      <c r="R79" s="182"/>
      <c r="S79" s="220"/>
      <c r="T79" s="181">
        <v>0.1</v>
      </c>
      <c r="U79" s="176"/>
      <c r="V79" s="176">
        <f>V76*T79</f>
        <v>1976</v>
      </c>
      <c r="W79" s="182"/>
    </row>
    <row r="80" spans="1:23" ht="13.65" customHeight="1">
      <c r="A80" s="174"/>
      <c r="B80" s="722" t="s">
        <v>68</v>
      </c>
      <c r="C80" s="723"/>
      <c r="D80" s="723"/>
      <c r="E80" s="183">
        <v>0.05</v>
      </c>
      <c r="F80" s="176"/>
      <c r="G80" s="176"/>
      <c r="H80" s="182">
        <f>H77*E80</f>
        <v>2936.8674166666669</v>
      </c>
      <c r="I80" s="180"/>
      <c r="J80" s="183">
        <v>0.05</v>
      </c>
      <c r="K80" s="176"/>
      <c r="L80" s="176"/>
      <c r="M80" s="182">
        <f>M77*J80</f>
        <v>3240.5296433333333</v>
      </c>
      <c r="N80" s="180"/>
      <c r="O80" s="183">
        <v>0.05</v>
      </c>
      <c r="P80" s="176"/>
      <c r="Q80" s="176"/>
      <c r="R80" s="182">
        <f>R77*O80</f>
        <v>0</v>
      </c>
      <c r="S80" s="220"/>
      <c r="T80" s="183">
        <v>0.05</v>
      </c>
      <c r="U80" s="176"/>
      <c r="V80" s="176"/>
      <c r="W80" s="182">
        <f>W77*T80</f>
        <v>813.98650000000009</v>
      </c>
    </row>
    <row r="81" spans="1:23" ht="13.65" customHeight="1">
      <c r="A81" s="174"/>
      <c r="B81" s="724" t="s">
        <v>69</v>
      </c>
      <c r="C81" s="725"/>
      <c r="D81" s="725"/>
      <c r="E81" s="725"/>
      <c r="F81" s="725"/>
      <c r="G81" s="725"/>
      <c r="H81" s="184">
        <f>SUM(G76:G80,H76:H80)</f>
        <v>170043.63676666669</v>
      </c>
      <c r="I81" s="185"/>
      <c r="J81" s="186"/>
      <c r="K81" s="186"/>
      <c r="L81" s="187"/>
      <c r="M81" s="184">
        <f>SUM(L76:L80,M76:M80)</f>
        <v>129849.05215333332</v>
      </c>
      <c r="N81" s="185"/>
      <c r="O81" s="186"/>
      <c r="P81" s="186"/>
      <c r="Q81" s="187"/>
      <c r="R81" s="184">
        <f>SUM(Q76:Q80,R76:R80)</f>
        <v>25132.799999999999</v>
      </c>
      <c r="S81" s="220"/>
      <c r="T81" s="211"/>
      <c r="W81" s="184">
        <f>SUM(V76:V80,W76:W80)</f>
        <v>39643.703000000001</v>
      </c>
    </row>
    <row r="82" spans="1:23" ht="13.65" customHeight="1">
      <c r="A82" s="174"/>
      <c r="B82" s="188" t="s">
        <v>128</v>
      </c>
      <c r="C82" s="189"/>
      <c r="D82" s="129"/>
      <c r="E82" s="129"/>
      <c r="F82" s="190"/>
      <c r="G82" s="191"/>
      <c r="H82" s="192">
        <f>H81*0.2</f>
        <v>34008.727353333343</v>
      </c>
      <c r="I82" s="129"/>
      <c r="J82" s="129"/>
      <c r="K82" s="190"/>
      <c r="L82" s="191"/>
      <c r="M82" s="192">
        <f>M81*0.2</f>
        <v>25969.810430666665</v>
      </c>
      <c r="N82" s="129"/>
      <c r="O82" s="129"/>
      <c r="P82" s="190"/>
      <c r="Q82" s="191"/>
      <c r="R82" s="193">
        <f>R81*0.2</f>
        <v>5026.5600000000004</v>
      </c>
      <c r="S82" s="129"/>
      <c r="T82" s="129"/>
      <c r="U82" s="190"/>
      <c r="V82" s="191"/>
      <c r="W82" s="192">
        <f>W81*0.2</f>
        <v>7928.740600000001</v>
      </c>
    </row>
    <row r="83" spans="1:23" ht="15.75" customHeight="1" thickBot="1">
      <c r="A83" s="194"/>
      <c r="B83" s="726" t="s">
        <v>71</v>
      </c>
      <c r="C83" s="727"/>
      <c r="D83" s="727"/>
      <c r="E83" s="727"/>
      <c r="F83" s="727"/>
      <c r="G83" s="727"/>
      <c r="H83" s="195">
        <f>SUM(H81:H82)</f>
        <v>204052.36412000004</v>
      </c>
      <c r="I83" s="196"/>
      <c r="J83" s="197"/>
      <c r="K83" s="197"/>
      <c r="L83" s="198"/>
      <c r="M83" s="195">
        <f>SUM(M81:M82)</f>
        <v>155818.86258399999</v>
      </c>
      <c r="N83" s="196"/>
      <c r="O83" s="197"/>
      <c r="P83" s="197"/>
      <c r="Q83" s="198"/>
      <c r="R83" s="195">
        <f>SUM(R81:R82)</f>
        <v>30159.360000000001</v>
      </c>
      <c r="S83" s="220"/>
      <c r="T83" s="211"/>
      <c r="W83" s="195">
        <f>SUM(W81:W82)</f>
        <v>47572.443599999999</v>
      </c>
    </row>
    <row r="84" spans="1:23" ht="14.1" customHeight="1">
      <c r="A84" s="199"/>
      <c r="B84" s="199"/>
      <c r="C84" s="199"/>
      <c r="D84" s="199"/>
      <c r="E84" s="199"/>
      <c r="F84" s="199"/>
      <c r="G84" s="199"/>
      <c r="H84" s="199"/>
      <c r="I84" s="6"/>
      <c r="J84" s="6"/>
      <c r="K84" s="6"/>
      <c r="L84" s="6"/>
      <c r="M84" s="199"/>
      <c r="N84" s="6"/>
      <c r="O84" s="6"/>
      <c r="P84" s="6"/>
      <c r="Q84" s="6"/>
      <c r="R84" s="199"/>
      <c r="S84" s="199"/>
      <c r="T84" s="199"/>
      <c r="U84" s="199"/>
      <c r="V84" s="199"/>
      <c r="W84" s="199"/>
    </row>
    <row r="85" spans="1:23" ht="12.75" customHeight="1">
      <c r="A85" s="200"/>
      <c r="B85" s="201" t="s">
        <v>129</v>
      </c>
      <c r="C85" s="202"/>
      <c r="D85" s="83"/>
      <c r="E85" s="83"/>
      <c r="F85" s="203"/>
      <c r="G85" s="203"/>
      <c r="H85" s="203"/>
      <c r="I85" s="83"/>
      <c r="J85" s="83"/>
      <c r="K85" s="203"/>
      <c r="L85" s="203"/>
      <c r="M85" s="203"/>
      <c r="N85" s="83"/>
      <c r="O85" s="83"/>
      <c r="P85" s="203"/>
      <c r="Q85" s="203"/>
      <c r="R85" s="203"/>
      <c r="S85" s="83"/>
      <c r="T85" s="83"/>
      <c r="U85" s="203"/>
      <c r="V85" s="203"/>
      <c r="W85" s="203"/>
    </row>
    <row r="86" spans="1:23" ht="12.75" customHeight="1">
      <c r="A86" s="200"/>
      <c r="B86" s="204" t="s">
        <v>130</v>
      </c>
      <c r="C86" s="202"/>
      <c r="D86" s="83"/>
      <c r="E86" s="205"/>
      <c r="F86" s="203"/>
      <c r="G86" s="203"/>
      <c r="H86" s="203"/>
      <c r="I86" s="83"/>
      <c r="J86" s="205"/>
      <c r="K86" s="203"/>
      <c r="L86" s="203"/>
      <c r="M86" s="203"/>
      <c r="N86" s="83"/>
      <c r="O86" s="205"/>
      <c r="P86" s="203"/>
      <c r="Q86" s="203"/>
      <c r="R86" s="203"/>
      <c r="S86" s="83"/>
      <c r="T86" s="205"/>
      <c r="U86" s="203"/>
      <c r="V86" s="203"/>
      <c r="W86" s="203"/>
    </row>
    <row r="87" spans="1:23" ht="12.75" customHeight="1">
      <c r="A87" s="200"/>
      <c r="B87" s="204" t="s">
        <v>131</v>
      </c>
      <c r="C87" s="204" t="s">
        <v>132</v>
      </c>
      <c r="D87" s="83"/>
      <c r="E87" s="206"/>
      <c r="F87" s="203"/>
      <c r="G87" s="203"/>
      <c r="H87" s="203"/>
      <c r="I87" s="83"/>
      <c r="J87" s="206"/>
      <c r="K87" s="203"/>
      <c r="L87" s="203"/>
      <c r="M87" s="203"/>
      <c r="N87" s="83"/>
      <c r="O87" s="206"/>
      <c r="P87" s="203"/>
      <c r="Q87" s="203"/>
      <c r="R87" s="203"/>
      <c r="S87" s="83"/>
      <c r="T87" s="206"/>
      <c r="U87" s="203"/>
      <c r="V87" s="203"/>
      <c r="W87" s="203"/>
    </row>
    <row r="88" spans="1:23" ht="13.2" customHeight="1">
      <c r="A88" s="200"/>
      <c r="B88" s="207"/>
      <c r="C88" s="202"/>
      <c r="D88" s="83"/>
      <c r="E88" s="206"/>
      <c r="F88" s="203"/>
      <c r="G88" s="203"/>
      <c r="H88" s="203"/>
      <c r="I88" s="83"/>
      <c r="J88" s="206"/>
      <c r="K88" s="203"/>
      <c r="L88" s="203"/>
      <c r="M88" s="203"/>
      <c r="N88" s="83"/>
      <c r="O88" s="206"/>
      <c r="P88" s="203"/>
      <c r="Q88" s="203"/>
      <c r="R88" s="203"/>
      <c r="S88" s="83"/>
      <c r="T88" s="206"/>
      <c r="U88" s="203"/>
      <c r="V88" s="203"/>
      <c r="W88" s="203"/>
    </row>
    <row r="89" spans="1:23" ht="13.2" customHeight="1">
      <c r="A89" s="200"/>
      <c r="B89" s="207"/>
      <c r="C89" s="202"/>
      <c r="D89" s="83"/>
      <c r="E89" s="206"/>
      <c r="F89" s="85"/>
      <c r="G89" s="85"/>
      <c r="H89" s="85"/>
      <c r="I89" s="83"/>
      <c r="J89" s="206"/>
      <c r="K89" s="85"/>
      <c r="L89" s="85"/>
      <c r="M89" s="85"/>
      <c r="N89" s="83"/>
      <c r="O89" s="206"/>
      <c r="P89" s="85"/>
      <c r="Q89" s="85"/>
      <c r="R89" s="85"/>
      <c r="S89" s="83"/>
      <c r="T89" s="206"/>
      <c r="U89" s="85"/>
      <c r="V89" s="85"/>
      <c r="W89" s="85"/>
    </row>
    <row r="90" spans="1:23" ht="13.2" customHeight="1">
      <c r="A90" s="208"/>
      <c r="B90" s="82"/>
      <c r="C90" s="82"/>
      <c r="D90" s="83"/>
      <c r="E90" s="83"/>
      <c r="F90" s="85"/>
      <c r="G90" s="85"/>
      <c r="H90" s="85"/>
      <c r="I90" s="83"/>
      <c r="J90" s="83"/>
      <c r="K90" s="85"/>
      <c r="L90" s="85"/>
      <c r="M90" s="85"/>
      <c r="N90" s="83"/>
      <c r="O90" s="83"/>
      <c r="P90" s="85"/>
      <c r="Q90" s="85"/>
      <c r="R90" s="85"/>
      <c r="S90" s="83"/>
      <c r="T90" s="83"/>
      <c r="U90" s="85"/>
      <c r="V90" s="85"/>
      <c r="W90" s="85"/>
    </row>
    <row r="91" spans="1:23" ht="12.75" customHeight="1">
      <c r="A91" s="208"/>
      <c r="B91" s="201" t="s">
        <v>133</v>
      </c>
      <c r="C91" s="82"/>
      <c r="D91" s="83"/>
      <c r="E91" s="83"/>
      <c r="F91" s="85"/>
      <c r="G91" s="85"/>
      <c r="H91" s="85"/>
      <c r="I91" s="83"/>
      <c r="J91" s="83"/>
      <c r="K91" s="85"/>
      <c r="L91" s="85"/>
      <c r="M91" s="85"/>
      <c r="N91" s="83"/>
      <c r="O91" s="83"/>
      <c r="P91" s="85"/>
      <c r="Q91" s="85"/>
      <c r="R91" s="85"/>
      <c r="S91" s="83"/>
      <c r="T91" s="83"/>
      <c r="U91" s="85"/>
      <c r="V91" s="85"/>
      <c r="W91" s="85"/>
    </row>
    <row r="92" spans="1:23" ht="12.75" customHeight="1">
      <c r="A92" s="6"/>
      <c r="B92" s="204" t="s">
        <v>134</v>
      </c>
      <c r="C92" s="209" t="str">
        <f>C87</f>
        <v>_________________________     2021 р.</v>
      </c>
      <c r="D92" s="83"/>
      <c r="E92" s="205"/>
      <c r="F92" s="85"/>
      <c r="G92" s="85"/>
      <c r="H92" s="85"/>
      <c r="I92" s="83"/>
      <c r="J92" s="205"/>
      <c r="K92" s="85"/>
      <c r="L92" s="85"/>
      <c r="M92" s="85"/>
      <c r="N92" s="83"/>
      <c r="O92" s="205"/>
      <c r="P92" s="85"/>
      <c r="Q92" s="85"/>
      <c r="R92" s="85"/>
      <c r="S92" s="83"/>
      <c r="T92" s="205"/>
      <c r="U92" s="85"/>
      <c r="V92" s="85"/>
      <c r="W92" s="85"/>
    </row>
    <row r="93" spans="1:23" ht="13.2" customHeight="1">
      <c r="A93" s="6"/>
      <c r="B93" s="202"/>
      <c r="C93" s="202"/>
      <c r="D93" s="83"/>
      <c r="E93" s="206"/>
      <c r="F93" s="85"/>
      <c r="G93" s="85"/>
      <c r="H93" s="85"/>
      <c r="I93" s="83"/>
      <c r="J93" s="206"/>
      <c r="K93" s="85"/>
      <c r="L93" s="85"/>
      <c r="M93" s="85"/>
      <c r="N93" s="83"/>
      <c r="O93" s="206"/>
      <c r="P93" s="85"/>
      <c r="Q93" s="85"/>
      <c r="R93" s="85"/>
      <c r="S93" s="83"/>
      <c r="T93" s="206"/>
      <c r="U93" s="85"/>
      <c r="V93" s="85"/>
      <c r="W93" s="85"/>
    </row>
    <row r="94" spans="1:23" ht="14.4" customHeight="1">
      <c r="A94" s="92"/>
      <c r="B94" s="92"/>
      <c r="C94" s="92"/>
      <c r="D94" s="92"/>
      <c r="E94" s="92"/>
      <c r="F94" s="92"/>
      <c r="G94" s="92"/>
      <c r="H94" s="93"/>
      <c r="I94" s="92"/>
      <c r="J94" s="92"/>
      <c r="K94" s="92"/>
      <c r="L94" s="92"/>
      <c r="M94" s="93"/>
      <c r="N94" s="92"/>
      <c r="O94" s="92"/>
      <c r="P94" s="92"/>
      <c r="Q94" s="92"/>
      <c r="R94" s="93"/>
      <c r="S94" s="92"/>
      <c r="T94" s="92"/>
      <c r="U94" s="92"/>
      <c r="V94" s="92"/>
      <c r="W94" s="93"/>
    </row>
    <row r="95" spans="1:23" ht="14.4" customHeight="1">
      <c r="A95" s="92"/>
      <c r="B95" s="92"/>
      <c r="C95" s="92"/>
      <c r="D95" s="92"/>
      <c r="E95" s="92"/>
      <c r="F95" s="92"/>
      <c r="G95" s="92"/>
      <c r="H95" s="93"/>
      <c r="I95" s="92"/>
      <c r="J95" s="92"/>
      <c r="K95" s="92"/>
      <c r="L95" s="92"/>
      <c r="M95" s="93"/>
      <c r="N95" s="92"/>
      <c r="O95" s="92"/>
      <c r="P95" s="92"/>
      <c r="Q95" s="92"/>
      <c r="R95" s="93"/>
      <c r="S95" s="92"/>
      <c r="T95" s="92"/>
      <c r="U95" s="92"/>
      <c r="V95" s="92"/>
      <c r="W95" s="93"/>
    </row>
    <row r="96" spans="1:23" ht="13.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</row>
    <row r="97" spans="1:23" ht="13.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ht="13.5" customHeight="1">
      <c r="A98" s="92"/>
      <c r="B98" s="92"/>
      <c r="C98" s="92"/>
      <c r="D98" s="92"/>
      <c r="E98" s="92"/>
      <c r="F98" s="92"/>
      <c r="G98" s="92"/>
      <c r="H98" s="93"/>
      <c r="I98" s="92"/>
      <c r="J98" s="92"/>
      <c r="K98" s="92"/>
      <c r="L98" s="92"/>
      <c r="M98" s="93"/>
      <c r="N98" s="92"/>
      <c r="O98" s="92"/>
      <c r="P98" s="92"/>
      <c r="Q98" s="92"/>
      <c r="R98" s="93"/>
      <c r="S98" s="92"/>
      <c r="T98" s="92"/>
      <c r="U98" s="92"/>
      <c r="V98" s="92"/>
      <c r="W98" s="93"/>
    </row>
    <row r="99" spans="1:23" ht="13.5" customHeight="1">
      <c r="A99" s="92"/>
      <c r="B99" s="92"/>
      <c r="C99" s="92"/>
      <c r="D99" s="92"/>
      <c r="E99" s="92"/>
      <c r="F99" s="92"/>
      <c r="G99" s="92"/>
      <c r="H99" s="93"/>
      <c r="I99" s="92"/>
      <c r="J99" s="92"/>
      <c r="K99" s="92"/>
      <c r="L99" s="92"/>
      <c r="M99" s="93"/>
      <c r="N99" s="92"/>
      <c r="O99" s="92"/>
      <c r="P99" s="92"/>
      <c r="Q99" s="92"/>
      <c r="R99" s="93"/>
      <c r="S99" s="92"/>
      <c r="T99" s="92"/>
      <c r="U99" s="92"/>
      <c r="V99" s="92"/>
      <c r="W99" s="93"/>
    </row>
    <row r="100" spans="1:23" ht="13.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</row>
    <row r="101" spans="1:23" ht="13.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ht="13.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</row>
    <row r="103" spans="1:23" ht="13.5" customHeight="1">
      <c r="A103" s="92"/>
      <c r="B103" s="92"/>
      <c r="C103" s="92"/>
      <c r="D103" s="92"/>
      <c r="E103" s="92"/>
      <c r="F103" s="92"/>
      <c r="G103" s="92"/>
      <c r="H103" s="93"/>
      <c r="I103" s="92"/>
      <c r="J103" s="92"/>
      <c r="K103" s="92"/>
      <c r="L103" s="92"/>
      <c r="M103" s="93"/>
      <c r="N103" s="92"/>
      <c r="O103" s="92"/>
      <c r="P103" s="92"/>
      <c r="Q103" s="92"/>
      <c r="R103" s="93"/>
      <c r="S103" s="92"/>
      <c r="T103" s="92"/>
      <c r="U103" s="92"/>
      <c r="V103" s="92"/>
      <c r="W103" s="93"/>
    </row>
    <row r="104" spans="1:23" ht="13.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</row>
    <row r="105" spans="1:23" ht="13.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ht="13.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</row>
    <row r="107" spans="1:23" ht="13.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ht="13.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</row>
    <row r="109" spans="1:23" ht="13.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ht="13.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</row>
    <row r="111" spans="1:23" ht="13.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</row>
    <row r="112" spans="1:23" ht="13.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</row>
    <row r="113" spans="1:23" ht="13.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ht="13.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</row>
    <row r="115" spans="1:23" ht="13.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ht="13.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</row>
    <row r="117" spans="1:23" ht="13.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ht="13.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</row>
    <row r="119" spans="1:23" ht="13.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ht="13.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</row>
    <row r="121" spans="1:23" ht="13.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ht="13.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</row>
    <row r="123" spans="1:23" ht="13.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ht="13.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</row>
    <row r="125" spans="1:23" ht="13.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ht="13.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</row>
    <row r="127" spans="1:23" ht="13.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ht="13.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</row>
    <row r="129" spans="1:23" ht="13.5" customHeight="1">
      <c r="A129" s="92"/>
      <c r="B129" s="92"/>
      <c r="C129" s="92"/>
      <c r="D129" s="92"/>
      <c r="E129" s="92"/>
      <c r="F129" s="92"/>
      <c r="G129" s="92"/>
      <c r="H129" s="93"/>
      <c r="I129" s="92"/>
      <c r="J129" s="92"/>
      <c r="K129" s="92"/>
      <c r="L129" s="92"/>
      <c r="M129" s="93"/>
      <c r="N129" s="92"/>
      <c r="O129" s="92"/>
      <c r="P129" s="92"/>
      <c r="Q129" s="92"/>
      <c r="R129" s="93"/>
      <c r="S129" s="92"/>
      <c r="T129" s="92"/>
      <c r="U129" s="92"/>
      <c r="V129" s="92"/>
      <c r="W129" s="93"/>
    </row>
  </sheetData>
  <mergeCells count="21">
    <mergeCell ref="U8:W8"/>
    <mergeCell ref="A9:T9"/>
    <mergeCell ref="A1:U1"/>
    <mergeCell ref="A2:U2"/>
    <mergeCell ref="A5:T5"/>
    <mergeCell ref="A7:W7"/>
    <mergeCell ref="A4:D4"/>
    <mergeCell ref="F8:H8"/>
    <mergeCell ref="P8:R8"/>
    <mergeCell ref="B81:G81"/>
    <mergeCell ref="B83:G83"/>
    <mergeCell ref="A11:H11"/>
    <mergeCell ref="B76:D76"/>
    <mergeCell ref="B77:D77"/>
    <mergeCell ref="B78:D78"/>
    <mergeCell ref="B79:D79"/>
    <mergeCell ref="N12:R12"/>
    <mergeCell ref="K8:M8"/>
    <mergeCell ref="I12:M12"/>
    <mergeCell ref="A10:H10"/>
    <mergeCell ref="B80:D80"/>
  </mergeCell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C90"/>
  <sheetViews>
    <sheetView showGridLines="0" topLeftCell="A46" zoomScale="80" zoomScaleNormal="80" workbookViewId="0">
      <selection activeCell="AB71" sqref="AB71"/>
    </sheetView>
  </sheetViews>
  <sheetFormatPr defaultColWidth="10.109375" defaultRowHeight="15" customHeight="1"/>
  <cols>
    <col min="1" max="1" width="8.109375" style="5" customWidth="1"/>
    <col min="2" max="2" width="35.109375" style="5" customWidth="1"/>
    <col min="3" max="3" width="10.109375" style="5" customWidth="1"/>
    <col min="4" max="4" width="12.109375" style="5" hidden="1" customWidth="1"/>
    <col min="5" max="6" width="10.109375" style="5" hidden="1" customWidth="1"/>
    <col min="7" max="7" width="11.109375" style="5" hidden="1" customWidth="1"/>
    <col min="8" max="8" width="12.33203125" style="5" hidden="1" customWidth="1"/>
    <col min="9" max="9" width="12.109375" style="5" hidden="1" customWidth="1"/>
    <col min="10" max="11" width="10.109375" style="5" hidden="1" customWidth="1"/>
    <col min="12" max="12" width="11.109375" style="5" hidden="1" customWidth="1"/>
    <col min="13" max="13" width="12.33203125" style="5" hidden="1" customWidth="1"/>
    <col min="14" max="14" width="12.109375" style="5" hidden="1" customWidth="1"/>
    <col min="15" max="16" width="10.109375" style="5" hidden="1" customWidth="1"/>
    <col min="17" max="17" width="11.109375" style="5" hidden="1" customWidth="1"/>
    <col min="18" max="18" width="12.33203125" style="5" hidden="1" customWidth="1"/>
    <col min="19" max="19" width="12.109375" style="5" hidden="1" customWidth="1"/>
    <col min="20" max="21" width="10.109375" style="5" hidden="1" customWidth="1"/>
    <col min="22" max="22" width="11.109375" style="5" hidden="1" customWidth="1"/>
    <col min="23" max="23" width="12.33203125" style="5" hidden="1" customWidth="1"/>
    <col min="24" max="24" width="12.109375" style="5" customWidth="1"/>
    <col min="25" max="26" width="10.109375" style="5" customWidth="1"/>
    <col min="27" max="27" width="11.109375" style="5" customWidth="1"/>
    <col min="28" max="28" width="12.33203125" style="5" customWidth="1"/>
    <col min="29" max="16384" width="10.109375" style="5"/>
  </cols>
  <sheetData>
    <row r="1" spans="1:29" s="409" customFormat="1" ht="16.649999999999999" customHeight="1">
      <c r="A1" s="688" t="s">
        <v>73</v>
      </c>
      <c r="B1" s="688"/>
      <c r="C1" s="688"/>
      <c r="D1" s="688"/>
      <c r="E1" s="688"/>
      <c r="F1" s="688"/>
      <c r="G1" s="688"/>
      <c r="H1" s="688"/>
      <c r="I1" s="688"/>
      <c r="J1" s="688"/>
      <c r="K1" s="688"/>
      <c r="L1" s="688"/>
      <c r="M1" s="688"/>
      <c r="N1" s="688"/>
      <c r="O1" s="688"/>
      <c r="P1" s="688"/>
      <c r="Q1" s="688"/>
      <c r="R1" s="688"/>
      <c r="S1" s="688"/>
      <c r="T1" s="688"/>
      <c r="U1" s="688"/>
      <c r="V1" s="688"/>
      <c r="W1" s="688"/>
      <c r="X1" s="688"/>
      <c r="Y1" s="688"/>
      <c r="Z1" s="238"/>
      <c r="AA1" s="238"/>
      <c r="AB1" s="238"/>
    </row>
    <row r="2" spans="1:29" s="409" customFormat="1" ht="33.75" customHeight="1">
      <c r="A2" s="688" t="s">
        <v>74</v>
      </c>
      <c r="B2" s="688"/>
      <c r="C2" s="688"/>
      <c r="D2" s="688"/>
      <c r="E2" s="688"/>
      <c r="F2" s="688"/>
      <c r="G2" s="688"/>
      <c r="H2" s="688"/>
      <c r="I2" s="688"/>
      <c r="J2" s="688"/>
      <c r="K2" s="688"/>
      <c r="L2" s="688"/>
      <c r="M2" s="688"/>
      <c r="N2" s="688"/>
      <c r="O2" s="688"/>
      <c r="P2" s="688"/>
      <c r="Q2" s="688"/>
      <c r="R2" s="688"/>
      <c r="S2" s="688"/>
      <c r="T2" s="688"/>
      <c r="U2" s="688"/>
      <c r="V2" s="688"/>
      <c r="W2" s="688"/>
      <c r="X2" s="688"/>
      <c r="Y2" s="422"/>
      <c r="Z2" s="238"/>
      <c r="AA2" s="238"/>
      <c r="AB2" s="238"/>
    </row>
    <row r="3" spans="1:29" s="409" customFormat="1" ht="16.649999999999999" customHeight="1">
      <c r="A3" s="431"/>
      <c r="B3" s="431"/>
      <c r="C3" s="422"/>
      <c r="D3" s="422"/>
      <c r="E3" s="422"/>
      <c r="F3" s="238"/>
      <c r="G3" s="238"/>
      <c r="H3" s="238"/>
      <c r="I3" s="422"/>
      <c r="J3" s="422"/>
      <c r="K3" s="238"/>
      <c r="L3" s="238"/>
      <c r="M3" s="238"/>
      <c r="N3" s="422"/>
      <c r="O3" s="422"/>
      <c r="P3" s="238"/>
      <c r="Q3" s="238"/>
      <c r="R3" s="238"/>
      <c r="S3" s="422"/>
      <c r="T3" s="422"/>
      <c r="U3" s="238"/>
      <c r="V3" s="238"/>
      <c r="W3" s="238"/>
      <c r="X3" s="422"/>
      <c r="Y3" s="422"/>
      <c r="Z3" s="238"/>
      <c r="AA3" s="238"/>
      <c r="AB3" s="238"/>
    </row>
    <row r="4" spans="1:29" s="409" customFormat="1" ht="16.649999999999999" customHeight="1">
      <c r="A4" s="688" t="s">
        <v>75</v>
      </c>
      <c r="B4" s="689"/>
      <c r="C4" s="689"/>
      <c r="D4" s="689"/>
      <c r="E4" s="432"/>
      <c r="F4" s="238"/>
      <c r="G4" s="238"/>
      <c r="H4" s="238"/>
      <c r="I4" s="238"/>
      <c r="J4" s="432"/>
      <c r="K4" s="238"/>
      <c r="L4" s="238"/>
      <c r="M4" s="238"/>
      <c r="N4" s="238"/>
      <c r="O4" s="432"/>
      <c r="P4" s="238"/>
      <c r="Q4" s="238"/>
      <c r="R4" s="238"/>
      <c r="S4" s="433"/>
      <c r="T4" s="432"/>
      <c r="U4" s="238"/>
      <c r="V4" s="238"/>
      <c r="W4" s="238"/>
      <c r="Y4" s="432"/>
      <c r="Z4" s="238"/>
      <c r="AA4" s="238"/>
      <c r="AB4" s="238"/>
    </row>
    <row r="5" spans="1:29" s="409" customFormat="1" ht="16.649999999999999" customHeight="1">
      <c r="A5" s="688" t="s">
        <v>76</v>
      </c>
      <c r="B5" s="688"/>
      <c r="C5" s="688"/>
      <c r="D5" s="688"/>
      <c r="E5" s="688"/>
      <c r="F5" s="688"/>
      <c r="G5" s="688"/>
      <c r="H5" s="688"/>
      <c r="I5" s="688"/>
      <c r="J5" s="688"/>
      <c r="K5" s="688"/>
      <c r="L5" s="688"/>
      <c r="M5" s="688"/>
      <c r="N5" s="688"/>
      <c r="O5" s="688"/>
      <c r="P5" s="688"/>
      <c r="Q5" s="688"/>
      <c r="R5" s="688"/>
      <c r="S5" s="688"/>
      <c r="T5" s="688"/>
      <c r="U5" s="688"/>
      <c r="V5" s="688"/>
      <c r="W5" s="688"/>
      <c r="X5" s="688"/>
      <c r="Y5" s="432"/>
      <c r="Z5" s="238"/>
      <c r="AA5" s="238"/>
      <c r="AB5" s="238"/>
    </row>
    <row r="6" spans="1:29" s="409" customFormat="1" ht="15.6" customHeight="1">
      <c r="A6" s="431"/>
      <c r="B6" s="434"/>
      <c r="C6" s="432"/>
      <c r="D6" s="432"/>
      <c r="E6" s="432"/>
      <c r="F6" s="238"/>
      <c r="G6" s="238"/>
      <c r="H6" s="238"/>
      <c r="I6" s="432"/>
      <c r="J6" s="432"/>
      <c r="K6" s="238"/>
      <c r="L6" s="238"/>
      <c r="M6" s="238"/>
      <c r="N6" s="432"/>
      <c r="O6" s="432"/>
      <c r="P6" s="238"/>
      <c r="Q6" s="238"/>
      <c r="R6" s="238"/>
      <c r="S6" s="432"/>
      <c r="T6" s="432"/>
      <c r="U6" s="238"/>
      <c r="V6" s="238"/>
      <c r="W6" s="238"/>
      <c r="X6" s="432"/>
      <c r="Y6" s="432"/>
      <c r="Z6" s="238"/>
      <c r="AA6" s="238"/>
      <c r="AB6" s="238"/>
    </row>
    <row r="7" spans="1:29" s="409" customFormat="1" ht="15.9" customHeight="1">
      <c r="A7" s="435" t="s">
        <v>77</v>
      </c>
      <c r="B7" s="436"/>
      <c r="C7" s="436"/>
      <c r="D7" s="436"/>
      <c r="E7" s="437"/>
      <c r="F7" s="438"/>
      <c r="G7" s="438"/>
      <c r="H7" s="438"/>
      <c r="I7" s="436"/>
      <c r="J7" s="437"/>
      <c r="K7" s="438"/>
      <c r="L7" s="438"/>
      <c r="M7" s="438"/>
      <c r="N7" s="436"/>
      <c r="O7" s="437"/>
      <c r="P7" s="438"/>
      <c r="Q7" s="438"/>
      <c r="R7" s="438"/>
    </row>
    <row r="8" spans="1:29" s="409" customFormat="1" ht="12.75" customHeight="1">
      <c r="A8" s="439"/>
      <c r="B8" s="238"/>
      <c r="C8" s="238"/>
      <c r="D8" s="477"/>
      <c r="E8" s="478"/>
      <c r="F8" s="694" t="s">
        <v>138</v>
      </c>
      <c r="G8" s="695"/>
      <c r="H8" s="695"/>
      <c r="I8" s="477"/>
      <c r="J8" s="478"/>
      <c r="K8" s="694" t="s">
        <v>138</v>
      </c>
      <c r="L8" s="695"/>
      <c r="M8" s="695"/>
      <c r="N8" s="477"/>
      <c r="O8" s="478"/>
      <c r="P8" s="694" t="s">
        <v>138</v>
      </c>
      <c r="Q8" s="695"/>
      <c r="R8" s="695"/>
      <c r="S8" s="477"/>
      <c r="T8" s="478"/>
      <c r="U8" s="694" t="s">
        <v>138</v>
      </c>
      <c r="V8" s="695"/>
      <c r="W8" s="695"/>
      <c r="X8" s="477"/>
      <c r="Y8" s="478"/>
      <c r="Z8" s="694"/>
      <c r="AA8" s="695"/>
      <c r="AB8" s="695"/>
    </row>
    <row r="9" spans="1:29" s="409" customFormat="1" ht="15.75" customHeight="1">
      <c r="A9" s="690" t="s">
        <v>447</v>
      </c>
      <c r="B9" s="691"/>
      <c r="C9" s="691"/>
      <c r="D9" s="691"/>
      <c r="E9" s="691"/>
      <c r="F9" s="691"/>
      <c r="G9" s="691"/>
      <c r="H9" s="691"/>
      <c r="I9" s="424"/>
      <c r="J9" s="424"/>
      <c r="K9" s="424"/>
      <c r="L9" s="424"/>
      <c r="M9" s="424"/>
      <c r="N9" s="424"/>
      <c r="O9" s="424"/>
      <c r="P9" s="424"/>
      <c r="Q9" s="424"/>
      <c r="R9" s="424"/>
      <c r="S9" s="433"/>
    </row>
    <row r="10" spans="1:29" s="409" customFormat="1" ht="15.75" customHeight="1">
      <c r="A10" s="690" t="s">
        <v>78</v>
      </c>
      <c r="B10" s="691"/>
      <c r="C10" s="691"/>
      <c r="D10" s="691"/>
      <c r="E10" s="691"/>
      <c r="F10" s="691"/>
      <c r="G10" s="691"/>
      <c r="H10" s="691"/>
      <c r="I10" s="424"/>
      <c r="J10" s="424"/>
      <c r="K10" s="424"/>
      <c r="L10" s="424"/>
      <c r="M10" s="424"/>
      <c r="N10" s="424"/>
      <c r="O10" s="424"/>
      <c r="P10" s="424"/>
      <c r="Q10" s="424"/>
      <c r="R10" s="424"/>
      <c r="S10" s="433"/>
    </row>
    <row r="11" spans="1:29" s="409" customFormat="1" ht="16.5" customHeight="1">
      <c r="A11" s="690" t="s">
        <v>506</v>
      </c>
      <c r="B11" s="691"/>
      <c r="C11" s="691"/>
      <c r="D11" s="691"/>
      <c r="E11" s="691"/>
      <c r="F11" s="691"/>
      <c r="G11" s="691"/>
      <c r="H11" s="691"/>
      <c r="I11" s="424"/>
      <c r="J11" s="424"/>
      <c r="K11" s="424"/>
      <c r="L11" s="424"/>
      <c r="M11" s="424"/>
      <c r="N11" s="424"/>
      <c r="O11" s="424"/>
      <c r="P11" s="424"/>
      <c r="Q11" s="424"/>
      <c r="R11" s="424"/>
      <c r="S11" s="433"/>
    </row>
    <row r="12" spans="1:29" s="409" customFormat="1" ht="15.75" customHeight="1">
      <c r="A12" s="404"/>
      <c r="B12" s="442"/>
      <c r="C12" s="442"/>
      <c r="D12" s="477"/>
      <c r="E12" s="478"/>
      <c r="F12" s="442"/>
      <c r="G12" s="442"/>
      <c r="H12" s="478"/>
      <c r="I12" s="692" t="s">
        <v>80</v>
      </c>
      <c r="J12" s="693"/>
      <c r="K12" s="693"/>
      <c r="L12" s="693"/>
      <c r="M12" s="693"/>
      <c r="N12" s="736" t="s">
        <v>315</v>
      </c>
      <c r="O12" s="737"/>
      <c r="P12" s="737"/>
      <c r="Q12" s="737"/>
      <c r="R12" s="737"/>
      <c r="S12" s="477"/>
      <c r="T12" s="478"/>
      <c r="U12" s="442"/>
      <c r="V12" s="442"/>
      <c r="W12" s="478"/>
      <c r="X12" s="477"/>
      <c r="Y12" s="478"/>
      <c r="Z12" s="442"/>
      <c r="AA12" s="442"/>
      <c r="AB12" s="478"/>
    </row>
    <row r="13" spans="1:29" s="409" customFormat="1" ht="38.25" customHeight="1">
      <c r="A13" s="452" t="s">
        <v>9</v>
      </c>
      <c r="B13" s="452" t="s">
        <v>10</v>
      </c>
      <c r="C13" s="452" t="s">
        <v>11</v>
      </c>
      <c r="D13" s="452" t="s">
        <v>12</v>
      </c>
      <c r="E13" s="452" t="s">
        <v>13</v>
      </c>
      <c r="F13" s="452" t="s">
        <v>14</v>
      </c>
      <c r="G13" s="452" t="s">
        <v>15</v>
      </c>
      <c r="H13" s="452" t="s">
        <v>16</v>
      </c>
      <c r="I13" s="452" t="s">
        <v>12</v>
      </c>
      <c r="J13" s="452" t="s">
        <v>13</v>
      </c>
      <c r="K13" s="452" t="s">
        <v>14</v>
      </c>
      <c r="L13" s="452" t="s">
        <v>15</v>
      </c>
      <c r="M13" s="452" t="s">
        <v>16</v>
      </c>
      <c r="N13" s="452" t="s">
        <v>12</v>
      </c>
      <c r="O13" s="452" t="s">
        <v>13</v>
      </c>
      <c r="P13" s="452" t="s">
        <v>14</v>
      </c>
      <c r="Q13" s="452" t="s">
        <v>15</v>
      </c>
      <c r="R13" s="452" t="s">
        <v>16</v>
      </c>
      <c r="S13" s="452" t="s">
        <v>12</v>
      </c>
      <c r="T13" s="452" t="s">
        <v>13</v>
      </c>
      <c r="U13" s="452" t="s">
        <v>14</v>
      </c>
      <c r="V13" s="452" t="s">
        <v>15</v>
      </c>
      <c r="W13" s="452" t="s">
        <v>16</v>
      </c>
      <c r="X13" s="452" t="s">
        <v>12</v>
      </c>
      <c r="Y13" s="452" t="s">
        <v>13</v>
      </c>
      <c r="Z13" s="452" t="s">
        <v>14</v>
      </c>
      <c r="AA13" s="452" t="s">
        <v>15</v>
      </c>
      <c r="AB13" s="452" t="s">
        <v>16</v>
      </c>
    </row>
    <row r="14" spans="1:29" ht="15.6" hidden="1" customHeight="1">
      <c r="A14" s="481"/>
      <c r="B14" s="482" t="s">
        <v>333</v>
      </c>
      <c r="C14" s="483"/>
      <c r="D14" s="484"/>
      <c r="E14" s="484"/>
      <c r="F14" s="484"/>
      <c r="G14" s="484"/>
      <c r="H14" s="484"/>
      <c r="I14" s="484"/>
      <c r="J14" s="484"/>
      <c r="K14" s="484"/>
      <c r="L14" s="484"/>
      <c r="M14" s="484"/>
      <c r="N14" s="484"/>
      <c r="O14" s="484"/>
      <c r="P14" s="484"/>
      <c r="Q14" s="484"/>
      <c r="R14" s="484"/>
      <c r="S14" s="484"/>
      <c r="T14" s="484"/>
      <c r="U14" s="484"/>
      <c r="V14" s="484"/>
      <c r="W14" s="484"/>
      <c r="X14" s="484"/>
      <c r="Y14" s="484"/>
      <c r="Z14" s="484"/>
      <c r="AA14" s="484"/>
      <c r="AB14" s="484"/>
    </row>
    <row r="15" spans="1:29" ht="39.6" hidden="1" customHeight="1">
      <c r="A15" s="481"/>
      <c r="B15" s="521" t="s">
        <v>334</v>
      </c>
      <c r="C15" s="522" t="s">
        <v>37</v>
      </c>
      <c r="D15" s="576">
        <v>10.24</v>
      </c>
      <c r="E15" s="472">
        <f t="shared" ref="E15:O15" si="0">320*1.2*50%</f>
        <v>192</v>
      </c>
      <c r="F15" s="472"/>
      <c r="G15" s="472">
        <f>D15*E15</f>
        <v>1966.08</v>
      </c>
      <c r="H15" s="552"/>
      <c r="I15" s="576"/>
      <c r="J15" s="472">
        <f t="shared" si="0"/>
        <v>192</v>
      </c>
      <c r="K15" s="472"/>
      <c r="L15" s="472">
        <f>I15*J15</f>
        <v>0</v>
      </c>
      <c r="M15" s="552"/>
      <c r="N15" s="576"/>
      <c r="O15" s="472">
        <f t="shared" si="0"/>
        <v>192</v>
      </c>
      <c r="P15" s="472"/>
      <c r="Q15" s="472">
        <f>N15*O15</f>
        <v>0</v>
      </c>
      <c r="R15" s="552"/>
      <c r="S15" s="576"/>
      <c r="T15" s="472">
        <f t="shared" ref="T15" si="1">320*1.2*50%</f>
        <v>192</v>
      </c>
      <c r="U15" s="472"/>
      <c r="V15" s="472">
        <f>S15*T15</f>
        <v>0</v>
      </c>
      <c r="W15" s="552"/>
      <c r="X15" s="576"/>
      <c r="Y15" s="472">
        <f t="shared" ref="Y15" si="2">320*1.2*50%</f>
        <v>192</v>
      </c>
      <c r="Z15" s="472"/>
      <c r="AA15" s="472">
        <f>X15*Y15</f>
        <v>0</v>
      </c>
      <c r="AB15" s="552"/>
      <c r="AC15" s="407"/>
    </row>
    <row r="16" spans="1:29" ht="14.4" hidden="1" customHeight="1">
      <c r="A16" s="481"/>
      <c r="B16" s="521" t="s">
        <v>335</v>
      </c>
      <c r="C16" s="522" t="s">
        <v>27</v>
      </c>
      <c r="D16" s="576">
        <v>5.2</v>
      </c>
      <c r="E16" s="472">
        <v>240</v>
      </c>
      <c r="F16" s="472"/>
      <c r="G16" s="472">
        <f>D16*E16</f>
        <v>1248</v>
      </c>
      <c r="H16" s="552"/>
      <c r="I16" s="576"/>
      <c r="J16" s="472">
        <v>240</v>
      </c>
      <c r="K16" s="472"/>
      <c r="L16" s="472">
        <f>I16*J16</f>
        <v>0</v>
      </c>
      <c r="M16" s="552"/>
      <c r="N16" s="576"/>
      <c r="O16" s="472">
        <v>240</v>
      </c>
      <c r="P16" s="472"/>
      <c r="Q16" s="472">
        <f>N16*O16</f>
        <v>0</v>
      </c>
      <c r="R16" s="552"/>
      <c r="S16" s="576"/>
      <c r="T16" s="472">
        <v>240</v>
      </c>
      <c r="U16" s="472"/>
      <c r="V16" s="472">
        <f>S16*T16</f>
        <v>0</v>
      </c>
      <c r="W16" s="552"/>
      <c r="X16" s="576"/>
      <c r="Y16" s="472">
        <v>240</v>
      </c>
      <c r="Z16" s="472"/>
      <c r="AA16" s="472">
        <f>X16*Y16</f>
        <v>0</v>
      </c>
      <c r="AB16" s="552"/>
      <c r="AC16" s="407"/>
    </row>
    <row r="17" spans="1:29" ht="26.4" hidden="1" customHeight="1">
      <c r="A17" s="481"/>
      <c r="B17" s="521" t="s">
        <v>336</v>
      </c>
      <c r="C17" s="522" t="s">
        <v>27</v>
      </c>
      <c r="D17" s="576">
        <v>5.3</v>
      </c>
      <c r="E17" s="472">
        <v>192</v>
      </c>
      <c r="F17" s="472"/>
      <c r="G17" s="472">
        <f>D17*E17</f>
        <v>1017.5999999999999</v>
      </c>
      <c r="H17" s="552"/>
      <c r="I17" s="576">
        <v>5.3</v>
      </c>
      <c r="J17" s="472">
        <v>192</v>
      </c>
      <c r="K17" s="472"/>
      <c r="L17" s="472">
        <f>I17*J17</f>
        <v>1017.5999999999999</v>
      </c>
      <c r="M17" s="552"/>
      <c r="N17" s="576"/>
      <c r="O17" s="472">
        <v>192</v>
      </c>
      <c r="P17" s="472"/>
      <c r="Q17" s="472">
        <f>N17*O17</f>
        <v>0</v>
      </c>
      <c r="R17" s="552"/>
      <c r="S17" s="576"/>
      <c r="T17" s="472">
        <v>192</v>
      </c>
      <c r="U17" s="472"/>
      <c r="V17" s="472">
        <f>S17*T17</f>
        <v>0</v>
      </c>
      <c r="W17" s="552"/>
      <c r="X17" s="576"/>
      <c r="Y17" s="472">
        <v>192</v>
      </c>
      <c r="Z17" s="472"/>
      <c r="AA17" s="472">
        <f>X17*Y17</f>
        <v>0</v>
      </c>
      <c r="AB17" s="552"/>
      <c r="AC17" s="407"/>
    </row>
    <row r="18" spans="1:29" ht="14.4" hidden="1" customHeight="1">
      <c r="A18" s="481"/>
      <c r="B18" s="521" t="s">
        <v>337</v>
      </c>
      <c r="C18" s="522" t="s">
        <v>57</v>
      </c>
      <c r="D18" s="576">
        <v>1</v>
      </c>
      <c r="E18" s="472">
        <v>450</v>
      </c>
      <c r="F18" s="472"/>
      <c r="G18" s="472">
        <f>D18*E18</f>
        <v>450</v>
      </c>
      <c r="H18" s="552"/>
      <c r="I18" s="576"/>
      <c r="J18" s="472">
        <v>450</v>
      </c>
      <c r="K18" s="472"/>
      <c r="L18" s="472">
        <f>I18*J18</f>
        <v>0</v>
      </c>
      <c r="M18" s="552"/>
      <c r="N18" s="576"/>
      <c r="O18" s="472">
        <v>450</v>
      </c>
      <c r="P18" s="472"/>
      <c r="Q18" s="472">
        <f>N18*O18</f>
        <v>0</v>
      </c>
      <c r="R18" s="552"/>
      <c r="S18" s="576"/>
      <c r="T18" s="472">
        <v>450</v>
      </c>
      <c r="U18" s="472"/>
      <c r="V18" s="472">
        <f>S18*T18</f>
        <v>0</v>
      </c>
      <c r="W18" s="552"/>
      <c r="X18" s="576"/>
      <c r="Y18" s="472">
        <v>450</v>
      </c>
      <c r="Z18" s="472"/>
      <c r="AA18" s="472">
        <f>X18*Y18</f>
        <v>0</v>
      </c>
      <c r="AB18" s="552"/>
      <c r="AC18" s="407"/>
    </row>
    <row r="19" spans="1:29" ht="14.4" hidden="1" customHeight="1">
      <c r="A19" s="481"/>
      <c r="B19" s="526" t="s">
        <v>58</v>
      </c>
      <c r="C19" s="526" t="s">
        <v>21</v>
      </c>
      <c r="D19" s="555">
        <v>100</v>
      </c>
      <c r="E19" s="555"/>
      <c r="F19" s="555">
        <v>6.5</v>
      </c>
      <c r="G19" s="556"/>
      <c r="H19" s="552">
        <f>F19*D19</f>
        <v>650</v>
      </c>
      <c r="I19" s="555"/>
      <c r="J19" s="555"/>
      <c r="K19" s="555">
        <v>6.5</v>
      </c>
      <c r="L19" s="556"/>
      <c r="M19" s="552">
        <f>K19*I19</f>
        <v>0</v>
      </c>
      <c r="N19" s="555"/>
      <c r="O19" s="555"/>
      <c r="P19" s="555">
        <v>6.5</v>
      </c>
      <c r="Q19" s="556"/>
      <c r="R19" s="552">
        <f>P19*N19</f>
        <v>0</v>
      </c>
      <c r="S19" s="555"/>
      <c r="T19" s="555"/>
      <c r="U19" s="555">
        <v>6.5</v>
      </c>
      <c r="V19" s="556"/>
      <c r="W19" s="552">
        <f>U19*S19</f>
        <v>0</v>
      </c>
      <c r="X19" s="555"/>
      <c r="Y19" s="555"/>
      <c r="Z19" s="555">
        <v>6.5</v>
      </c>
      <c r="AA19" s="556"/>
      <c r="AB19" s="552">
        <f>Z19*X19</f>
        <v>0</v>
      </c>
      <c r="AC19" s="407"/>
    </row>
    <row r="20" spans="1:29" ht="15.6" hidden="1" customHeight="1">
      <c r="A20" s="481"/>
      <c r="B20" s="482" t="s">
        <v>94</v>
      </c>
      <c r="C20" s="483"/>
      <c r="D20" s="484"/>
      <c r="E20" s="484"/>
      <c r="F20" s="484"/>
      <c r="G20" s="484"/>
      <c r="H20" s="484"/>
      <c r="I20" s="484"/>
      <c r="J20" s="484"/>
      <c r="K20" s="484"/>
      <c r="L20" s="484"/>
      <c r="M20" s="484"/>
      <c r="N20" s="484"/>
      <c r="O20" s="484"/>
      <c r="P20" s="484"/>
      <c r="Q20" s="484"/>
      <c r="R20" s="484"/>
      <c r="S20" s="484"/>
      <c r="T20" s="484"/>
      <c r="U20" s="484"/>
      <c r="V20" s="484"/>
      <c r="W20" s="484"/>
      <c r="X20" s="484"/>
      <c r="Y20" s="484"/>
      <c r="Z20" s="484"/>
      <c r="AA20" s="484"/>
      <c r="AB20" s="484"/>
      <c r="AC20" s="407"/>
    </row>
    <row r="21" spans="1:29" ht="26.4" hidden="1" customHeight="1">
      <c r="A21" s="481"/>
      <c r="B21" s="521" t="s">
        <v>338</v>
      </c>
      <c r="C21" s="522" t="s">
        <v>37</v>
      </c>
      <c r="D21" s="576">
        <v>73.62</v>
      </c>
      <c r="E21" s="472">
        <f t="shared" ref="E21:O21" si="3">220*1.2</f>
        <v>264</v>
      </c>
      <c r="F21" s="472"/>
      <c r="G21" s="472">
        <f>D21*E21</f>
        <v>19435.68</v>
      </c>
      <c r="H21" s="552"/>
      <c r="I21" s="576">
        <v>73.62</v>
      </c>
      <c r="J21" s="472">
        <f t="shared" si="3"/>
        <v>264</v>
      </c>
      <c r="K21" s="472"/>
      <c r="L21" s="472">
        <f>I21*J21</f>
        <v>19435.68</v>
      </c>
      <c r="M21" s="552"/>
      <c r="N21" s="576"/>
      <c r="O21" s="472">
        <f t="shared" si="3"/>
        <v>264</v>
      </c>
      <c r="P21" s="472"/>
      <c r="Q21" s="472">
        <f>N21*O21</f>
        <v>0</v>
      </c>
      <c r="R21" s="552"/>
      <c r="S21" s="576"/>
      <c r="T21" s="472">
        <f t="shared" ref="T21" si="4">220*1.2</f>
        <v>264</v>
      </c>
      <c r="U21" s="472"/>
      <c r="V21" s="472">
        <f>S21*T21</f>
        <v>0</v>
      </c>
      <c r="W21" s="552"/>
      <c r="X21" s="576"/>
      <c r="Y21" s="472">
        <f t="shared" ref="Y21" si="5">220*1.2</f>
        <v>264</v>
      </c>
      <c r="Z21" s="472"/>
      <c r="AA21" s="472">
        <f>X21*Y21</f>
        <v>0</v>
      </c>
      <c r="AB21" s="552"/>
      <c r="AC21" s="407"/>
    </row>
    <row r="22" spans="1:29" ht="14.4" hidden="1" customHeight="1">
      <c r="A22" s="481"/>
      <c r="B22" s="526" t="s">
        <v>102</v>
      </c>
      <c r="C22" s="526" t="s">
        <v>37</v>
      </c>
      <c r="D22" s="555">
        <f>D21*1.05</f>
        <v>77.301000000000002</v>
      </c>
      <c r="E22" s="555"/>
      <c r="F22" s="555">
        <v>49</v>
      </c>
      <c r="G22" s="556"/>
      <c r="H22" s="552">
        <f t="shared" ref="H22:H29" si="6">F22*D22</f>
        <v>3787.7490000000003</v>
      </c>
      <c r="I22" s="555">
        <f>I21*1.05</f>
        <v>77.301000000000002</v>
      </c>
      <c r="J22" s="555"/>
      <c r="K22" s="555">
        <v>49</v>
      </c>
      <c r="L22" s="556"/>
      <c r="M22" s="552">
        <f t="shared" ref="M22:M29" si="7">K22*I22</f>
        <v>3787.7490000000003</v>
      </c>
      <c r="N22" s="555"/>
      <c r="O22" s="555"/>
      <c r="P22" s="555">
        <v>49</v>
      </c>
      <c r="Q22" s="556"/>
      <c r="R22" s="552">
        <f t="shared" ref="R22:R29" si="8">P22*N22</f>
        <v>0</v>
      </c>
      <c r="S22" s="555"/>
      <c r="T22" s="555"/>
      <c r="U22" s="555">
        <v>49</v>
      </c>
      <c r="V22" s="556"/>
      <c r="W22" s="552">
        <f t="shared" ref="W22:W29" si="9">U22*S22</f>
        <v>0</v>
      </c>
      <c r="X22" s="555"/>
      <c r="Y22" s="555"/>
      <c r="Z22" s="555">
        <v>49</v>
      </c>
      <c r="AA22" s="556"/>
      <c r="AB22" s="552">
        <f t="shared" ref="AB22:AB29" si="10">Z22*X22</f>
        <v>0</v>
      </c>
      <c r="AC22" s="407"/>
    </row>
    <row r="23" spans="1:29" ht="14.4" hidden="1" customHeight="1">
      <c r="A23" s="481"/>
      <c r="B23" s="526" t="s">
        <v>103</v>
      </c>
      <c r="C23" s="526" t="s">
        <v>46</v>
      </c>
      <c r="D23" s="555">
        <f>CEILING(D21*1.1,3)</f>
        <v>81</v>
      </c>
      <c r="E23" s="555"/>
      <c r="F23" s="555">
        <v>25</v>
      </c>
      <c r="G23" s="556"/>
      <c r="H23" s="552">
        <f t="shared" si="6"/>
        <v>2025</v>
      </c>
      <c r="I23" s="555">
        <f>CEILING(I21*1.1,3)</f>
        <v>81</v>
      </c>
      <c r="J23" s="555"/>
      <c r="K23" s="555">
        <v>25</v>
      </c>
      <c r="L23" s="556"/>
      <c r="M23" s="552">
        <f t="shared" si="7"/>
        <v>2025</v>
      </c>
      <c r="N23" s="555"/>
      <c r="O23" s="555"/>
      <c r="P23" s="555">
        <v>25</v>
      </c>
      <c r="Q23" s="556"/>
      <c r="R23" s="552">
        <f t="shared" si="8"/>
        <v>0</v>
      </c>
      <c r="S23" s="555"/>
      <c r="T23" s="555"/>
      <c r="U23" s="555">
        <v>25</v>
      </c>
      <c r="V23" s="556"/>
      <c r="W23" s="552">
        <f t="shared" si="9"/>
        <v>0</v>
      </c>
      <c r="X23" s="555"/>
      <c r="Y23" s="555"/>
      <c r="Z23" s="555">
        <v>25</v>
      </c>
      <c r="AA23" s="556"/>
      <c r="AB23" s="552">
        <f t="shared" si="10"/>
        <v>0</v>
      </c>
      <c r="AC23" s="407"/>
    </row>
    <row r="24" spans="1:29" ht="14.4" hidden="1" customHeight="1">
      <c r="A24" s="481"/>
      <c r="B24" s="526" t="s">
        <v>104</v>
      </c>
      <c r="C24" s="526" t="s">
        <v>46</v>
      </c>
      <c r="D24" s="555">
        <f>D21*2.7</f>
        <v>198.77400000000003</v>
      </c>
      <c r="E24" s="555"/>
      <c r="F24" s="555">
        <v>38.57</v>
      </c>
      <c r="G24" s="556"/>
      <c r="H24" s="552">
        <f t="shared" si="6"/>
        <v>7666.7131800000016</v>
      </c>
      <c r="I24" s="555">
        <f>I21*2.7</f>
        <v>198.77400000000003</v>
      </c>
      <c r="J24" s="555"/>
      <c r="K24" s="555">
        <v>38.57</v>
      </c>
      <c r="L24" s="556"/>
      <c r="M24" s="552">
        <f t="shared" si="7"/>
        <v>7666.7131800000016</v>
      </c>
      <c r="N24" s="555"/>
      <c r="O24" s="555"/>
      <c r="P24" s="555">
        <v>38.57</v>
      </c>
      <c r="Q24" s="556"/>
      <c r="R24" s="552">
        <f t="shared" si="8"/>
        <v>0</v>
      </c>
      <c r="S24" s="555"/>
      <c r="T24" s="555"/>
      <c r="U24" s="555">
        <v>38.57</v>
      </c>
      <c r="V24" s="556"/>
      <c r="W24" s="552">
        <f t="shared" si="9"/>
        <v>0</v>
      </c>
      <c r="X24" s="555"/>
      <c r="Y24" s="555"/>
      <c r="Z24" s="555">
        <v>38.57</v>
      </c>
      <c r="AA24" s="556"/>
      <c r="AB24" s="552">
        <f t="shared" si="10"/>
        <v>0</v>
      </c>
      <c r="AC24" s="407"/>
    </row>
    <row r="25" spans="1:29" ht="14.4" hidden="1" customHeight="1">
      <c r="A25" s="481"/>
      <c r="B25" s="526" t="s">
        <v>105</v>
      </c>
      <c r="C25" s="526" t="s">
        <v>46</v>
      </c>
      <c r="D25" s="555">
        <f>ROUNDUP(D21*0.9,1)</f>
        <v>66.3</v>
      </c>
      <c r="E25" s="555"/>
      <c r="F25" s="555">
        <v>1.94</v>
      </c>
      <c r="G25" s="556"/>
      <c r="H25" s="552">
        <f t="shared" si="6"/>
        <v>128.62199999999999</v>
      </c>
      <c r="I25" s="555">
        <f>ROUNDUP(I21*0.9,1)</f>
        <v>66.3</v>
      </c>
      <c r="J25" s="555"/>
      <c r="K25" s="555">
        <v>1.94</v>
      </c>
      <c r="L25" s="556"/>
      <c r="M25" s="552">
        <f t="shared" si="7"/>
        <v>128.62199999999999</v>
      </c>
      <c r="N25" s="555"/>
      <c r="O25" s="555"/>
      <c r="P25" s="555">
        <v>1.94</v>
      </c>
      <c r="Q25" s="556"/>
      <c r="R25" s="552">
        <f t="shared" si="8"/>
        <v>0</v>
      </c>
      <c r="S25" s="555"/>
      <c r="T25" s="555"/>
      <c r="U25" s="555">
        <v>1.94</v>
      </c>
      <c r="V25" s="556"/>
      <c r="W25" s="552">
        <f t="shared" si="9"/>
        <v>0</v>
      </c>
      <c r="X25" s="555"/>
      <c r="Y25" s="555"/>
      <c r="Z25" s="555">
        <v>1.94</v>
      </c>
      <c r="AA25" s="556"/>
      <c r="AB25" s="552">
        <f t="shared" si="10"/>
        <v>0</v>
      </c>
      <c r="AC25" s="407"/>
    </row>
    <row r="26" spans="1:29" ht="14.4" hidden="1" customHeight="1">
      <c r="A26" s="481"/>
      <c r="B26" s="526" t="s">
        <v>49</v>
      </c>
      <c r="C26" s="526" t="s">
        <v>21</v>
      </c>
      <c r="D26" s="555">
        <f>ROUND(D21*5,2)</f>
        <v>368.1</v>
      </c>
      <c r="E26" s="555"/>
      <c r="F26" s="555">
        <v>0.84</v>
      </c>
      <c r="G26" s="556"/>
      <c r="H26" s="552">
        <f t="shared" si="6"/>
        <v>309.20400000000001</v>
      </c>
      <c r="I26" s="555">
        <f>ROUND(I21*5,2)</f>
        <v>368.1</v>
      </c>
      <c r="J26" s="555"/>
      <c r="K26" s="555">
        <v>0.84</v>
      </c>
      <c r="L26" s="556"/>
      <c r="M26" s="552">
        <f t="shared" si="7"/>
        <v>309.20400000000001</v>
      </c>
      <c r="N26" s="555"/>
      <c r="O26" s="555"/>
      <c r="P26" s="555">
        <v>0.84</v>
      </c>
      <c r="Q26" s="556"/>
      <c r="R26" s="552">
        <f t="shared" si="8"/>
        <v>0</v>
      </c>
      <c r="S26" s="555"/>
      <c r="T26" s="555"/>
      <c r="U26" s="555">
        <v>0.84</v>
      </c>
      <c r="V26" s="556"/>
      <c r="W26" s="552">
        <f t="shared" si="9"/>
        <v>0</v>
      </c>
      <c r="X26" s="555"/>
      <c r="Y26" s="555"/>
      <c r="Z26" s="555">
        <v>0.84</v>
      </c>
      <c r="AA26" s="556"/>
      <c r="AB26" s="552">
        <f t="shared" si="10"/>
        <v>0</v>
      </c>
      <c r="AC26" s="407"/>
    </row>
    <row r="27" spans="1:29" ht="14.4" hidden="1" customHeight="1">
      <c r="A27" s="481"/>
      <c r="B27" s="526" t="s">
        <v>98</v>
      </c>
      <c r="C27" s="526" t="s">
        <v>21</v>
      </c>
      <c r="D27" s="555">
        <f>ROUND(D21*6,0)</f>
        <v>442</v>
      </c>
      <c r="E27" s="555"/>
      <c r="F27" s="555">
        <v>0.09</v>
      </c>
      <c r="G27" s="556"/>
      <c r="H27" s="552">
        <f t="shared" si="6"/>
        <v>39.78</v>
      </c>
      <c r="I27" s="555">
        <f>ROUND(I21*6,0)</f>
        <v>442</v>
      </c>
      <c r="J27" s="555"/>
      <c r="K27" s="555">
        <v>0.09</v>
      </c>
      <c r="L27" s="556"/>
      <c r="M27" s="552">
        <f t="shared" si="7"/>
        <v>39.78</v>
      </c>
      <c r="N27" s="555"/>
      <c r="O27" s="555"/>
      <c r="P27" s="555">
        <v>0.09</v>
      </c>
      <c r="Q27" s="556"/>
      <c r="R27" s="552">
        <f t="shared" si="8"/>
        <v>0</v>
      </c>
      <c r="S27" s="555"/>
      <c r="T27" s="555"/>
      <c r="U27" s="555">
        <v>0.09</v>
      </c>
      <c r="V27" s="556"/>
      <c r="W27" s="552">
        <f t="shared" si="9"/>
        <v>0</v>
      </c>
      <c r="X27" s="555"/>
      <c r="Y27" s="555"/>
      <c r="Z27" s="555">
        <v>0.09</v>
      </c>
      <c r="AA27" s="556"/>
      <c r="AB27" s="552">
        <f t="shared" si="10"/>
        <v>0</v>
      </c>
      <c r="AC27" s="407"/>
    </row>
    <row r="28" spans="1:29" ht="14.4" hidden="1" customHeight="1">
      <c r="A28" s="481"/>
      <c r="B28" s="526" t="s">
        <v>51</v>
      </c>
      <c r="C28" s="526" t="s">
        <v>21</v>
      </c>
      <c r="D28" s="555">
        <f>ROUND(D21*20,2)</f>
        <v>1472.4</v>
      </c>
      <c r="E28" s="555"/>
      <c r="F28" s="555">
        <v>0.23</v>
      </c>
      <c r="G28" s="556"/>
      <c r="H28" s="552">
        <f t="shared" si="6"/>
        <v>338.65200000000004</v>
      </c>
      <c r="I28" s="555">
        <f>ROUND(I21*20,2)</f>
        <v>1472.4</v>
      </c>
      <c r="J28" s="555"/>
      <c r="K28" s="555">
        <v>0.23</v>
      </c>
      <c r="L28" s="556"/>
      <c r="M28" s="552">
        <f t="shared" si="7"/>
        <v>338.65200000000004</v>
      </c>
      <c r="N28" s="555"/>
      <c r="O28" s="555"/>
      <c r="P28" s="555">
        <v>0.23</v>
      </c>
      <c r="Q28" s="556"/>
      <c r="R28" s="552">
        <f t="shared" si="8"/>
        <v>0</v>
      </c>
      <c r="S28" s="555"/>
      <c r="T28" s="555"/>
      <c r="U28" s="555">
        <v>0.23</v>
      </c>
      <c r="V28" s="556"/>
      <c r="W28" s="552">
        <f t="shared" si="9"/>
        <v>0</v>
      </c>
      <c r="X28" s="555"/>
      <c r="Y28" s="555"/>
      <c r="Z28" s="555">
        <v>0.23</v>
      </c>
      <c r="AA28" s="556"/>
      <c r="AB28" s="552">
        <f t="shared" si="10"/>
        <v>0</v>
      </c>
      <c r="AC28" s="407"/>
    </row>
    <row r="29" spans="1:29" ht="14.4" hidden="1" customHeight="1">
      <c r="A29" s="481"/>
      <c r="B29" s="526" t="s">
        <v>52</v>
      </c>
      <c r="C29" s="526" t="s">
        <v>21</v>
      </c>
      <c r="D29" s="555">
        <f>D21*1.1</f>
        <v>80.982000000000014</v>
      </c>
      <c r="E29" s="555"/>
      <c r="F29" s="555">
        <v>5.94</v>
      </c>
      <c r="G29" s="556"/>
      <c r="H29" s="552">
        <f t="shared" si="6"/>
        <v>481.0330800000001</v>
      </c>
      <c r="I29" s="555">
        <f>I21*1.1</f>
        <v>80.982000000000014</v>
      </c>
      <c r="J29" s="555"/>
      <c r="K29" s="555">
        <v>5.94</v>
      </c>
      <c r="L29" s="556"/>
      <c r="M29" s="552">
        <f t="shared" si="7"/>
        <v>481.0330800000001</v>
      </c>
      <c r="N29" s="555"/>
      <c r="O29" s="555"/>
      <c r="P29" s="555">
        <v>5.94</v>
      </c>
      <c r="Q29" s="556"/>
      <c r="R29" s="552">
        <f t="shared" si="8"/>
        <v>0</v>
      </c>
      <c r="S29" s="555"/>
      <c r="T29" s="555"/>
      <c r="U29" s="555">
        <v>5.94</v>
      </c>
      <c r="V29" s="556"/>
      <c r="W29" s="552">
        <f t="shared" si="9"/>
        <v>0</v>
      </c>
      <c r="X29" s="555"/>
      <c r="Y29" s="555"/>
      <c r="Z29" s="555">
        <v>5.94</v>
      </c>
      <c r="AA29" s="556"/>
      <c r="AB29" s="552">
        <f t="shared" si="10"/>
        <v>0</v>
      </c>
      <c r="AC29" s="407"/>
    </row>
    <row r="30" spans="1:29" ht="39.6" hidden="1" customHeight="1">
      <c r="A30" s="481"/>
      <c r="B30" s="521" t="s">
        <v>339</v>
      </c>
      <c r="C30" s="522" t="s">
        <v>37</v>
      </c>
      <c r="D30" s="523">
        <v>19.45</v>
      </c>
      <c r="E30" s="524">
        <f t="shared" ref="E30:O30" si="11">320</f>
        <v>320</v>
      </c>
      <c r="F30" s="524"/>
      <c r="G30" s="524">
        <f>D30*E30</f>
        <v>6224</v>
      </c>
      <c r="H30" s="525"/>
      <c r="I30" s="460"/>
      <c r="J30" s="524">
        <f t="shared" si="11"/>
        <v>320</v>
      </c>
      <c r="K30" s="524"/>
      <c r="L30" s="524">
        <f>I30*J30</f>
        <v>0</v>
      </c>
      <c r="M30" s="525"/>
      <c r="N30" s="460"/>
      <c r="O30" s="524">
        <f t="shared" si="11"/>
        <v>320</v>
      </c>
      <c r="P30" s="524"/>
      <c r="Q30" s="524">
        <f>N30*O30</f>
        <v>0</v>
      </c>
      <c r="R30" s="525"/>
      <c r="S30" s="523"/>
      <c r="T30" s="524">
        <f t="shared" ref="T30" si="12">320</f>
        <v>320</v>
      </c>
      <c r="U30" s="524"/>
      <c r="V30" s="524">
        <f>S30*T30</f>
        <v>0</v>
      </c>
      <c r="W30" s="525"/>
      <c r="X30" s="523"/>
      <c r="Y30" s="524">
        <f t="shared" ref="Y30" si="13">320</f>
        <v>320</v>
      </c>
      <c r="Z30" s="524"/>
      <c r="AA30" s="524">
        <f>X30*Y30</f>
        <v>0</v>
      </c>
      <c r="AB30" s="525"/>
      <c r="AC30" s="407"/>
    </row>
    <row r="31" spans="1:29" ht="14.4" hidden="1" customHeight="1">
      <c r="A31" s="481"/>
      <c r="B31" s="526" t="s">
        <v>340</v>
      </c>
      <c r="C31" s="526" t="s">
        <v>203</v>
      </c>
      <c r="D31" s="527">
        <f>D30*1.05*2/(2.4*0.9)</f>
        <v>18.909722222222221</v>
      </c>
      <c r="E31" s="528"/>
      <c r="F31" s="528">
        <f t="shared" ref="F31:P39" si="14">1175/1.2</f>
        <v>979.16666666666674</v>
      </c>
      <c r="G31" s="529"/>
      <c r="H31" s="525">
        <f t="shared" ref="H31:H37" si="15">F31*D31</f>
        <v>18515.769675925927</v>
      </c>
      <c r="I31" s="530"/>
      <c r="J31" s="528"/>
      <c r="K31" s="528">
        <f t="shared" si="14"/>
        <v>979.16666666666674</v>
      </c>
      <c r="L31" s="529"/>
      <c r="M31" s="525">
        <f t="shared" ref="M31:M37" si="16">K31*I31</f>
        <v>0</v>
      </c>
      <c r="N31" s="530"/>
      <c r="O31" s="528"/>
      <c r="P31" s="528">
        <f t="shared" si="14"/>
        <v>979.16666666666674</v>
      </c>
      <c r="Q31" s="529"/>
      <c r="R31" s="525">
        <f t="shared" ref="R31:R37" si="17">P31*N31</f>
        <v>0</v>
      </c>
      <c r="S31" s="527"/>
      <c r="T31" s="528"/>
      <c r="U31" s="528">
        <f t="shared" ref="U31:U39" si="18">1175/1.2</f>
        <v>979.16666666666674</v>
      </c>
      <c r="V31" s="529"/>
      <c r="W31" s="525">
        <f t="shared" ref="W31:W37" si="19">U31*S31</f>
        <v>0</v>
      </c>
      <c r="X31" s="527"/>
      <c r="Y31" s="528"/>
      <c r="Z31" s="528">
        <f t="shared" ref="Z31:Z39" si="20">1175/1.2</f>
        <v>979.16666666666674</v>
      </c>
      <c r="AA31" s="529"/>
      <c r="AB31" s="525">
        <f t="shared" ref="AB31:AB37" si="21">Z31*X31</f>
        <v>0</v>
      </c>
      <c r="AC31" s="407"/>
    </row>
    <row r="32" spans="1:29" ht="14.4" hidden="1" customHeight="1">
      <c r="A32" s="481"/>
      <c r="B32" s="526" t="s">
        <v>341</v>
      </c>
      <c r="C32" s="526" t="s">
        <v>46</v>
      </c>
      <c r="D32" s="527">
        <f>D30*1.2</f>
        <v>23.34</v>
      </c>
      <c r="E32" s="528"/>
      <c r="F32" s="528">
        <v>56.51</v>
      </c>
      <c r="G32" s="529"/>
      <c r="H32" s="525">
        <f t="shared" si="15"/>
        <v>1318.9433999999999</v>
      </c>
      <c r="I32" s="530"/>
      <c r="J32" s="528"/>
      <c r="K32" s="528">
        <v>56.51</v>
      </c>
      <c r="L32" s="529"/>
      <c r="M32" s="525">
        <f t="shared" si="16"/>
        <v>0</v>
      </c>
      <c r="N32" s="530"/>
      <c r="O32" s="528"/>
      <c r="P32" s="528">
        <v>56.51</v>
      </c>
      <c r="Q32" s="529"/>
      <c r="R32" s="525">
        <f t="shared" si="17"/>
        <v>0</v>
      </c>
      <c r="S32" s="527"/>
      <c r="T32" s="528"/>
      <c r="U32" s="528">
        <v>56.51</v>
      </c>
      <c r="V32" s="529"/>
      <c r="W32" s="525">
        <f t="shared" si="19"/>
        <v>0</v>
      </c>
      <c r="X32" s="527"/>
      <c r="Y32" s="528"/>
      <c r="Z32" s="528">
        <v>56.51</v>
      </c>
      <c r="AA32" s="529"/>
      <c r="AB32" s="525">
        <f t="shared" si="21"/>
        <v>0</v>
      </c>
      <c r="AC32" s="407"/>
    </row>
    <row r="33" spans="1:29" ht="14.4" hidden="1" customHeight="1">
      <c r="A33" s="481"/>
      <c r="B33" s="526" t="s">
        <v>342</v>
      </c>
      <c r="C33" s="526" t="s">
        <v>46</v>
      </c>
      <c r="D33" s="527">
        <f>D30*3.2</f>
        <v>62.24</v>
      </c>
      <c r="E33" s="528"/>
      <c r="F33" s="528">
        <v>63.16</v>
      </c>
      <c r="G33" s="529"/>
      <c r="H33" s="525">
        <f t="shared" si="15"/>
        <v>3931.0783999999999</v>
      </c>
      <c r="I33" s="530"/>
      <c r="J33" s="528"/>
      <c r="K33" s="528">
        <v>63.16</v>
      </c>
      <c r="L33" s="529"/>
      <c r="M33" s="525">
        <f t="shared" si="16"/>
        <v>0</v>
      </c>
      <c r="N33" s="530"/>
      <c r="O33" s="528"/>
      <c r="P33" s="528">
        <v>63.16</v>
      </c>
      <c r="Q33" s="529"/>
      <c r="R33" s="525">
        <f t="shared" si="17"/>
        <v>0</v>
      </c>
      <c r="S33" s="527"/>
      <c r="T33" s="528"/>
      <c r="U33" s="528">
        <v>63.16</v>
      </c>
      <c r="V33" s="529"/>
      <c r="W33" s="525">
        <f t="shared" si="19"/>
        <v>0</v>
      </c>
      <c r="X33" s="527"/>
      <c r="Y33" s="528"/>
      <c r="Z33" s="528">
        <v>63.16</v>
      </c>
      <c r="AA33" s="529"/>
      <c r="AB33" s="525">
        <f t="shared" si="21"/>
        <v>0</v>
      </c>
      <c r="AC33" s="407"/>
    </row>
    <row r="34" spans="1:29" ht="14.4" hidden="1" customHeight="1">
      <c r="A34" s="481"/>
      <c r="B34" s="526" t="s">
        <v>97</v>
      </c>
      <c r="C34" s="526" t="s">
        <v>46</v>
      </c>
      <c r="D34" s="527">
        <v>30</v>
      </c>
      <c r="E34" s="528"/>
      <c r="F34" s="528">
        <v>4.2</v>
      </c>
      <c r="G34" s="529"/>
      <c r="H34" s="525">
        <f t="shared" si="15"/>
        <v>126</v>
      </c>
      <c r="I34" s="530"/>
      <c r="J34" s="528"/>
      <c r="K34" s="528">
        <v>4.2</v>
      </c>
      <c r="L34" s="529"/>
      <c r="M34" s="525">
        <f t="shared" si="16"/>
        <v>0</v>
      </c>
      <c r="N34" s="530"/>
      <c r="O34" s="528"/>
      <c r="P34" s="528">
        <v>4.2</v>
      </c>
      <c r="Q34" s="529"/>
      <c r="R34" s="525">
        <f t="shared" si="17"/>
        <v>0</v>
      </c>
      <c r="S34" s="527"/>
      <c r="T34" s="528"/>
      <c r="U34" s="528">
        <v>4.2</v>
      </c>
      <c r="V34" s="529"/>
      <c r="W34" s="525">
        <f t="shared" si="19"/>
        <v>0</v>
      </c>
      <c r="X34" s="527"/>
      <c r="Y34" s="528"/>
      <c r="Z34" s="528">
        <v>4.2</v>
      </c>
      <c r="AA34" s="529"/>
      <c r="AB34" s="525">
        <f t="shared" si="21"/>
        <v>0</v>
      </c>
      <c r="AC34" s="407"/>
    </row>
    <row r="35" spans="1:29" ht="14.4" hidden="1" customHeight="1">
      <c r="A35" s="481"/>
      <c r="B35" s="526" t="s">
        <v>49</v>
      </c>
      <c r="C35" s="526" t="s">
        <v>21</v>
      </c>
      <c r="D35" s="527">
        <v>60</v>
      </c>
      <c r="E35" s="528"/>
      <c r="F35" s="528">
        <v>0.84</v>
      </c>
      <c r="G35" s="529"/>
      <c r="H35" s="525">
        <f t="shared" si="15"/>
        <v>50.4</v>
      </c>
      <c r="I35" s="530"/>
      <c r="J35" s="528"/>
      <c r="K35" s="528">
        <v>0.84</v>
      </c>
      <c r="L35" s="529"/>
      <c r="M35" s="525">
        <f t="shared" si="16"/>
        <v>0</v>
      </c>
      <c r="N35" s="530"/>
      <c r="O35" s="528"/>
      <c r="P35" s="528">
        <v>0.84</v>
      </c>
      <c r="Q35" s="529"/>
      <c r="R35" s="525">
        <f t="shared" si="17"/>
        <v>0</v>
      </c>
      <c r="S35" s="527"/>
      <c r="T35" s="528"/>
      <c r="U35" s="528">
        <v>0.84</v>
      </c>
      <c r="V35" s="529"/>
      <c r="W35" s="525">
        <f t="shared" si="19"/>
        <v>0</v>
      </c>
      <c r="X35" s="527"/>
      <c r="Y35" s="528"/>
      <c r="Z35" s="528">
        <v>0.84</v>
      </c>
      <c r="AA35" s="529"/>
      <c r="AB35" s="525">
        <f t="shared" si="21"/>
        <v>0</v>
      </c>
      <c r="AC35" s="407"/>
    </row>
    <row r="36" spans="1:29" ht="14.4" hidden="1" customHeight="1">
      <c r="A36" s="481"/>
      <c r="B36" s="526" t="s">
        <v>98</v>
      </c>
      <c r="C36" s="526" t="s">
        <v>21</v>
      </c>
      <c r="D36" s="527">
        <f>D30*17*0.4</f>
        <v>132.26</v>
      </c>
      <c r="E36" s="528"/>
      <c r="F36" s="528">
        <v>0.33</v>
      </c>
      <c r="G36" s="529"/>
      <c r="H36" s="525">
        <f t="shared" si="15"/>
        <v>43.645800000000001</v>
      </c>
      <c r="I36" s="530"/>
      <c r="J36" s="528"/>
      <c r="K36" s="528">
        <v>0.33</v>
      </c>
      <c r="L36" s="529"/>
      <c r="M36" s="525">
        <f t="shared" si="16"/>
        <v>0</v>
      </c>
      <c r="N36" s="530"/>
      <c r="O36" s="528"/>
      <c r="P36" s="528">
        <v>0.33</v>
      </c>
      <c r="Q36" s="529"/>
      <c r="R36" s="525">
        <f t="shared" si="17"/>
        <v>0</v>
      </c>
      <c r="S36" s="527"/>
      <c r="T36" s="528"/>
      <c r="U36" s="528">
        <v>0.33</v>
      </c>
      <c r="V36" s="529"/>
      <c r="W36" s="525">
        <f t="shared" si="19"/>
        <v>0</v>
      </c>
      <c r="X36" s="527"/>
      <c r="Y36" s="528"/>
      <c r="Z36" s="528">
        <v>0.33</v>
      </c>
      <c r="AA36" s="529"/>
      <c r="AB36" s="525">
        <f t="shared" si="21"/>
        <v>0</v>
      </c>
      <c r="AC36" s="407"/>
    </row>
    <row r="37" spans="1:29" ht="14.4" hidden="1" customHeight="1">
      <c r="A37" s="481"/>
      <c r="B37" s="526" t="s">
        <v>99</v>
      </c>
      <c r="C37" s="526" t="s">
        <v>21</v>
      </c>
      <c r="D37" s="527">
        <f>D30*20*0.5</f>
        <v>194.5</v>
      </c>
      <c r="E37" s="528"/>
      <c r="F37" s="528">
        <v>0.23</v>
      </c>
      <c r="G37" s="529"/>
      <c r="H37" s="525">
        <f t="shared" si="15"/>
        <v>44.734999999999999</v>
      </c>
      <c r="I37" s="530"/>
      <c r="J37" s="528"/>
      <c r="K37" s="528">
        <v>0.23</v>
      </c>
      <c r="L37" s="529"/>
      <c r="M37" s="525">
        <f t="shared" si="16"/>
        <v>0</v>
      </c>
      <c r="N37" s="530"/>
      <c r="O37" s="528"/>
      <c r="P37" s="528">
        <v>0.23</v>
      </c>
      <c r="Q37" s="529"/>
      <c r="R37" s="525">
        <f t="shared" si="17"/>
        <v>0</v>
      </c>
      <c r="S37" s="527"/>
      <c r="T37" s="528"/>
      <c r="U37" s="528">
        <v>0.23</v>
      </c>
      <c r="V37" s="529"/>
      <c r="W37" s="525">
        <f t="shared" si="19"/>
        <v>0</v>
      </c>
      <c r="X37" s="527"/>
      <c r="Y37" s="528"/>
      <c r="Z37" s="528">
        <v>0.23</v>
      </c>
      <c r="AA37" s="529"/>
      <c r="AB37" s="525">
        <f t="shared" si="21"/>
        <v>0</v>
      </c>
      <c r="AC37" s="407"/>
    </row>
    <row r="38" spans="1:29" ht="26.4" hidden="1" customHeight="1">
      <c r="A38" s="481"/>
      <c r="B38" s="521" t="s">
        <v>343</v>
      </c>
      <c r="C38" s="522" t="s">
        <v>37</v>
      </c>
      <c r="D38" s="576">
        <f>5.13+3.8</f>
        <v>8.93</v>
      </c>
      <c r="E38" s="472">
        <v>60</v>
      </c>
      <c r="F38" s="472"/>
      <c r="G38" s="472">
        <f>D38*E38</f>
        <v>535.79999999999995</v>
      </c>
      <c r="H38" s="552"/>
      <c r="I38" s="576"/>
      <c r="J38" s="472">
        <v>60</v>
      </c>
      <c r="K38" s="472"/>
      <c r="L38" s="472">
        <f>I38*J38</f>
        <v>0</v>
      </c>
      <c r="M38" s="552"/>
      <c r="N38" s="576"/>
      <c r="O38" s="472">
        <v>60</v>
      </c>
      <c r="P38" s="472"/>
      <c r="Q38" s="472">
        <f>N38*O38</f>
        <v>0</v>
      </c>
      <c r="R38" s="552"/>
      <c r="S38" s="576"/>
      <c r="T38" s="472">
        <v>60</v>
      </c>
      <c r="U38" s="472"/>
      <c r="V38" s="472">
        <f>S38*T38</f>
        <v>0</v>
      </c>
      <c r="W38" s="552"/>
      <c r="X38" s="576"/>
      <c r="Y38" s="472">
        <v>60</v>
      </c>
      <c r="Z38" s="472"/>
      <c r="AA38" s="472">
        <f>X38*Y38</f>
        <v>0</v>
      </c>
      <c r="AB38" s="552"/>
      <c r="AC38" s="407"/>
    </row>
    <row r="39" spans="1:29" ht="14.4" hidden="1" customHeight="1">
      <c r="A39" s="481"/>
      <c r="B39" s="526" t="s">
        <v>340</v>
      </c>
      <c r="C39" s="526" t="s">
        <v>203</v>
      </c>
      <c r="D39" s="527">
        <f>D38*1.05/(2.4*0.9)</f>
        <v>4.3409722222222218</v>
      </c>
      <c r="E39" s="528"/>
      <c r="F39" s="528">
        <f t="shared" si="14"/>
        <v>979.16666666666674</v>
      </c>
      <c r="G39" s="529"/>
      <c r="H39" s="525">
        <f>F39*D39</f>
        <v>4250.5353009259261</v>
      </c>
      <c r="I39" s="530"/>
      <c r="J39" s="528"/>
      <c r="K39" s="528">
        <f t="shared" si="14"/>
        <v>979.16666666666674</v>
      </c>
      <c r="L39" s="529"/>
      <c r="M39" s="525">
        <f>K39*I39</f>
        <v>0</v>
      </c>
      <c r="N39" s="530"/>
      <c r="O39" s="528"/>
      <c r="P39" s="528">
        <f t="shared" si="14"/>
        <v>979.16666666666674</v>
      </c>
      <c r="Q39" s="529"/>
      <c r="R39" s="525">
        <f>P39*N39</f>
        <v>0</v>
      </c>
      <c r="S39" s="527"/>
      <c r="T39" s="528"/>
      <c r="U39" s="528">
        <f t="shared" si="18"/>
        <v>979.16666666666674</v>
      </c>
      <c r="V39" s="529"/>
      <c r="W39" s="525">
        <f>U39*S39</f>
        <v>0</v>
      </c>
      <c r="X39" s="527"/>
      <c r="Y39" s="528"/>
      <c r="Z39" s="528">
        <f t="shared" si="20"/>
        <v>979.16666666666674</v>
      </c>
      <c r="AA39" s="529"/>
      <c r="AB39" s="525">
        <f>Z39*X39</f>
        <v>0</v>
      </c>
      <c r="AC39" s="407"/>
    </row>
    <row r="40" spans="1:29" ht="14.4" hidden="1" customHeight="1">
      <c r="A40" s="481"/>
      <c r="B40" s="526" t="s">
        <v>99</v>
      </c>
      <c r="C40" s="526" t="s">
        <v>21</v>
      </c>
      <c r="D40" s="554">
        <f>D38*20</f>
        <v>178.6</v>
      </c>
      <c r="E40" s="555"/>
      <c r="F40" s="555">
        <v>0.23</v>
      </c>
      <c r="G40" s="556"/>
      <c r="H40" s="552">
        <f>F40*D40</f>
        <v>41.078000000000003</v>
      </c>
      <c r="I40" s="557"/>
      <c r="J40" s="555"/>
      <c r="K40" s="555">
        <v>0.23</v>
      </c>
      <c r="L40" s="556"/>
      <c r="M40" s="552">
        <f>K40*I40</f>
        <v>0</v>
      </c>
      <c r="N40" s="557"/>
      <c r="O40" s="555"/>
      <c r="P40" s="555">
        <v>0.23</v>
      </c>
      <c r="Q40" s="556"/>
      <c r="R40" s="552">
        <f>P40*N40</f>
        <v>0</v>
      </c>
      <c r="S40" s="554"/>
      <c r="T40" s="555"/>
      <c r="U40" s="555">
        <v>0.23</v>
      </c>
      <c r="V40" s="556"/>
      <c r="W40" s="552">
        <f>U40*S40</f>
        <v>0</v>
      </c>
      <c r="X40" s="554"/>
      <c r="Y40" s="555"/>
      <c r="Z40" s="555">
        <v>0.23</v>
      </c>
      <c r="AA40" s="556"/>
      <c r="AB40" s="552">
        <f>Z40*X40</f>
        <v>0</v>
      </c>
      <c r="AC40" s="407"/>
    </row>
    <row r="41" spans="1:29" ht="26.4" hidden="1" customHeight="1">
      <c r="A41" s="481"/>
      <c r="B41" s="521" t="s">
        <v>344</v>
      </c>
      <c r="C41" s="522" t="s">
        <v>37</v>
      </c>
      <c r="D41" s="576">
        <v>10.199999999999999</v>
      </c>
      <c r="E41" s="472">
        <v>40</v>
      </c>
      <c r="F41" s="472"/>
      <c r="G41" s="472">
        <f>D41*E41</f>
        <v>408</v>
      </c>
      <c r="H41" s="552"/>
      <c r="I41" s="576"/>
      <c r="J41" s="472">
        <v>40</v>
      </c>
      <c r="K41" s="472"/>
      <c r="L41" s="472">
        <f>I41*J41</f>
        <v>0</v>
      </c>
      <c r="M41" s="552"/>
      <c r="N41" s="576"/>
      <c r="O41" s="472">
        <v>40</v>
      </c>
      <c r="P41" s="472"/>
      <c r="Q41" s="472">
        <f>N41*O41</f>
        <v>0</v>
      </c>
      <c r="R41" s="552"/>
      <c r="S41" s="576">
        <v>22.1</v>
      </c>
      <c r="T41" s="472">
        <v>40</v>
      </c>
      <c r="U41" s="472"/>
      <c r="V41" s="472">
        <f>S41*T41</f>
        <v>884</v>
      </c>
      <c r="W41" s="552"/>
      <c r="X41" s="576"/>
      <c r="Y41" s="472">
        <v>40</v>
      </c>
      <c r="Z41" s="472"/>
      <c r="AA41" s="472">
        <f>X41*Y41</f>
        <v>0</v>
      </c>
      <c r="AB41" s="552"/>
      <c r="AC41" s="407"/>
    </row>
    <row r="42" spans="1:29" ht="14.4" hidden="1" customHeight="1">
      <c r="A42" s="481"/>
      <c r="B42" s="526" t="s">
        <v>102</v>
      </c>
      <c r="C42" s="526" t="s">
        <v>37</v>
      </c>
      <c r="D42" s="555">
        <f>D41*1.1</f>
        <v>11.22</v>
      </c>
      <c r="E42" s="555"/>
      <c r="F42" s="555">
        <v>44.01</v>
      </c>
      <c r="G42" s="556"/>
      <c r="H42" s="552">
        <f>F42*D42</f>
        <v>493.79219999999998</v>
      </c>
      <c r="I42" s="555"/>
      <c r="J42" s="555"/>
      <c r="K42" s="555">
        <v>44.01</v>
      </c>
      <c r="L42" s="556"/>
      <c r="M42" s="552">
        <f>K42*I42</f>
        <v>0</v>
      </c>
      <c r="N42" s="555"/>
      <c r="O42" s="555"/>
      <c r="P42" s="555">
        <v>44.01</v>
      </c>
      <c r="Q42" s="556"/>
      <c r="R42" s="552">
        <f>P42*N42</f>
        <v>0</v>
      </c>
      <c r="S42" s="555">
        <f>S41*1.1</f>
        <v>24.310000000000002</v>
      </c>
      <c r="T42" s="555"/>
      <c r="U42" s="555">
        <v>44.01</v>
      </c>
      <c r="V42" s="556"/>
      <c r="W42" s="552">
        <f>U42*S42</f>
        <v>1069.8831</v>
      </c>
      <c r="X42" s="555"/>
      <c r="Y42" s="555"/>
      <c r="Z42" s="555">
        <v>44.01</v>
      </c>
      <c r="AA42" s="556"/>
      <c r="AB42" s="552">
        <f>Z42*X42</f>
        <v>0</v>
      </c>
      <c r="AC42" s="407"/>
    </row>
    <row r="43" spans="1:29" ht="14.4" hidden="1" customHeight="1">
      <c r="A43" s="481"/>
      <c r="B43" s="526" t="s">
        <v>99</v>
      </c>
      <c r="C43" s="526" t="s">
        <v>21</v>
      </c>
      <c r="D43" s="554">
        <f>D41*20</f>
        <v>204</v>
      </c>
      <c r="E43" s="555"/>
      <c r="F43" s="555">
        <v>0.23</v>
      </c>
      <c r="G43" s="556"/>
      <c r="H43" s="552">
        <f>F43*D43</f>
        <v>46.92</v>
      </c>
      <c r="I43" s="557"/>
      <c r="J43" s="555"/>
      <c r="K43" s="555">
        <v>0.23</v>
      </c>
      <c r="L43" s="556"/>
      <c r="M43" s="552">
        <f>K43*I43</f>
        <v>0</v>
      </c>
      <c r="N43" s="557"/>
      <c r="O43" s="555"/>
      <c r="P43" s="555">
        <v>0.23</v>
      </c>
      <c r="Q43" s="556"/>
      <c r="R43" s="552">
        <f>P43*N43</f>
        <v>0</v>
      </c>
      <c r="S43" s="554">
        <f>S41*20</f>
        <v>442</v>
      </c>
      <c r="T43" s="555"/>
      <c r="U43" s="555">
        <v>0.23</v>
      </c>
      <c r="V43" s="556"/>
      <c r="W43" s="552">
        <f>U43*S43</f>
        <v>101.66000000000001</v>
      </c>
      <c r="X43" s="554"/>
      <c r="Y43" s="555"/>
      <c r="Z43" s="555">
        <v>0.23</v>
      </c>
      <c r="AA43" s="556"/>
      <c r="AB43" s="552">
        <f>Z43*X43</f>
        <v>0</v>
      </c>
      <c r="AC43" s="407"/>
    </row>
    <row r="44" spans="1:29" ht="26.4" hidden="1" customHeight="1">
      <c r="A44" s="481"/>
      <c r="B44" s="521" t="s">
        <v>345</v>
      </c>
      <c r="C44" s="522" t="s">
        <v>27</v>
      </c>
      <c r="D44" s="523">
        <v>4.5</v>
      </c>
      <c r="E44" s="524">
        <v>230</v>
      </c>
      <c r="F44" s="524"/>
      <c r="G44" s="524">
        <f>D44*E44</f>
        <v>1035</v>
      </c>
      <c r="H44" s="525"/>
      <c r="I44" s="460"/>
      <c r="J44" s="524">
        <v>230</v>
      </c>
      <c r="K44" s="524"/>
      <c r="L44" s="524">
        <f>I44*J44</f>
        <v>0</v>
      </c>
      <c r="M44" s="525"/>
      <c r="N44" s="460"/>
      <c r="O44" s="524">
        <v>230</v>
      </c>
      <c r="P44" s="524"/>
      <c r="Q44" s="524">
        <f>N44*O44</f>
        <v>0</v>
      </c>
      <c r="R44" s="525"/>
      <c r="S44" s="523"/>
      <c r="T44" s="524">
        <v>230</v>
      </c>
      <c r="U44" s="524"/>
      <c r="V44" s="524">
        <f>S44*T44</f>
        <v>0</v>
      </c>
      <c r="W44" s="525"/>
      <c r="X44" s="523"/>
      <c r="Y44" s="524">
        <v>230</v>
      </c>
      <c r="Z44" s="524"/>
      <c r="AA44" s="524">
        <f>X44*Y44</f>
        <v>0</v>
      </c>
      <c r="AB44" s="525"/>
      <c r="AC44" s="407"/>
    </row>
    <row r="45" spans="1:29" ht="14.4" hidden="1" customHeight="1">
      <c r="A45" s="481"/>
      <c r="B45" s="526" t="s">
        <v>179</v>
      </c>
      <c r="C45" s="526" t="s">
        <v>88</v>
      </c>
      <c r="D45" s="527">
        <f>D44*5</f>
        <v>22.5</v>
      </c>
      <c r="E45" s="528"/>
      <c r="F45" s="528">
        <v>5.5</v>
      </c>
      <c r="G45" s="529"/>
      <c r="H45" s="525">
        <f>F45*D45</f>
        <v>123.75</v>
      </c>
      <c r="I45" s="530"/>
      <c r="J45" s="528"/>
      <c r="K45" s="528">
        <v>5.5</v>
      </c>
      <c r="L45" s="529"/>
      <c r="M45" s="525">
        <f>K45*I45</f>
        <v>0</v>
      </c>
      <c r="N45" s="530"/>
      <c r="O45" s="528"/>
      <c r="P45" s="528">
        <v>5.5</v>
      </c>
      <c r="Q45" s="529"/>
      <c r="R45" s="525">
        <f>P45*N45</f>
        <v>0</v>
      </c>
      <c r="S45" s="527"/>
      <c r="T45" s="528"/>
      <c r="U45" s="528">
        <v>5.5</v>
      </c>
      <c r="V45" s="529"/>
      <c r="W45" s="525">
        <f>U45*S45</f>
        <v>0</v>
      </c>
      <c r="X45" s="527"/>
      <c r="Y45" s="528"/>
      <c r="Z45" s="528">
        <v>5.5</v>
      </c>
      <c r="AA45" s="529"/>
      <c r="AB45" s="525">
        <f>Z45*X45</f>
        <v>0</v>
      </c>
      <c r="AC45" s="407"/>
    </row>
    <row r="46" spans="1:29" ht="13.65" customHeight="1">
      <c r="A46" s="481"/>
      <c r="B46" s="521" t="s">
        <v>109</v>
      </c>
      <c r="C46" s="522" t="s">
        <v>37</v>
      </c>
      <c r="D46" s="532">
        <v>73.62</v>
      </c>
      <c r="E46" s="524">
        <v>30</v>
      </c>
      <c r="F46" s="524"/>
      <c r="G46" s="524">
        <f>D46*E46</f>
        <v>2208.6000000000004</v>
      </c>
      <c r="H46" s="525"/>
      <c r="I46" s="532"/>
      <c r="J46" s="524">
        <v>30</v>
      </c>
      <c r="K46" s="524"/>
      <c r="L46" s="524">
        <f>I46*J46</f>
        <v>0</v>
      </c>
      <c r="M46" s="525"/>
      <c r="N46" s="532">
        <v>64.5</v>
      </c>
      <c r="O46" s="524">
        <v>30</v>
      </c>
      <c r="P46" s="524"/>
      <c r="Q46" s="524">
        <f>N46*O46</f>
        <v>1935</v>
      </c>
      <c r="R46" s="525"/>
      <c r="S46" s="532"/>
      <c r="T46" s="524">
        <v>30</v>
      </c>
      <c r="U46" s="524"/>
      <c r="V46" s="524">
        <f>S46*T46</f>
        <v>0</v>
      </c>
      <c r="W46" s="525"/>
      <c r="X46" s="532">
        <v>73.62</v>
      </c>
      <c r="Y46" s="524">
        <v>30</v>
      </c>
      <c r="Z46" s="524"/>
      <c r="AA46" s="524">
        <f>X46*Y46</f>
        <v>2208.6000000000004</v>
      </c>
      <c r="AB46" s="525"/>
      <c r="AC46" s="407"/>
    </row>
    <row r="47" spans="1:29" ht="13.65" customHeight="1">
      <c r="A47" s="481"/>
      <c r="B47" s="526" t="s">
        <v>110</v>
      </c>
      <c r="C47" s="526" t="s">
        <v>46</v>
      </c>
      <c r="D47" s="528">
        <f>ROUNDUP(D46*1.1,1)</f>
        <v>81</v>
      </c>
      <c r="E47" s="528"/>
      <c r="F47" s="528">
        <v>1.5</v>
      </c>
      <c r="G47" s="529"/>
      <c r="H47" s="525">
        <f>F47*D47</f>
        <v>121.5</v>
      </c>
      <c r="I47" s="528"/>
      <c r="J47" s="528"/>
      <c r="K47" s="528">
        <v>1.5</v>
      </c>
      <c r="L47" s="529"/>
      <c r="M47" s="525">
        <f>K47*I47</f>
        <v>0</v>
      </c>
      <c r="N47" s="528">
        <f>ROUNDUP(N46*1.1,1)</f>
        <v>71</v>
      </c>
      <c r="O47" s="528"/>
      <c r="P47" s="528">
        <v>1.5</v>
      </c>
      <c r="Q47" s="529"/>
      <c r="R47" s="525">
        <f>P47*N47</f>
        <v>106.5</v>
      </c>
      <c r="S47" s="528"/>
      <c r="T47" s="528"/>
      <c r="U47" s="528">
        <v>1.5</v>
      </c>
      <c r="V47" s="529"/>
      <c r="W47" s="525">
        <f>U47*S47</f>
        <v>0</v>
      </c>
      <c r="X47" s="528">
        <f>ROUNDUP(X46*1.1,1)</f>
        <v>81</v>
      </c>
      <c r="Y47" s="528"/>
      <c r="Z47" s="528">
        <v>1.5</v>
      </c>
      <c r="AA47" s="529"/>
      <c r="AB47" s="525">
        <f>Z47*X47</f>
        <v>121.5</v>
      </c>
      <c r="AC47" s="407"/>
    </row>
    <row r="48" spans="1:29" ht="13.65" customHeight="1">
      <c r="A48" s="481"/>
      <c r="B48" s="526" t="s">
        <v>111</v>
      </c>
      <c r="C48" s="526" t="s">
        <v>88</v>
      </c>
      <c r="D48" s="528">
        <f>ROUND(D46*1.1,2)</f>
        <v>80.98</v>
      </c>
      <c r="E48" s="528"/>
      <c r="F48" s="528">
        <v>6</v>
      </c>
      <c r="G48" s="529"/>
      <c r="H48" s="525">
        <f>F48*D48</f>
        <v>485.88</v>
      </c>
      <c r="I48" s="528"/>
      <c r="J48" s="528"/>
      <c r="K48" s="528">
        <v>6</v>
      </c>
      <c r="L48" s="529"/>
      <c r="M48" s="525">
        <f>K48*I48</f>
        <v>0</v>
      </c>
      <c r="N48" s="528">
        <v>25</v>
      </c>
      <c r="O48" s="528"/>
      <c r="P48" s="528">
        <v>6</v>
      </c>
      <c r="Q48" s="529"/>
      <c r="R48" s="525">
        <f>P48*N48</f>
        <v>150</v>
      </c>
      <c r="S48" s="528"/>
      <c r="T48" s="528"/>
      <c r="U48" s="528">
        <v>6</v>
      </c>
      <c r="V48" s="529"/>
      <c r="W48" s="525">
        <f>U48*S48</f>
        <v>0</v>
      </c>
      <c r="X48" s="528">
        <f>ROUND(X46*1.1,2)</f>
        <v>80.98</v>
      </c>
      <c r="Y48" s="528"/>
      <c r="Z48" s="528">
        <v>6</v>
      </c>
      <c r="AA48" s="529"/>
      <c r="AB48" s="525">
        <f>Z48*X48</f>
        <v>485.88</v>
      </c>
      <c r="AC48" s="407"/>
    </row>
    <row r="49" spans="1:29" ht="13.65" customHeight="1">
      <c r="A49" s="481"/>
      <c r="B49" s="509" t="s">
        <v>181</v>
      </c>
      <c r="C49" s="510" t="s">
        <v>37</v>
      </c>
      <c r="D49" s="511">
        <f>D51+D54+D57+D59</f>
        <v>1849.5000000000002</v>
      </c>
      <c r="E49" s="512">
        <v>22</v>
      </c>
      <c r="F49" s="513"/>
      <c r="G49" s="512">
        <f>ROUND(D49*E49,2)</f>
        <v>40689</v>
      </c>
      <c r="H49" s="512"/>
      <c r="I49" s="511"/>
      <c r="J49" s="512">
        <v>22</v>
      </c>
      <c r="K49" s="513"/>
      <c r="L49" s="512">
        <f>ROUND(I49*J49,2)</f>
        <v>0</v>
      </c>
      <c r="M49" s="512"/>
      <c r="N49" s="511">
        <v>64.5</v>
      </c>
      <c r="O49" s="512">
        <v>22</v>
      </c>
      <c r="P49" s="513"/>
      <c r="Q49" s="512">
        <f>ROUND(N49*O49,2)</f>
        <v>1419</v>
      </c>
      <c r="R49" s="512"/>
      <c r="S49" s="511">
        <f>S51+S54+S57+S59</f>
        <v>172</v>
      </c>
      <c r="T49" s="512">
        <v>22</v>
      </c>
      <c r="U49" s="513"/>
      <c r="V49" s="512">
        <f>ROUND(S49*T49,2)</f>
        <v>3784</v>
      </c>
      <c r="W49" s="512"/>
      <c r="X49" s="511">
        <f>X51+X54+X57+X59</f>
        <v>300.98</v>
      </c>
      <c r="Y49" s="512">
        <v>22</v>
      </c>
      <c r="Z49" s="513"/>
      <c r="AA49" s="512">
        <f>ROUND(X49*Y49,2)</f>
        <v>6621.56</v>
      </c>
      <c r="AB49" s="512"/>
      <c r="AC49" s="407"/>
    </row>
    <row r="50" spans="1:29" ht="13.65" customHeight="1">
      <c r="A50" s="481"/>
      <c r="B50" s="514" t="s">
        <v>113</v>
      </c>
      <c r="C50" s="514" t="s">
        <v>92</v>
      </c>
      <c r="D50" s="515">
        <f>D49*0.2</f>
        <v>369.90000000000009</v>
      </c>
      <c r="E50" s="513"/>
      <c r="F50" s="534">
        <v>20.02</v>
      </c>
      <c r="G50" s="513"/>
      <c r="H50" s="513">
        <f>ROUND(D50*F50,2)</f>
        <v>7405.4</v>
      </c>
      <c r="I50" s="515"/>
      <c r="J50" s="513"/>
      <c r="K50" s="534">
        <v>20.02</v>
      </c>
      <c r="L50" s="513"/>
      <c r="M50" s="513">
        <f>ROUND(I50*K50,2)</f>
        <v>0</v>
      </c>
      <c r="N50" s="515">
        <f>N49*0.2</f>
        <v>12.9</v>
      </c>
      <c r="O50" s="513"/>
      <c r="P50" s="534">
        <v>20.02</v>
      </c>
      <c r="Q50" s="513"/>
      <c r="R50" s="513">
        <f>ROUND(N50*P50,2)</f>
        <v>258.26</v>
      </c>
      <c r="S50" s="515">
        <f>S49*0.2</f>
        <v>34.4</v>
      </c>
      <c r="T50" s="513"/>
      <c r="U50" s="534">
        <v>20.02</v>
      </c>
      <c r="V50" s="513"/>
      <c r="W50" s="513">
        <f>ROUND(S50*U50,2)</f>
        <v>688.69</v>
      </c>
      <c r="X50" s="515">
        <f>X49*0.2</f>
        <v>60.196000000000005</v>
      </c>
      <c r="Y50" s="513"/>
      <c r="Z50" s="534">
        <v>20.02</v>
      </c>
      <c r="AA50" s="513"/>
      <c r="AB50" s="513">
        <f>ROUND(X50*Z50,2)</f>
        <v>1205.1199999999999</v>
      </c>
      <c r="AC50" s="407"/>
    </row>
    <row r="51" spans="1:29" ht="13.65" customHeight="1">
      <c r="A51" s="481"/>
      <c r="B51" s="509" t="s">
        <v>346</v>
      </c>
      <c r="C51" s="510" t="s">
        <v>37</v>
      </c>
      <c r="D51" s="511">
        <f>58.72+18.4+538.24+73.62</f>
        <v>688.98</v>
      </c>
      <c r="E51" s="512">
        <v>140</v>
      </c>
      <c r="F51" s="513"/>
      <c r="G51" s="512">
        <f>ROUND(D51*E51,2)</f>
        <v>96457.2</v>
      </c>
      <c r="H51" s="512"/>
      <c r="I51" s="511"/>
      <c r="J51" s="512">
        <v>140</v>
      </c>
      <c r="K51" s="513"/>
      <c r="L51" s="512">
        <f>ROUND(I51*J51,2)</f>
        <v>0</v>
      </c>
      <c r="M51" s="512"/>
      <c r="N51" s="511">
        <v>64.5</v>
      </c>
      <c r="O51" s="512">
        <v>140</v>
      </c>
      <c r="P51" s="513"/>
      <c r="Q51" s="512">
        <f>ROUND(N51*O51,2)</f>
        <v>9030</v>
      </c>
      <c r="R51" s="512"/>
      <c r="S51" s="511">
        <v>172</v>
      </c>
      <c r="T51" s="512">
        <v>140</v>
      </c>
      <c r="U51" s="513"/>
      <c r="V51" s="512">
        <f>ROUND(S51*T51,2)</f>
        <v>24080</v>
      </c>
      <c r="W51" s="512"/>
      <c r="X51" s="511">
        <f>50.8+99.69</f>
        <v>150.49</v>
      </c>
      <c r="Y51" s="512">
        <v>140</v>
      </c>
      <c r="Z51" s="513"/>
      <c r="AA51" s="512">
        <f>ROUND(X51*Y51,2)</f>
        <v>21068.6</v>
      </c>
      <c r="AB51" s="512"/>
      <c r="AC51" s="407"/>
    </row>
    <row r="52" spans="1:29" ht="13.65" customHeight="1">
      <c r="A52" s="481"/>
      <c r="B52" s="514" t="s">
        <v>169</v>
      </c>
      <c r="C52" s="514" t="s">
        <v>88</v>
      </c>
      <c r="D52" s="515">
        <f>D51*2.5</f>
        <v>1722.45</v>
      </c>
      <c r="E52" s="513"/>
      <c r="F52" s="516">
        <v>7.82</v>
      </c>
      <c r="G52" s="513"/>
      <c r="H52" s="513">
        <f>ROUND(D52*F52,2)</f>
        <v>13469.56</v>
      </c>
      <c r="I52" s="515"/>
      <c r="J52" s="513"/>
      <c r="K52" s="516">
        <v>7.82</v>
      </c>
      <c r="L52" s="513"/>
      <c r="M52" s="513">
        <f>ROUND(I52*K52,2)</f>
        <v>0</v>
      </c>
      <c r="N52" s="515">
        <f>N51*2.5</f>
        <v>161.25</v>
      </c>
      <c r="O52" s="513"/>
      <c r="P52" s="516">
        <v>7.82</v>
      </c>
      <c r="Q52" s="513"/>
      <c r="R52" s="513">
        <f>ROUND(N52*P52,2)</f>
        <v>1260.98</v>
      </c>
      <c r="S52" s="515">
        <f>S51*2.5</f>
        <v>430</v>
      </c>
      <c r="T52" s="513"/>
      <c r="U52" s="516">
        <v>7.82</v>
      </c>
      <c r="V52" s="513"/>
      <c r="W52" s="513">
        <f>ROUND(S52*U52,2)</f>
        <v>3362.6</v>
      </c>
      <c r="X52" s="515">
        <f>X51*2.5</f>
        <v>376.22500000000002</v>
      </c>
      <c r="Y52" s="513"/>
      <c r="Z52" s="516">
        <v>7.82</v>
      </c>
      <c r="AA52" s="513"/>
      <c r="AB52" s="513">
        <f>ROUND(X52*Z52,2)</f>
        <v>2942.08</v>
      </c>
      <c r="AC52" s="407"/>
    </row>
    <row r="53" spans="1:29" ht="13.65" customHeight="1">
      <c r="A53" s="481"/>
      <c r="B53" s="514" t="s">
        <v>170</v>
      </c>
      <c r="C53" s="514" t="s">
        <v>27</v>
      </c>
      <c r="D53" s="535">
        <f>D51*0.1</f>
        <v>68.89800000000001</v>
      </c>
      <c r="E53" s="536"/>
      <c r="F53" s="516">
        <v>24.5</v>
      </c>
      <c r="G53" s="513"/>
      <c r="H53" s="513">
        <f>ROUND(D53*F53,2)</f>
        <v>1688</v>
      </c>
      <c r="I53" s="535"/>
      <c r="J53" s="536"/>
      <c r="K53" s="516">
        <v>24.5</v>
      </c>
      <c r="L53" s="513"/>
      <c r="M53" s="513">
        <f>ROUND(I53*K53,2)</f>
        <v>0</v>
      </c>
      <c r="N53" s="535">
        <f>N51*0.1</f>
        <v>6.45</v>
      </c>
      <c r="O53" s="536"/>
      <c r="P53" s="516">
        <v>24.5</v>
      </c>
      <c r="Q53" s="513"/>
      <c r="R53" s="513">
        <f>ROUND(N53*P53,2)</f>
        <v>158.03</v>
      </c>
      <c r="S53" s="535">
        <f>S51*0.1</f>
        <v>17.2</v>
      </c>
      <c r="T53" s="536"/>
      <c r="U53" s="516">
        <v>24.5</v>
      </c>
      <c r="V53" s="513"/>
      <c r="W53" s="513">
        <f>ROUND(S53*U53,2)</f>
        <v>421.4</v>
      </c>
      <c r="X53" s="535">
        <f>X51*0.1</f>
        <v>15.049000000000001</v>
      </c>
      <c r="Y53" s="536"/>
      <c r="Z53" s="516">
        <v>24.5</v>
      </c>
      <c r="AA53" s="513"/>
      <c r="AB53" s="513">
        <f>ROUND(X53*Z53,2)</f>
        <v>368.7</v>
      </c>
      <c r="AC53" s="407"/>
    </row>
    <row r="54" spans="1:29" ht="14.4" hidden="1" customHeight="1">
      <c r="A54" s="481"/>
      <c r="B54" s="509" t="s">
        <v>183</v>
      </c>
      <c r="C54" s="510" t="s">
        <v>37</v>
      </c>
      <c r="D54" s="511">
        <f>324.3+73.62</f>
        <v>397.92</v>
      </c>
      <c r="E54" s="512">
        <v>80</v>
      </c>
      <c r="F54" s="513"/>
      <c r="G54" s="512">
        <f>ROUND(D54*E54,2)</f>
        <v>31833.599999999999</v>
      </c>
      <c r="H54" s="512"/>
      <c r="I54" s="511"/>
      <c r="J54" s="512">
        <v>80</v>
      </c>
      <c r="K54" s="513"/>
      <c r="L54" s="512">
        <f>ROUND(I54*J54,2)</f>
        <v>0</v>
      </c>
      <c r="M54" s="512"/>
      <c r="N54" s="511"/>
      <c r="O54" s="512">
        <v>80</v>
      </c>
      <c r="P54" s="513"/>
      <c r="Q54" s="512">
        <f>ROUND(N54*O54,2)</f>
        <v>0</v>
      </c>
      <c r="R54" s="512"/>
      <c r="S54" s="511"/>
      <c r="T54" s="512">
        <v>80</v>
      </c>
      <c r="U54" s="513"/>
      <c r="V54" s="512">
        <f>ROUND(S54*T54,2)</f>
        <v>0</v>
      </c>
      <c r="W54" s="512"/>
      <c r="X54" s="511"/>
      <c r="Y54" s="512">
        <v>80</v>
      </c>
      <c r="Z54" s="513"/>
      <c r="AA54" s="512">
        <f>ROUND(X54*Y54,2)</f>
        <v>0</v>
      </c>
      <c r="AB54" s="512"/>
      <c r="AC54" s="407"/>
    </row>
    <row r="55" spans="1:29" ht="14.4" hidden="1" customHeight="1">
      <c r="A55" s="481"/>
      <c r="B55" s="514" t="s">
        <v>184</v>
      </c>
      <c r="C55" s="514" t="s">
        <v>37</v>
      </c>
      <c r="D55" s="515">
        <f>1.1*D54</f>
        <v>437.71200000000005</v>
      </c>
      <c r="E55" s="513"/>
      <c r="F55" s="516">
        <v>12.5</v>
      </c>
      <c r="G55" s="513"/>
      <c r="H55" s="513">
        <f>ROUND(D55*F55,2)</f>
        <v>5471.4</v>
      </c>
      <c r="I55" s="515"/>
      <c r="J55" s="513"/>
      <c r="K55" s="516">
        <v>12.5</v>
      </c>
      <c r="L55" s="513"/>
      <c r="M55" s="513">
        <f>ROUND(I55*K55,2)</f>
        <v>0</v>
      </c>
      <c r="N55" s="515"/>
      <c r="O55" s="513"/>
      <c r="P55" s="516">
        <v>12.5</v>
      </c>
      <c r="Q55" s="513"/>
      <c r="R55" s="513">
        <f>ROUND(N55*P55,2)</f>
        <v>0</v>
      </c>
      <c r="S55" s="515"/>
      <c r="T55" s="513"/>
      <c r="U55" s="516">
        <v>12.5</v>
      </c>
      <c r="V55" s="513"/>
      <c r="W55" s="513">
        <f>ROUND(S55*U55,2)</f>
        <v>0</v>
      </c>
      <c r="X55" s="515">
        <f>1.1*X54</f>
        <v>0</v>
      </c>
      <c r="Y55" s="513"/>
      <c r="Z55" s="516">
        <v>12.5</v>
      </c>
      <c r="AA55" s="513"/>
      <c r="AB55" s="513">
        <f>ROUND(X55*Z55,2)</f>
        <v>0</v>
      </c>
      <c r="AC55" s="407"/>
    </row>
    <row r="56" spans="1:29" ht="14.4" hidden="1" customHeight="1">
      <c r="A56" s="481"/>
      <c r="B56" s="514" t="s">
        <v>185</v>
      </c>
      <c r="C56" s="514" t="s">
        <v>88</v>
      </c>
      <c r="D56" s="515">
        <f>0.4*D54</f>
        <v>159.16800000000001</v>
      </c>
      <c r="E56" s="513"/>
      <c r="F56" s="516">
        <v>41</v>
      </c>
      <c r="G56" s="513"/>
      <c r="H56" s="513">
        <f>ROUND(D56*F56,2)</f>
        <v>6525.89</v>
      </c>
      <c r="I56" s="515"/>
      <c r="J56" s="513"/>
      <c r="K56" s="516">
        <v>41</v>
      </c>
      <c r="L56" s="513"/>
      <c r="M56" s="513">
        <f>ROUND(I56*K56,2)</f>
        <v>0</v>
      </c>
      <c r="N56" s="515"/>
      <c r="O56" s="513"/>
      <c r="P56" s="516">
        <v>41</v>
      </c>
      <c r="Q56" s="513"/>
      <c r="R56" s="513">
        <f>ROUND(N56*P56,2)</f>
        <v>0</v>
      </c>
      <c r="S56" s="515"/>
      <c r="T56" s="513"/>
      <c r="U56" s="516">
        <v>41</v>
      </c>
      <c r="V56" s="513"/>
      <c r="W56" s="513">
        <f>ROUND(S56*U56,2)</f>
        <v>0</v>
      </c>
      <c r="X56" s="515">
        <f>0.4*X54</f>
        <v>0</v>
      </c>
      <c r="Y56" s="513"/>
      <c r="Z56" s="516">
        <v>41</v>
      </c>
      <c r="AA56" s="513"/>
      <c r="AB56" s="513">
        <f>ROUND(X56*Z56,2)</f>
        <v>0</v>
      </c>
      <c r="AC56" s="407"/>
    </row>
    <row r="57" spans="1:29" ht="14.4" hidden="1" customHeight="1">
      <c r="A57" s="481"/>
      <c r="B57" s="509" t="s">
        <v>347</v>
      </c>
      <c r="C57" s="510" t="s">
        <v>37</v>
      </c>
      <c r="D57" s="511">
        <f>D54</f>
        <v>397.92</v>
      </c>
      <c r="E57" s="512">
        <v>140</v>
      </c>
      <c r="F57" s="513"/>
      <c r="G57" s="512">
        <f>ROUND(D57*E57,2)</f>
        <v>55708.800000000003</v>
      </c>
      <c r="H57" s="512"/>
      <c r="I57" s="511"/>
      <c r="J57" s="512">
        <v>140</v>
      </c>
      <c r="K57" s="513"/>
      <c r="L57" s="512">
        <f>ROUND(I57*J57,2)</f>
        <v>0</v>
      </c>
      <c r="M57" s="512"/>
      <c r="N57" s="511"/>
      <c r="O57" s="512">
        <v>140</v>
      </c>
      <c r="P57" s="513"/>
      <c r="Q57" s="512">
        <f>ROUND(N57*O57,2)</f>
        <v>0</v>
      </c>
      <c r="R57" s="512"/>
      <c r="S57" s="511"/>
      <c r="T57" s="512">
        <v>140</v>
      </c>
      <c r="U57" s="513"/>
      <c r="V57" s="512">
        <f>ROUND(S57*T57,2)</f>
        <v>0</v>
      </c>
      <c r="W57" s="512"/>
      <c r="X57" s="511">
        <f>X54</f>
        <v>0</v>
      </c>
      <c r="Y57" s="512">
        <v>140</v>
      </c>
      <c r="Z57" s="513"/>
      <c r="AA57" s="512">
        <f>ROUND(X57*Y57,2)</f>
        <v>0</v>
      </c>
      <c r="AB57" s="512"/>
      <c r="AC57" s="407"/>
    </row>
    <row r="58" spans="1:29" ht="14.4" hidden="1" customHeight="1">
      <c r="A58" s="481"/>
      <c r="B58" s="514" t="s">
        <v>187</v>
      </c>
      <c r="C58" s="514" t="s">
        <v>88</v>
      </c>
      <c r="D58" s="515">
        <f>1.5*D57</f>
        <v>596.88</v>
      </c>
      <c r="E58" s="513"/>
      <c r="F58" s="516">
        <v>20.72</v>
      </c>
      <c r="G58" s="513"/>
      <c r="H58" s="513">
        <f>ROUND(D58*F58,2)</f>
        <v>12367.35</v>
      </c>
      <c r="I58" s="515"/>
      <c r="J58" s="513"/>
      <c r="K58" s="516">
        <v>20.72</v>
      </c>
      <c r="L58" s="513"/>
      <c r="M58" s="513">
        <f>ROUND(I58*K58,2)</f>
        <v>0</v>
      </c>
      <c r="N58" s="515"/>
      <c r="O58" s="513"/>
      <c r="P58" s="516">
        <v>20.72</v>
      </c>
      <c r="Q58" s="513"/>
      <c r="R58" s="513">
        <f>ROUND(N58*P58,2)</f>
        <v>0</v>
      </c>
      <c r="S58" s="515"/>
      <c r="T58" s="513"/>
      <c r="U58" s="516">
        <v>20.72</v>
      </c>
      <c r="V58" s="513"/>
      <c r="W58" s="513">
        <f>ROUND(S58*U58,2)</f>
        <v>0</v>
      </c>
      <c r="X58" s="515">
        <f>1.5*X57</f>
        <v>0</v>
      </c>
      <c r="Y58" s="513"/>
      <c r="Z58" s="516">
        <v>20.72</v>
      </c>
      <c r="AA58" s="513"/>
      <c r="AB58" s="513">
        <f>ROUND(X58*Z58,2)</f>
        <v>0</v>
      </c>
      <c r="AC58" s="407"/>
    </row>
    <row r="59" spans="1:29" ht="14.4" customHeight="1">
      <c r="A59" s="481"/>
      <c r="B59" s="517" t="s">
        <v>348</v>
      </c>
      <c r="C59" s="517" t="s">
        <v>37</v>
      </c>
      <c r="D59" s="511">
        <f>58.72+18.4+538.24+73.62-324.3</f>
        <v>364.68</v>
      </c>
      <c r="E59" s="519">
        <v>90</v>
      </c>
      <c r="F59" s="520"/>
      <c r="G59" s="490">
        <f>D59*E59</f>
        <v>32821.199999999997</v>
      </c>
      <c r="H59" s="493"/>
      <c r="I59" s="511"/>
      <c r="J59" s="519">
        <v>90</v>
      </c>
      <c r="K59" s="520"/>
      <c r="L59" s="490">
        <f>I59*J59</f>
        <v>0</v>
      </c>
      <c r="M59" s="493"/>
      <c r="N59" s="511"/>
      <c r="O59" s="519">
        <v>90</v>
      </c>
      <c r="P59" s="520"/>
      <c r="Q59" s="490">
        <f>N59*O59</f>
        <v>0</v>
      </c>
      <c r="R59" s="493"/>
      <c r="S59" s="511"/>
      <c r="T59" s="519">
        <v>90</v>
      </c>
      <c r="U59" s="520"/>
      <c r="V59" s="490">
        <f>S59*T59</f>
        <v>0</v>
      </c>
      <c r="W59" s="493"/>
      <c r="X59" s="511">
        <v>150.49</v>
      </c>
      <c r="Y59" s="519">
        <v>90</v>
      </c>
      <c r="Z59" s="520"/>
      <c r="AA59" s="490">
        <f>X59*Y59</f>
        <v>13544.1</v>
      </c>
      <c r="AB59" s="493"/>
      <c r="AC59" s="407"/>
    </row>
    <row r="60" spans="1:29" ht="14.4" customHeight="1">
      <c r="A60" s="481"/>
      <c r="B60" s="491" t="s">
        <v>172</v>
      </c>
      <c r="C60" s="491" t="s">
        <v>92</v>
      </c>
      <c r="D60" s="492">
        <f>CEILING(D59*0.35,1)</f>
        <v>128</v>
      </c>
      <c r="E60" s="492"/>
      <c r="F60" s="493">
        <v>240</v>
      </c>
      <c r="G60" s="490"/>
      <c r="H60" s="493">
        <f>F60*D60</f>
        <v>30720</v>
      </c>
      <c r="I60" s="492"/>
      <c r="J60" s="492"/>
      <c r="K60" s="493">
        <v>240</v>
      </c>
      <c r="L60" s="490"/>
      <c r="M60" s="493">
        <f>K60*I60</f>
        <v>0</v>
      </c>
      <c r="N60" s="492"/>
      <c r="O60" s="492"/>
      <c r="P60" s="493">
        <v>240</v>
      </c>
      <c r="Q60" s="490"/>
      <c r="R60" s="493">
        <f>P60*N60</f>
        <v>0</v>
      </c>
      <c r="S60" s="492"/>
      <c r="T60" s="492"/>
      <c r="U60" s="493">
        <v>240</v>
      </c>
      <c r="V60" s="490"/>
      <c r="W60" s="493">
        <f>U60*S60</f>
        <v>0</v>
      </c>
      <c r="X60" s="492">
        <f>CEILING(X59*0.35,1)</f>
        <v>53</v>
      </c>
      <c r="Y60" s="492"/>
      <c r="Z60" s="493">
        <v>240</v>
      </c>
      <c r="AA60" s="490"/>
      <c r="AB60" s="493">
        <f>Z60*X60</f>
        <v>12720</v>
      </c>
      <c r="AC60" s="407"/>
    </row>
    <row r="61" spans="1:29" ht="14.4" customHeight="1">
      <c r="A61" s="481"/>
      <c r="B61" s="491" t="s">
        <v>173</v>
      </c>
      <c r="C61" s="491" t="s">
        <v>174</v>
      </c>
      <c r="D61" s="492">
        <f>CEILING(D59*0.05,1)</f>
        <v>19</v>
      </c>
      <c r="E61" s="492"/>
      <c r="F61" s="493">
        <v>32</v>
      </c>
      <c r="G61" s="490"/>
      <c r="H61" s="493">
        <f>F61*D61</f>
        <v>608</v>
      </c>
      <c r="I61" s="492"/>
      <c r="J61" s="492"/>
      <c r="K61" s="493">
        <v>32</v>
      </c>
      <c r="L61" s="490"/>
      <c r="M61" s="493">
        <f>K61*I61</f>
        <v>0</v>
      </c>
      <c r="N61" s="492"/>
      <c r="O61" s="492"/>
      <c r="P61" s="493">
        <v>32</v>
      </c>
      <c r="Q61" s="490"/>
      <c r="R61" s="493">
        <f>P61*N61</f>
        <v>0</v>
      </c>
      <c r="S61" s="492"/>
      <c r="T61" s="492"/>
      <c r="U61" s="493">
        <v>32</v>
      </c>
      <c r="V61" s="490"/>
      <c r="W61" s="493">
        <f>U61*S61</f>
        <v>0</v>
      </c>
      <c r="X61" s="492">
        <f>CEILING(X59*0.05,1)</f>
        <v>8</v>
      </c>
      <c r="Y61" s="492"/>
      <c r="Z61" s="493">
        <v>32</v>
      </c>
      <c r="AA61" s="490"/>
      <c r="AB61" s="493">
        <f>Z61*X61</f>
        <v>256</v>
      </c>
      <c r="AC61" s="407"/>
    </row>
    <row r="62" spans="1:29" ht="13.65" hidden="1" customHeight="1">
      <c r="A62" s="481"/>
      <c r="B62" s="486" t="s">
        <v>119</v>
      </c>
      <c r="C62" s="487" t="s">
        <v>37</v>
      </c>
      <c r="D62" s="577">
        <v>200</v>
      </c>
      <c r="E62" s="578">
        <v>25</v>
      </c>
      <c r="F62" s="578"/>
      <c r="G62" s="579">
        <f>D62*E62</f>
        <v>5000</v>
      </c>
      <c r="H62" s="562"/>
      <c r="I62" s="577">
        <v>50</v>
      </c>
      <c r="J62" s="578">
        <v>25</v>
      </c>
      <c r="K62" s="578"/>
      <c r="L62" s="579">
        <f>I62*J62</f>
        <v>1250</v>
      </c>
      <c r="M62" s="562"/>
      <c r="N62" s="577">
        <v>32</v>
      </c>
      <c r="O62" s="578">
        <v>25</v>
      </c>
      <c r="P62" s="578"/>
      <c r="Q62" s="579">
        <f>N62*O62</f>
        <v>800</v>
      </c>
      <c r="R62" s="562"/>
      <c r="S62" s="577">
        <v>118</v>
      </c>
      <c r="T62" s="578">
        <v>25</v>
      </c>
      <c r="U62" s="578"/>
      <c r="V62" s="579">
        <f>S62*T62</f>
        <v>2950</v>
      </c>
      <c r="W62" s="562"/>
      <c r="X62" s="577"/>
      <c r="Y62" s="578">
        <v>25</v>
      </c>
      <c r="Z62" s="578"/>
      <c r="AA62" s="579">
        <f>X62*Y62</f>
        <v>0</v>
      </c>
      <c r="AB62" s="562"/>
      <c r="AC62" s="407"/>
    </row>
    <row r="63" spans="1:29" ht="13.65" hidden="1" customHeight="1">
      <c r="A63" s="481"/>
      <c r="B63" s="486" t="s">
        <v>120</v>
      </c>
      <c r="C63" s="487" t="s">
        <v>37</v>
      </c>
      <c r="D63" s="577">
        <v>200</v>
      </c>
      <c r="E63" s="578">
        <v>25</v>
      </c>
      <c r="F63" s="578"/>
      <c r="G63" s="579">
        <f>D63*E63</f>
        <v>5000</v>
      </c>
      <c r="H63" s="562"/>
      <c r="I63" s="577">
        <v>50</v>
      </c>
      <c r="J63" s="578">
        <v>25</v>
      </c>
      <c r="K63" s="578"/>
      <c r="L63" s="579">
        <f>I63*J63</f>
        <v>1250</v>
      </c>
      <c r="M63" s="562"/>
      <c r="N63" s="577">
        <v>32</v>
      </c>
      <c r="O63" s="578">
        <v>25</v>
      </c>
      <c r="P63" s="578"/>
      <c r="Q63" s="579">
        <f>N63*O63</f>
        <v>800</v>
      </c>
      <c r="R63" s="562"/>
      <c r="S63" s="577">
        <v>118</v>
      </c>
      <c r="T63" s="578">
        <v>25</v>
      </c>
      <c r="U63" s="578"/>
      <c r="V63" s="579">
        <f>S63*T63</f>
        <v>2950</v>
      </c>
      <c r="W63" s="562"/>
      <c r="X63" s="577"/>
      <c r="Y63" s="578">
        <v>25</v>
      </c>
      <c r="Z63" s="578"/>
      <c r="AA63" s="579">
        <f>X63*Y63</f>
        <v>0</v>
      </c>
      <c r="AB63" s="562"/>
      <c r="AC63" s="407"/>
    </row>
    <row r="64" spans="1:29" ht="13.65" customHeight="1">
      <c r="A64" s="481"/>
      <c r="B64" s="486" t="s">
        <v>121</v>
      </c>
      <c r="C64" s="487" t="s">
        <v>122</v>
      </c>
      <c r="D64" s="577">
        <v>14</v>
      </c>
      <c r="E64" s="578"/>
      <c r="F64" s="578"/>
      <c r="G64" s="579">
        <v>5200</v>
      </c>
      <c r="H64" s="562"/>
      <c r="I64" s="577"/>
      <c r="J64" s="578"/>
      <c r="K64" s="578"/>
      <c r="L64" s="579">
        <v>5200</v>
      </c>
      <c r="M64" s="562"/>
      <c r="N64" s="577"/>
      <c r="O64" s="578"/>
      <c r="P64" s="578"/>
      <c r="Q64" s="579"/>
      <c r="R64" s="562"/>
      <c r="S64" s="577">
        <v>5</v>
      </c>
      <c r="T64" s="578"/>
      <c r="U64" s="578"/>
      <c r="V64" s="579">
        <v>2000</v>
      </c>
      <c r="W64" s="562"/>
      <c r="X64" s="577"/>
      <c r="Y64" s="578"/>
      <c r="Z64" s="578"/>
      <c r="AA64" s="579">
        <v>5200</v>
      </c>
      <c r="AB64" s="562"/>
      <c r="AC64" s="407"/>
    </row>
    <row r="65" spans="1:29" ht="24" customHeight="1">
      <c r="A65" s="481"/>
      <c r="B65" s="558" t="s">
        <v>211</v>
      </c>
      <c r="C65" s="559" t="s">
        <v>126</v>
      </c>
      <c r="D65" s="554">
        <v>10</v>
      </c>
      <c r="E65" s="560">
        <v>750</v>
      </c>
      <c r="F65" s="560"/>
      <c r="G65" s="561">
        <f>D65*E65</f>
        <v>7500</v>
      </c>
      <c r="H65" s="562"/>
      <c r="I65" s="557"/>
      <c r="J65" s="560">
        <v>750</v>
      </c>
      <c r="K65" s="560"/>
      <c r="L65" s="561">
        <f>I65*J65</f>
        <v>0</v>
      </c>
      <c r="M65" s="562"/>
      <c r="N65" s="557"/>
      <c r="O65" s="560">
        <v>750</v>
      </c>
      <c r="P65" s="560"/>
      <c r="Q65" s="561">
        <f>N65*O65</f>
        <v>0</v>
      </c>
      <c r="R65" s="562"/>
      <c r="S65" s="554"/>
      <c r="T65" s="560">
        <v>750</v>
      </c>
      <c r="U65" s="560"/>
      <c r="V65" s="561">
        <f>S65*T65</f>
        <v>0</v>
      </c>
      <c r="W65" s="562"/>
      <c r="X65" s="554">
        <v>10</v>
      </c>
      <c r="Y65" s="560">
        <v>750</v>
      </c>
      <c r="Z65" s="560"/>
      <c r="AA65" s="561">
        <f>X65*Y65</f>
        <v>7500</v>
      </c>
      <c r="AB65" s="562"/>
      <c r="AC65" s="407"/>
    </row>
    <row r="66" spans="1:29" ht="26.4" hidden="1" customHeight="1">
      <c r="A66" s="522"/>
      <c r="B66" s="521" t="s">
        <v>127</v>
      </c>
      <c r="C66" s="580" t="s">
        <v>212</v>
      </c>
      <c r="D66" s="581"/>
      <c r="E66" s="582"/>
      <c r="F66" s="582"/>
      <c r="G66" s="582"/>
      <c r="H66" s="582"/>
      <c r="I66" s="581"/>
      <c r="J66" s="582"/>
      <c r="K66" s="582"/>
      <c r="L66" s="582"/>
      <c r="M66" s="582"/>
      <c r="N66" s="581"/>
      <c r="O66" s="582"/>
      <c r="P66" s="582"/>
      <c r="Q66" s="582"/>
      <c r="R66" s="582"/>
      <c r="S66" s="581"/>
      <c r="T66" s="582"/>
      <c r="U66" s="582"/>
      <c r="V66" s="582"/>
      <c r="W66" s="582"/>
      <c r="X66" s="581"/>
      <c r="Y66" s="582"/>
      <c r="Z66" s="582"/>
      <c r="AA66" s="582"/>
      <c r="AB66" s="582"/>
    </row>
    <row r="67" spans="1:29" ht="13.65" customHeight="1">
      <c r="A67" s="460"/>
      <c r="B67" s="682" t="s">
        <v>64</v>
      </c>
      <c r="C67" s="683"/>
      <c r="D67" s="683"/>
      <c r="E67" s="566"/>
      <c r="F67" s="567"/>
      <c r="G67" s="568">
        <f>SUM(G13:G66)</f>
        <v>314738.56000000006</v>
      </c>
      <c r="H67" s="569"/>
      <c r="I67" s="465"/>
      <c r="J67" s="566"/>
      <c r="K67" s="567"/>
      <c r="L67" s="568">
        <f>SUM(L13:L66)</f>
        <v>28153.279999999999</v>
      </c>
      <c r="M67" s="569"/>
      <c r="N67" s="465"/>
      <c r="O67" s="566"/>
      <c r="P67" s="567"/>
      <c r="Q67" s="568">
        <f>SUM(Q13:Q66)</f>
        <v>13984</v>
      </c>
      <c r="R67" s="569"/>
      <c r="S67" s="506"/>
      <c r="T67" s="566"/>
      <c r="U67" s="567"/>
      <c r="V67" s="568">
        <f>SUM(V13:V66)</f>
        <v>36648</v>
      </c>
      <c r="W67" s="569"/>
      <c r="X67" s="466"/>
      <c r="Y67" s="566"/>
      <c r="Z67" s="567"/>
      <c r="AA67" s="568">
        <f>SUM(AA13:AA66)</f>
        <v>56142.86</v>
      </c>
      <c r="AB67" s="569"/>
    </row>
    <row r="68" spans="1:29" ht="13.65" customHeight="1">
      <c r="A68" s="460"/>
      <c r="B68" s="682" t="s">
        <v>65</v>
      </c>
      <c r="C68" s="683"/>
      <c r="D68" s="683"/>
      <c r="E68" s="566"/>
      <c r="F68" s="567"/>
      <c r="G68" s="568"/>
      <c r="H68" s="569">
        <f>SUM(H13:H67)</f>
        <v>123276.38103685185</v>
      </c>
      <c r="I68" s="465"/>
      <c r="J68" s="566"/>
      <c r="K68" s="567"/>
      <c r="L68" s="568"/>
      <c r="M68" s="569">
        <f>SUM(M13:M67)</f>
        <v>14776.753260000001</v>
      </c>
      <c r="N68" s="465"/>
      <c r="O68" s="566"/>
      <c r="P68" s="567"/>
      <c r="Q68" s="568"/>
      <c r="R68" s="569">
        <f>SUM(R13:R67)</f>
        <v>1933.77</v>
      </c>
      <c r="S68" s="506"/>
      <c r="T68" s="566"/>
      <c r="U68" s="567"/>
      <c r="V68" s="568"/>
      <c r="W68" s="569">
        <f>SUM(W13:W67)</f>
        <v>5644.2330999999995</v>
      </c>
      <c r="X68" s="466"/>
      <c r="Y68" s="566"/>
      <c r="Z68" s="567"/>
      <c r="AA68" s="568"/>
      <c r="AB68" s="569">
        <f>SUM(AB13:AB67)</f>
        <v>18099.28</v>
      </c>
    </row>
    <row r="69" spans="1:29" ht="13.65" customHeight="1">
      <c r="A69" s="460"/>
      <c r="B69" s="682" t="s">
        <v>66</v>
      </c>
      <c r="C69" s="683"/>
      <c r="D69" s="683"/>
      <c r="E69" s="570">
        <v>0.1</v>
      </c>
      <c r="F69" s="567"/>
      <c r="G69" s="567"/>
      <c r="H69" s="566">
        <f>H68*E69</f>
        <v>12327.638103685185</v>
      </c>
      <c r="I69" s="465"/>
      <c r="J69" s="570">
        <v>0.1</v>
      </c>
      <c r="K69" s="567"/>
      <c r="L69" s="567"/>
      <c r="M69" s="566">
        <f>M68*J69</f>
        <v>1477.6753260000003</v>
      </c>
      <c r="N69" s="465"/>
      <c r="O69" s="570">
        <v>0.1</v>
      </c>
      <c r="P69" s="567"/>
      <c r="Q69" s="567"/>
      <c r="R69" s="566">
        <f>R68*O69</f>
        <v>193.37700000000001</v>
      </c>
      <c r="S69" s="506"/>
      <c r="T69" s="570">
        <v>0.1</v>
      </c>
      <c r="U69" s="567"/>
      <c r="V69" s="567"/>
      <c r="W69" s="566">
        <f>W68*T69</f>
        <v>564.42331000000001</v>
      </c>
      <c r="X69" s="466"/>
      <c r="Y69" s="570">
        <v>0.1</v>
      </c>
      <c r="Z69" s="567"/>
      <c r="AA69" s="567"/>
      <c r="AB69" s="566">
        <f>AB68*Y69</f>
        <v>1809.9279999999999</v>
      </c>
    </row>
    <row r="70" spans="1:29" ht="13.65" customHeight="1">
      <c r="A70" s="460"/>
      <c r="B70" s="682" t="s">
        <v>67</v>
      </c>
      <c r="C70" s="683"/>
      <c r="D70" s="683"/>
      <c r="E70" s="570">
        <v>0.1</v>
      </c>
      <c r="F70" s="567"/>
      <c r="G70" s="567">
        <f>G67*E70</f>
        <v>31473.856000000007</v>
      </c>
      <c r="H70" s="566"/>
      <c r="I70" s="465"/>
      <c r="J70" s="570">
        <v>0.1</v>
      </c>
      <c r="K70" s="567"/>
      <c r="L70" s="567">
        <f>L67*J70</f>
        <v>2815.328</v>
      </c>
      <c r="M70" s="566"/>
      <c r="N70" s="465"/>
      <c r="O70" s="570">
        <v>0.1</v>
      </c>
      <c r="P70" s="567"/>
      <c r="Q70" s="567">
        <f>Q67*O70</f>
        <v>1398.4</v>
      </c>
      <c r="R70" s="566"/>
      <c r="S70" s="506"/>
      <c r="T70" s="570">
        <v>0.1</v>
      </c>
      <c r="U70" s="567"/>
      <c r="V70" s="567">
        <f>V67*T70</f>
        <v>3664.8</v>
      </c>
      <c r="W70" s="566"/>
      <c r="X70" s="466"/>
      <c r="Y70" s="570">
        <v>0.1</v>
      </c>
      <c r="Z70" s="567"/>
      <c r="AA70" s="567">
        <f>AA67*Y70</f>
        <v>5614.2860000000001</v>
      </c>
      <c r="AB70" s="566"/>
    </row>
    <row r="71" spans="1:29" ht="13.65" customHeight="1">
      <c r="A71" s="460"/>
      <c r="B71" s="682" t="s">
        <v>68</v>
      </c>
      <c r="C71" s="683"/>
      <c r="D71" s="683"/>
      <c r="E71" s="571">
        <v>0.05</v>
      </c>
      <c r="F71" s="567"/>
      <c r="G71" s="567"/>
      <c r="H71" s="566">
        <f>H68*E71</f>
        <v>6163.8190518425927</v>
      </c>
      <c r="I71" s="465"/>
      <c r="J71" s="571">
        <v>0.05</v>
      </c>
      <c r="K71" s="567"/>
      <c r="L71" s="567"/>
      <c r="M71" s="566">
        <f>M68*J71</f>
        <v>738.83766300000013</v>
      </c>
      <c r="N71" s="465"/>
      <c r="O71" s="571">
        <v>0.05</v>
      </c>
      <c r="P71" s="567"/>
      <c r="Q71" s="567"/>
      <c r="R71" s="566">
        <f>R68*O71</f>
        <v>96.688500000000005</v>
      </c>
      <c r="S71" s="506"/>
      <c r="T71" s="571">
        <v>0.05</v>
      </c>
      <c r="U71" s="567"/>
      <c r="V71" s="567"/>
      <c r="W71" s="566">
        <f>W68*T71</f>
        <v>282.21165500000001</v>
      </c>
      <c r="X71" s="466"/>
      <c r="Y71" s="571">
        <v>0.05</v>
      </c>
      <c r="Z71" s="567"/>
      <c r="AA71" s="567"/>
      <c r="AB71" s="566">
        <f>AB68*Y71</f>
        <v>904.96399999999994</v>
      </c>
    </row>
    <row r="72" spans="1:29" ht="13.65" customHeight="1">
      <c r="A72" s="460"/>
      <c r="B72" s="684" t="s">
        <v>69</v>
      </c>
      <c r="C72" s="685"/>
      <c r="D72" s="685"/>
      <c r="E72" s="685"/>
      <c r="F72" s="685"/>
      <c r="G72" s="685"/>
      <c r="H72" s="572">
        <f>SUM(G67:G71,H67:H71)</f>
        <v>487980.25419237971</v>
      </c>
      <c r="I72" s="465"/>
      <c r="J72" s="465"/>
      <c r="K72" s="465"/>
      <c r="L72" s="465"/>
      <c r="M72" s="572">
        <f>SUM(L67:L71,M67:M71)</f>
        <v>47961.874249</v>
      </c>
      <c r="N72" s="465"/>
      <c r="O72" s="465"/>
      <c r="P72" s="465"/>
      <c r="Q72" s="465"/>
      <c r="R72" s="572">
        <f>SUM(Q67:Q71,R67:R71)</f>
        <v>17606.235499999999</v>
      </c>
      <c r="S72" s="506"/>
      <c r="T72" s="466"/>
      <c r="U72" s="466"/>
      <c r="V72" s="466"/>
      <c r="W72" s="572">
        <f>SUM(V67:V71,W67:W71)</f>
        <v>46803.668064999998</v>
      </c>
      <c r="X72" s="466"/>
      <c r="Y72" s="466"/>
      <c r="Z72" s="466"/>
      <c r="AA72" s="466"/>
      <c r="AB72" s="572">
        <f>SUM(AA67:AA71,AB67:AB71)</f>
        <v>82571.317999999999</v>
      </c>
    </row>
    <row r="73" spans="1:29" ht="13.65" customHeight="1">
      <c r="A73" s="460"/>
      <c r="B73" s="470" t="s">
        <v>213</v>
      </c>
      <c r="C73" s="471"/>
      <c r="D73" s="524"/>
      <c r="E73" s="524"/>
      <c r="F73" s="471"/>
      <c r="G73" s="573">
        <v>0.2</v>
      </c>
      <c r="H73" s="574">
        <f>(H68+H69+H71+G67+G70)/5</f>
        <v>97596.050838475945</v>
      </c>
      <c r="I73" s="524"/>
      <c r="J73" s="524"/>
      <c r="K73" s="471"/>
      <c r="L73" s="573">
        <v>0.2</v>
      </c>
      <c r="M73" s="574">
        <f>(M68+M69+M71+L67+L70)/5</f>
        <v>9592.3748498000004</v>
      </c>
      <c r="N73" s="524"/>
      <c r="O73" s="524"/>
      <c r="P73" s="471"/>
      <c r="Q73" s="573">
        <v>0.2</v>
      </c>
      <c r="R73" s="574">
        <f>(R68+R69+R71+Q67+Q70)/5</f>
        <v>3521.2471000000005</v>
      </c>
      <c r="S73" s="524"/>
      <c r="T73" s="524"/>
      <c r="U73" s="471"/>
      <c r="V73" s="573">
        <v>0.2</v>
      </c>
      <c r="W73" s="574">
        <f>(W68+W69+W71+V67+V70)/5</f>
        <v>9360.7336130000003</v>
      </c>
      <c r="X73" s="524"/>
      <c r="Y73" s="524"/>
      <c r="Z73" s="471"/>
      <c r="AA73" s="573">
        <v>0.2</v>
      </c>
      <c r="AB73" s="574">
        <f>(AB68+AB69+AB71+AA67+AA70)/5</f>
        <v>16514.263599999998</v>
      </c>
    </row>
    <row r="74" spans="1:29" s="409" customFormat="1" ht="13.65" customHeight="1">
      <c r="A74" s="460"/>
      <c r="B74" s="680" t="s">
        <v>71</v>
      </c>
      <c r="C74" s="681"/>
      <c r="D74" s="681"/>
      <c r="E74" s="681"/>
      <c r="F74" s="681"/>
      <c r="G74" s="681"/>
      <c r="H74" s="575">
        <f>SUM(H72:H73)</f>
        <v>585576.3050308557</v>
      </c>
      <c r="I74" s="465"/>
      <c r="J74" s="465"/>
      <c r="K74" s="465"/>
      <c r="L74" s="465"/>
      <c r="M74" s="575">
        <f>SUM(M72:M73)</f>
        <v>57554.249098799999</v>
      </c>
      <c r="N74" s="465"/>
      <c r="O74" s="465"/>
      <c r="P74" s="465"/>
      <c r="Q74" s="465"/>
      <c r="R74" s="575">
        <f>SUM(R72:R73)</f>
        <v>21127.482599999999</v>
      </c>
      <c r="S74" s="506"/>
      <c r="T74" s="466"/>
      <c r="U74" s="466"/>
      <c r="V74" s="466"/>
      <c r="W74" s="575">
        <f>SUM(W72:W73)</f>
        <v>56164.401677999995</v>
      </c>
      <c r="X74" s="466"/>
      <c r="Y74" s="466"/>
      <c r="Z74" s="466"/>
      <c r="AA74" s="466"/>
      <c r="AB74" s="575">
        <f>SUM(AB72:AB73)</f>
        <v>99085.581600000005</v>
      </c>
    </row>
    <row r="75" spans="1:29" s="409" customFormat="1" ht="13.5" customHeight="1">
      <c r="A75" s="238"/>
      <c r="B75" s="238"/>
      <c r="C75" s="238"/>
      <c r="D75" s="238"/>
      <c r="E75" s="238"/>
      <c r="F75" s="238"/>
      <c r="G75" s="238"/>
      <c r="H75" s="238"/>
      <c r="I75" s="238"/>
      <c r="J75" s="238"/>
      <c r="K75" s="238"/>
      <c r="L75" s="238"/>
      <c r="M75" s="238"/>
      <c r="N75" s="238"/>
      <c r="O75" s="238"/>
      <c r="P75" s="238"/>
      <c r="Q75" s="238"/>
      <c r="R75" s="238"/>
      <c r="S75" s="238"/>
      <c r="T75" s="238"/>
      <c r="U75" s="238"/>
      <c r="V75" s="238"/>
      <c r="W75" s="238"/>
      <c r="X75" s="238"/>
      <c r="Y75" s="238"/>
      <c r="Z75" s="238"/>
      <c r="AA75" s="238"/>
      <c r="AB75" s="238"/>
    </row>
    <row r="76" spans="1:29" s="409" customFormat="1" ht="12.75" customHeight="1">
      <c r="A76" s="411"/>
      <c r="B76" s="412" t="s">
        <v>129</v>
      </c>
      <c r="C76" s="413"/>
      <c r="D76" s="422"/>
      <c r="E76" s="422"/>
      <c r="F76" s="238"/>
      <c r="G76" s="238"/>
      <c r="H76" s="238"/>
      <c r="I76" s="422"/>
      <c r="J76" s="422"/>
      <c r="K76" s="238"/>
      <c r="L76" s="238"/>
      <c r="M76" s="238"/>
      <c r="N76" s="422"/>
      <c r="O76" s="422"/>
      <c r="P76" s="238"/>
      <c r="Q76" s="238"/>
      <c r="R76" s="238"/>
      <c r="S76" s="422"/>
      <c r="T76" s="422"/>
      <c r="U76" s="238"/>
      <c r="V76" s="238"/>
      <c r="W76" s="238"/>
      <c r="X76" s="422"/>
      <c r="Y76" s="422"/>
      <c r="Z76" s="238"/>
      <c r="AA76" s="238"/>
      <c r="AB76" s="238"/>
    </row>
    <row r="77" spans="1:29" s="409" customFormat="1" ht="13.65" customHeight="1">
      <c r="A77" s="411"/>
      <c r="B77" s="416" t="s">
        <v>130</v>
      </c>
      <c r="C77" s="413"/>
      <c r="D77" s="422"/>
      <c r="E77" s="238"/>
      <c r="F77" s="238"/>
      <c r="G77" s="238"/>
      <c r="H77" s="238"/>
      <c r="I77" s="422"/>
      <c r="J77" s="238"/>
      <c r="K77" s="238"/>
      <c r="L77" s="238"/>
      <c r="M77" s="238"/>
      <c r="N77" s="422"/>
      <c r="O77" s="238"/>
      <c r="P77" s="238"/>
      <c r="Q77" s="238"/>
      <c r="R77" s="238"/>
      <c r="S77" s="422"/>
      <c r="T77" s="238"/>
      <c r="U77" s="238"/>
      <c r="V77" s="238"/>
      <c r="W77" s="238"/>
      <c r="X77" s="422"/>
      <c r="Y77" s="238"/>
      <c r="Z77" s="238"/>
      <c r="AA77" s="238"/>
      <c r="AB77" s="238"/>
    </row>
    <row r="78" spans="1:29" s="409" customFormat="1" ht="12.75" customHeight="1">
      <c r="A78" s="411"/>
      <c r="B78" s="416" t="s">
        <v>131</v>
      </c>
      <c r="C78" s="416" t="s">
        <v>132</v>
      </c>
      <c r="D78" s="422"/>
      <c r="E78" s="413"/>
      <c r="F78" s="238"/>
      <c r="G78" s="238"/>
      <c r="H78" s="238"/>
      <c r="I78" s="422"/>
      <c r="J78" s="413"/>
      <c r="K78" s="238"/>
      <c r="L78" s="238"/>
      <c r="M78" s="238"/>
      <c r="N78" s="422"/>
      <c r="O78" s="413"/>
      <c r="P78" s="238"/>
      <c r="Q78" s="238"/>
      <c r="R78" s="238"/>
      <c r="S78" s="422"/>
      <c r="T78" s="413"/>
      <c r="U78" s="238"/>
      <c r="V78" s="238"/>
      <c r="W78" s="238"/>
      <c r="X78" s="422"/>
      <c r="Y78" s="413"/>
      <c r="Z78" s="238"/>
      <c r="AA78" s="238"/>
      <c r="AB78" s="238"/>
    </row>
    <row r="79" spans="1:29" s="409" customFormat="1" ht="13.2" customHeight="1">
      <c r="A79" s="411"/>
      <c r="B79" s="419"/>
      <c r="C79" s="413"/>
      <c r="D79" s="422"/>
      <c r="E79" s="413"/>
      <c r="F79" s="238"/>
      <c r="G79" s="238"/>
      <c r="H79" s="238"/>
      <c r="I79" s="422"/>
      <c r="J79" s="413"/>
      <c r="K79" s="238"/>
      <c r="L79" s="238"/>
      <c r="M79" s="238"/>
      <c r="N79" s="422"/>
      <c r="O79" s="413"/>
      <c r="P79" s="238"/>
      <c r="Q79" s="238"/>
      <c r="R79" s="238"/>
      <c r="S79" s="422"/>
      <c r="T79" s="413"/>
      <c r="U79" s="238"/>
      <c r="V79" s="238"/>
      <c r="W79" s="238"/>
      <c r="X79" s="422"/>
      <c r="Y79" s="413"/>
      <c r="Z79" s="238"/>
      <c r="AA79" s="238"/>
      <c r="AB79" s="238"/>
    </row>
    <row r="80" spans="1:29" s="409" customFormat="1" ht="13.2" customHeight="1">
      <c r="A80" s="411"/>
      <c r="B80" s="419"/>
      <c r="C80" s="413"/>
      <c r="D80" s="422"/>
      <c r="E80" s="413"/>
      <c r="F80" s="238"/>
      <c r="G80" s="238"/>
      <c r="H80" s="238"/>
      <c r="I80" s="422"/>
      <c r="J80" s="413"/>
      <c r="K80" s="238"/>
      <c r="L80" s="238"/>
      <c r="M80" s="238"/>
      <c r="N80" s="422"/>
      <c r="O80" s="413"/>
      <c r="P80" s="238"/>
      <c r="Q80" s="238"/>
      <c r="R80" s="238"/>
      <c r="S80" s="422"/>
      <c r="T80" s="413"/>
      <c r="U80" s="238"/>
      <c r="V80" s="238"/>
      <c r="W80" s="238"/>
      <c r="X80" s="422"/>
      <c r="Y80" s="413"/>
      <c r="Z80" s="238"/>
      <c r="AA80" s="238"/>
      <c r="AB80" s="238"/>
    </row>
    <row r="81" spans="1:28" s="409" customFormat="1" ht="13.2" customHeight="1">
      <c r="A81" s="421"/>
      <c r="B81" s="422"/>
      <c r="C81" s="422"/>
      <c r="D81" s="422"/>
      <c r="E81" s="422"/>
      <c r="F81" s="238"/>
      <c r="G81" s="238"/>
      <c r="H81" s="238"/>
      <c r="I81" s="422"/>
      <c r="J81" s="422"/>
      <c r="K81" s="238"/>
      <c r="L81" s="238"/>
      <c r="M81" s="238"/>
      <c r="N81" s="422"/>
      <c r="O81" s="422"/>
      <c r="P81" s="238"/>
      <c r="Q81" s="238"/>
      <c r="R81" s="238"/>
      <c r="S81" s="422"/>
      <c r="T81" s="422"/>
      <c r="U81" s="238"/>
      <c r="V81" s="238"/>
      <c r="W81" s="238"/>
      <c r="X81" s="422"/>
      <c r="Y81" s="422"/>
      <c r="Z81" s="238"/>
      <c r="AA81" s="238"/>
      <c r="AB81" s="238"/>
    </row>
    <row r="82" spans="1:28" s="409" customFormat="1" ht="12.75" customHeight="1">
      <c r="A82" s="421"/>
      <c r="B82" s="412" t="s">
        <v>133</v>
      </c>
      <c r="C82" s="422"/>
      <c r="D82" s="422"/>
      <c r="E82" s="422"/>
      <c r="F82" s="238"/>
      <c r="G82" s="238"/>
      <c r="H82" s="238"/>
      <c r="I82" s="422"/>
      <c r="J82" s="422"/>
      <c r="K82" s="238"/>
      <c r="L82" s="238"/>
      <c r="M82" s="238"/>
      <c r="N82" s="422"/>
      <c r="O82" s="422"/>
      <c r="P82" s="238"/>
      <c r="Q82" s="238"/>
      <c r="R82" s="238"/>
      <c r="S82" s="422"/>
      <c r="T82" s="422"/>
      <c r="U82" s="238"/>
      <c r="V82" s="238"/>
      <c r="W82" s="238"/>
      <c r="X82" s="422"/>
      <c r="Y82" s="422"/>
      <c r="Z82" s="238"/>
      <c r="AA82" s="238"/>
      <c r="AB82" s="238"/>
    </row>
    <row r="83" spans="1:28" s="409" customFormat="1" ht="13.65" customHeight="1">
      <c r="A83" s="238"/>
      <c r="B83" s="416" t="s">
        <v>134</v>
      </c>
      <c r="C83" s="423" t="str">
        <f>C78</f>
        <v>_________________________     2021 р.</v>
      </c>
      <c r="D83" s="422"/>
      <c r="E83" s="238"/>
      <c r="F83" s="238"/>
      <c r="G83" s="238"/>
      <c r="H83" s="238"/>
      <c r="I83" s="422"/>
      <c r="J83" s="238"/>
      <c r="K83" s="238"/>
      <c r="L83" s="238"/>
      <c r="M83" s="238"/>
      <c r="N83" s="422"/>
      <c r="O83" s="238"/>
      <c r="P83" s="238"/>
      <c r="Q83" s="238"/>
      <c r="R83" s="238"/>
      <c r="S83" s="422"/>
      <c r="T83" s="238"/>
      <c r="U83" s="238"/>
      <c r="V83" s="238"/>
      <c r="W83" s="238"/>
      <c r="X83" s="422"/>
      <c r="Y83" s="238"/>
      <c r="Z83" s="238"/>
      <c r="AA83" s="238"/>
      <c r="AB83" s="238"/>
    </row>
    <row r="84" spans="1:28" s="409" customFormat="1" ht="12.75" customHeight="1">
      <c r="A84" s="238"/>
      <c r="B84" s="413"/>
      <c r="C84" s="413"/>
      <c r="D84" s="422"/>
      <c r="E84" s="413"/>
      <c r="F84" s="480"/>
      <c r="G84" s="238"/>
      <c r="H84" s="238"/>
      <c r="I84" s="422"/>
      <c r="J84" s="413"/>
      <c r="K84" s="480"/>
      <c r="L84" s="238"/>
      <c r="M84" s="238"/>
      <c r="N84" s="422"/>
      <c r="O84" s="413"/>
      <c r="P84" s="480"/>
      <c r="Q84" s="238"/>
      <c r="R84" s="238"/>
      <c r="S84" s="422"/>
      <c r="T84" s="413"/>
      <c r="U84" s="480"/>
      <c r="V84" s="238"/>
      <c r="W84" s="238"/>
      <c r="X84" s="422"/>
      <c r="Y84" s="413"/>
      <c r="Z84" s="480"/>
      <c r="AA84" s="238"/>
      <c r="AB84" s="238"/>
    </row>
    <row r="85" spans="1:28" s="409" customFormat="1" ht="13.5" customHeight="1">
      <c r="A85" s="424"/>
      <c r="B85" s="424"/>
      <c r="C85" s="424"/>
      <c r="D85" s="424"/>
      <c r="E85" s="424"/>
      <c r="F85" s="424"/>
      <c r="G85" s="424"/>
      <c r="H85" s="424"/>
      <c r="I85" s="424"/>
      <c r="J85" s="424"/>
      <c r="K85" s="424"/>
      <c r="L85" s="424"/>
      <c r="M85" s="424"/>
      <c r="N85" s="424"/>
      <c r="O85" s="424"/>
      <c r="P85" s="424"/>
      <c r="Q85" s="424"/>
      <c r="R85" s="424"/>
      <c r="S85" s="424"/>
      <c r="T85" s="424"/>
      <c r="U85" s="424"/>
      <c r="V85" s="424"/>
      <c r="W85" s="424"/>
      <c r="X85" s="424"/>
      <c r="Y85" s="424"/>
      <c r="Z85" s="424"/>
      <c r="AA85" s="424"/>
      <c r="AB85" s="424"/>
    </row>
    <row r="86" spans="1:28" s="409" customFormat="1" ht="13.5" customHeight="1">
      <c r="A86" s="424"/>
      <c r="B86" s="424"/>
      <c r="C86" s="424"/>
      <c r="D86" s="424"/>
      <c r="E86" s="424"/>
      <c r="F86" s="424"/>
      <c r="G86" s="424"/>
      <c r="H86" s="424"/>
      <c r="I86" s="424"/>
      <c r="J86" s="424"/>
      <c r="K86" s="424"/>
      <c r="L86" s="424"/>
      <c r="M86" s="424"/>
      <c r="N86" s="424"/>
      <c r="O86" s="424"/>
      <c r="P86" s="424"/>
      <c r="Q86" s="424"/>
      <c r="R86" s="424"/>
      <c r="S86" s="424"/>
      <c r="T86" s="424"/>
      <c r="U86" s="424"/>
      <c r="V86" s="424"/>
      <c r="W86" s="424"/>
      <c r="X86" s="424"/>
      <c r="Y86" s="424"/>
      <c r="Z86" s="424"/>
      <c r="AA86" s="424"/>
      <c r="AB86" s="424"/>
    </row>
    <row r="87" spans="1:28" s="409" customFormat="1" ht="13.5" customHeight="1">
      <c r="A87" s="238"/>
      <c r="B87" s="238"/>
      <c r="C87" s="238"/>
      <c r="D87" s="238"/>
      <c r="E87" s="238"/>
      <c r="F87" s="238"/>
      <c r="G87" s="238"/>
      <c r="H87" s="238"/>
      <c r="I87" s="238"/>
      <c r="J87" s="238"/>
      <c r="K87" s="238"/>
      <c r="L87" s="238"/>
      <c r="M87" s="238"/>
      <c r="N87" s="238"/>
      <c r="O87" s="238"/>
      <c r="P87" s="238"/>
      <c r="Q87" s="238"/>
      <c r="R87" s="238"/>
      <c r="S87" s="238"/>
      <c r="T87" s="238"/>
      <c r="U87" s="238"/>
      <c r="V87" s="238"/>
      <c r="W87" s="238"/>
      <c r="X87" s="238"/>
      <c r="Y87" s="238"/>
      <c r="Z87" s="238"/>
      <c r="AA87" s="238"/>
      <c r="AB87" s="238"/>
    </row>
    <row r="88" spans="1:28" s="409" customFormat="1" ht="13.5" customHeight="1">
      <c r="A88" s="238"/>
      <c r="B88" s="238"/>
      <c r="C88" s="238"/>
      <c r="D88" s="238"/>
      <c r="E88" s="238"/>
      <c r="F88" s="238"/>
      <c r="G88" s="238"/>
      <c r="H88" s="238"/>
      <c r="I88" s="238"/>
      <c r="J88" s="238"/>
      <c r="K88" s="238"/>
      <c r="L88" s="238"/>
      <c r="M88" s="238"/>
      <c r="N88" s="238"/>
      <c r="O88" s="238"/>
      <c r="P88" s="238"/>
      <c r="Q88" s="238"/>
      <c r="R88" s="238"/>
      <c r="S88" s="238"/>
      <c r="T88" s="238"/>
      <c r="U88" s="238"/>
      <c r="V88" s="238"/>
      <c r="W88" s="238"/>
      <c r="X88" s="238"/>
      <c r="Y88" s="238"/>
      <c r="Z88" s="238"/>
      <c r="AA88" s="238"/>
      <c r="AB88" s="238"/>
    </row>
    <row r="89" spans="1:28" s="409" customFormat="1" ht="13.5" customHeight="1">
      <c r="A89" s="424"/>
      <c r="B89" s="424"/>
      <c r="C89" s="424"/>
      <c r="D89" s="424"/>
      <c r="E89" s="424"/>
      <c r="F89" s="424"/>
      <c r="G89" s="424"/>
      <c r="H89" s="424"/>
      <c r="I89" s="424"/>
      <c r="J89" s="424"/>
      <c r="K89" s="424"/>
      <c r="L89" s="424"/>
      <c r="M89" s="424"/>
      <c r="N89" s="424"/>
      <c r="O89" s="424"/>
      <c r="P89" s="424"/>
      <c r="Q89" s="424"/>
      <c r="R89" s="424"/>
      <c r="S89" s="424"/>
      <c r="T89" s="424"/>
      <c r="U89" s="424"/>
      <c r="V89" s="424"/>
      <c r="W89" s="424"/>
      <c r="X89" s="424"/>
      <c r="Y89" s="424"/>
      <c r="Z89" s="424"/>
      <c r="AA89" s="424"/>
      <c r="AB89" s="424"/>
    </row>
    <row r="90" spans="1:28" s="409" customFormat="1" ht="13.5" customHeight="1">
      <c r="A90" s="424"/>
      <c r="B90" s="424"/>
      <c r="C90" s="424"/>
      <c r="D90" s="424"/>
      <c r="E90" s="424"/>
      <c r="F90" s="424"/>
      <c r="G90" s="424"/>
      <c r="H90" s="424"/>
      <c r="I90" s="424"/>
      <c r="J90" s="424"/>
      <c r="K90" s="424"/>
      <c r="L90" s="424"/>
      <c r="M90" s="424"/>
      <c r="N90" s="424"/>
      <c r="O90" s="424"/>
      <c r="P90" s="424"/>
      <c r="Q90" s="424"/>
      <c r="R90" s="424"/>
      <c r="S90" s="424"/>
      <c r="T90" s="424"/>
      <c r="U90" s="424"/>
      <c r="V90" s="424"/>
      <c r="W90" s="424"/>
      <c r="X90" s="424"/>
      <c r="Y90" s="424"/>
      <c r="Z90" s="424"/>
      <c r="AA90" s="424"/>
      <c r="AB90" s="424"/>
    </row>
  </sheetData>
  <mergeCells count="21">
    <mergeCell ref="Z8:AB8"/>
    <mergeCell ref="A1:Y1"/>
    <mergeCell ref="A2:X2"/>
    <mergeCell ref="A5:X5"/>
    <mergeCell ref="U8:W8"/>
    <mergeCell ref="A4:D4"/>
    <mergeCell ref="F8:H8"/>
    <mergeCell ref="K8:M8"/>
    <mergeCell ref="P8:R8"/>
    <mergeCell ref="N12:R12"/>
    <mergeCell ref="B74:G74"/>
    <mergeCell ref="B68:D68"/>
    <mergeCell ref="B69:D69"/>
    <mergeCell ref="B70:D70"/>
    <mergeCell ref="B71:D71"/>
    <mergeCell ref="B72:G72"/>
    <mergeCell ref="A10:H10"/>
    <mergeCell ref="A11:H11"/>
    <mergeCell ref="I12:M12"/>
    <mergeCell ref="B67:D67"/>
    <mergeCell ref="A9:H9"/>
  </mergeCells>
  <pageMargins left="0.70866141732283472" right="0.70866141732283472" top="0.74803149606299213" bottom="0.74803149606299213" header="0.31496062992125984" footer="0.31496062992125984"/>
  <pageSetup scale="76" orientation="portrait" r:id="rId1"/>
  <headerFooter>
    <oddFooter>&amp;C&amp;"Helvetica Neue,Regular"&amp;12&amp;K000000&amp;P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23"/>
  <sheetViews>
    <sheetView showGridLines="0" topLeftCell="A41" workbookViewId="0">
      <selection activeCell="G25" sqref="G25"/>
    </sheetView>
  </sheetViews>
  <sheetFormatPr defaultColWidth="8.88671875" defaultRowHeight="15" customHeight="1"/>
  <cols>
    <col min="1" max="1" width="9.109375" style="5" customWidth="1"/>
    <col min="2" max="2" width="40.88671875" style="5" customWidth="1"/>
    <col min="3" max="3" width="9.109375" style="5" customWidth="1"/>
    <col min="4" max="4" width="10.6640625" style="5" customWidth="1"/>
    <col min="5" max="5" width="11" style="5" customWidth="1"/>
    <col min="6" max="6" width="11.109375" style="5" customWidth="1"/>
    <col min="7" max="7" width="11.88671875" style="5" customWidth="1"/>
    <col min="8" max="8" width="10.88671875" style="5" customWidth="1"/>
    <col min="9" max="9" width="10.6640625" style="5" customWidth="1"/>
    <col min="10" max="10" width="11" style="5" customWidth="1"/>
    <col min="11" max="11" width="11.109375" style="5" customWidth="1"/>
    <col min="12" max="12" width="11.88671875" style="5" customWidth="1"/>
    <col min="13" max="13" width="10.88671875" style="5" customWidth="1"/>
    <col min="14" max="14" width="8.88671875" style="5" customWidth="1"/>
    <col min="15" max="16384" width="8.88671875" style="5"/>
  </cols>
  <sheetData>
    <row r="1" spans="1:13" ht="16.649999999999999" customHeight="1">
      <c r="A1" s="80" t="s">
        <v>73</v>
      </c>
      <c r="B1" s="81"/>
      <c r="C1" s="82"/>
      <c r="D1" s="83"/>
      <c r="E1" s="84"/>
      <c r="F1" s="85"/>
      <c r="G1" s="85"/>
      <c r="H1" s="85"/>
      <c r="I1" s="83"/>
      <c r="J1" s="84"/>
      <c r="K1" s="85"/>
      <c r="L1" s="85"/>
      <c r="M1" s="85"/>
    </row>
    <row r="2" spans="1:13" ht="16.649999999999999" customHeight="1">
      <c r="A2" s="80" t="s">
        <v>74</v>
      </c>
      <c r="B2" s="81"/>
      <c r="C2" s="82"/>
      <c r="D2" s="83"/>
      <c r="E2" s="83"/>
      <c r="F2" s="85"/>
      <c r="G2" s="85"/>
      <c r="H2" s="85"/>
      <c r="I2" s="83"/>
      <c r="J2" s="83"/>
      <c r="K2" s="85"/>
      <c r="L2" s="85"/>
      <c r="M2" s="85"/>
    </row>
    <row r="3" spans="1:13" ht="16.649999999999999" customHeight="1">
      <c r="A3" s="81"/>
      <c r="B3" s="81"/>
      <c r="C3" s="82"/>
      <c r="D3" s="83"/>
      <c r="E3" s="83"/>
      <c r="F3" s="85"/>
      <c r="G3" s="85"/>
      <c r="H3" s="85"/>
      <c r="I3" s="83"/>
      <c r="J3" s="83"/>
      <c r="K3" s="85"/>
      <c r="L3" s="85"/>
      <c r="M3" s="85"/>
    </row>
    <row r="4" spans="1:13" ht="16.649999999999999" customHeight="1">
      <c r="A4" s="734" t="s">
        <v>75</v>
      </c>
      <c r="B4" s="735"/>
      <c r="C4" s="735"/>
      <c r="D4" s="735"/>
      <c r="E4" s="86"/>
      <c r="F4" s="85"/>
      <c r="G4" s="85"/>
      <c r="H4" s="85"/>
      <c r="I4" s="6"/>
      <c r="J4" s="86"/>
      <c r="K4" s="85"/>
      <c r="L4" s="85"/>
      <c r="M4" s="85"/>
    </row>
    <row r="5" spans="1:13" ht="16.649999999999999" customHeight="1">
      <c r="A5" s="80" t="s">
        <v>76</v>
      </c>
      <c r="B5" s="87"/>
      <c r="C5" s="88"/>
      <c r="D5" s="86"/>
      <c r="E5" s="86"/>
      <c r="F5" s="85"/>
      <c r="G5" s="85"/>
      <c r="H5" s="85"/>
      <c r="I5" s="86"/>
      <c r="J5" s="86"/>
      <c r="K5" s="85"/>
      <c r="L5" s="85"/>
      <c r="M5" s="85"/>
    </row>
    <row r="6" spans="1:13" ht="15.6" customHeight="1">
      <c r="A6" s="81"/>
      <c r="B6" s="87"/>
      <c r="C6" s="88"/>
      <c r="D6" s="86"/>
      <c r="E6" s="86"/>
      <c r="F6" s="85"/>
      <c r="G6" s="85"/>
      <c r="H6" s="85"/>
      <c r="I6" s="86"/>
      <c r="J6" s="86"/>
      <c r="K6" s="85"/>
      <c r="L6" s="85"/>
      <c r="M6" s="85"/>
    </row>
    <row r="7" spans="1:13" ht="16.649999999999999" customHeight="1">
      <c r="A7" s="734" t="s">
        <v>77</v>
      </c>
      <c r="B7" s="735"/>
      <c r="C7" s="735"/>
      <c r="D7" s="735"/>
      <c r="E7" s="83"/>
      <c r="F7" s="85"/>
      <c r="G7" s="85"/>
      <c r="H7" s="85"/>
      <c r="I7" s="6"/>
      <c r="J7" s="83"/>
      <c r="K7" s="85"/>
      <c r="L7" s="85"/>
      <c r="M7" s="85"/>
    </row>
    <row r="8" spans="1:13" ht="12.75" customHeight="1">
      <c r="A8" s="89"/>
      <c r="B8" s="6"/>
      <c r="C8" s="6"/>
      <c r="D8" s="90"/>
      <c r="E8" s="91"/>
      <c r="F8" s="720" t="s">
        <v>314</v>
      </c>
      <c r="G8" s="721"/>
      <c r="H8" s="721"/>
      <c r="I8" s="90"/>
      <c r="J8" s="91"/>
      <c r="K8" s="720" t="s">
        <v>314</v>
      </c>
      <c r="L8" s="721"/>
      <c r="M8" s="721"/>
    </row>
    <row r="9" spans="1:13" ht="15.75" customHeight="1">
      <c r="A9" s="667" t="s">
        <v>350</v>
      </c>
      <c r="B9" s="668"/>
      <c r="C9" s="668"/>
      <c r="D9" s="668"/>
      <c r="E9" s="668"/>
      <c r="F9" s="668"/>
      <c r="G9" s="668"/>
      <c r="H9" s="668"/>
      <c r="I9" s="668"/>
      <c r="J9" s="668"/>
      <c r="K9" s="668"/>
      <c r="L9" s="668"/>
      <c r="M9" s="668"/>
    </row>
    <row r="10" spans="1:13" ht="15.75" customHeight="1">
      <c r="A10" s="667" t="s">
        <v>78</v>
      </c>
      <c r="B10" s="668"/>
      <c r="C10" s="668"/>
      <c r="D10" s="668"/>
      <c r="E10" s="668"/>
      <c r="F10" s="668"/>
      <c r="G10" s="668"/>
      <c r="H10" s="668"/>
      <c r="I10" s="668"/>
      <c r="J10" s="668"/>
      <c r="K10" s="668"/>
      <c r="L10" s="668"/>
      <c r="M10" s="92"/>
    </row>
    <row r="11" spans="1:13" ht="15.75" customHeight="1">
      <c r="A11" s="667" t="s">
        <v>79</v>
      </c>
      <c r="B11" s="668"/>
      <c r="C11" s="668"/>
      <c r="D11" s="668"/>
      <c r="E11" s="668"/>
      <c r="F11" s="668"/>
      <c r="G11" s="668"/>
      <c r="H11" s="668"/>
      <c r="I11" s="668"/>
      <c r="J11" s="668"/>
      <c r="K11" s="668"/>
      <c r="L11" s="668"/>
      <c r="M11" s="92"/>
    </row>
    <row r="12" spans="1:13" ht="15.75" customHeight="1">
      <c r="A12" s="94"/>
      <c r="B12" s="95"/>
      <c r="C12" s="95"/>
      <c r="D12" s="96"/>
      <c r="E12" s="97"/>
      <c r="F12" s="98"/>
      <c r="G12" s="98"/>
      <c r="H12" s="97"/>
      <c r="I12" s="718" t="s">
        <v>351</v>
      </c>
      <c r="J12" s="719"/>
      <c r="K12" s="719"/>
      <c r="L12" s="719"/>
      <c r="M12" s="719"/>
    </row>
    <row r="13" spans="1:13" ht="36" customHeight="1">
      <c r="A13" s="99" t="s">
        <v>9</v>
      </c>
      <c r="B13" s="100" t="s">
        <v>10</v>
      </c>
      <c r="C13" s="100" t="s">
        <v>11</v>
      </c>
      <c r="D13" s="101" t="s">
        <v>12</v>
      </c>
      <c r="E13" s="101" t="s">
        <v>13</v>
      </c>
      <c r="F13" s="101" t="s">
        <v>14</v>
      </c>
      <c r="G13" s="101" t="s">
        <v>15</v>
      </c>
      <c r="H13" s="101" t="s">
        <v>16</v>
      </c>
      <c r="I13" s="101" t="s">
        <v>12</v>
      </c>
      <c r="J13" s="101" t="s">
        <v>13</v>
      </c>
      <c r="K13" s="101" t="s">
        <v>14</v>
      </c>
      <c r="L13" s="101" t="s">
        <v>15</v>
      </c>
      <c r="M13" s="102" t="s">
        <v>16</v>
      </c>
    </row>
    <row r="14" spans="1:13" ht="31.5" customHeight="1">
      <c r="A14" s="103"/>
      <c r="B14" s="344" t="s">
        <v>352</v>
      </c>
      <c r="C14" s="107"/>
      <c r="D14" s="108"/>
      <c r="E14" s="108"/>
      <c r="F14" s="108"/>
      <c r="G14" s="108"/>
      <c r="H14" s="109"/>
      <c r="I14" s="107"/>
      <c r="J14" s="108"/>
      <c r="K14" s="108"/>
      <c r="L14" s="108"/>
      <c r="M14" s="109"/>
    </row>
    <row r="15" spans="1:13" ht="15.75" customHeight="1">
      <c r="A15" s="103"/>
      <c r="B15" s="110" t="s">
        <v>353</v>
      </c>
      <c r="C15" s="111" t="s">
        <v>40</v>
      </c>
      <c r="D15" s="106">
        <f>(D16*12.12+D17*4.2+0.01)/1000</f>
        <v>9.7930000000000003E-2</v>
      </c>
      <c r="E15" s="107">
        <f t="shared" ref="E15:J15" si="0">28000*1.2</f>
        <v>33600</v>
      </c>
      <c r="F15" s="108"/>
      <c r="G15" s="108">
        <f>D15*E15</f>
        <v>3290.4480000000003</v>
      </c>
      <c r="H15" s="109"/>
      <c r="I15" s="106">
        <f>(I16*12.12+I17*4.2+0.01)/1000</f>
        <v>0.19585</v>
      </c>
      <c r="J15" s="107">
        <f t="shared" si="0"/>
        <v>33600</v>
      </c>
      <c r="K15" s="108"/>
      <c r="L15" s="108">
        <f>I15*J15</f>
        <v>6580.5599999999995</v>
      </c>
      <c r="M15" s="109"/>
    </row>
    <row r="16" spans="1:13" ht="15.75" customHeight="1">
      <c r="A16" s="103"/>
      <c r="B16" s="113" t="s">
        <v>317</v>
      </c>
      <c r="C16" s="111" t="s">
        <v>27</v>
      </c>
      <c r="D16" s="106">
        <v>6</v>
      </c>
      <c r="E16" s="107"/>
      <c r="F16" s="108">
        <v>402.47</v>
      </c>
      <c r="G16" s="108"/>
      <c r="H16" s="109">
        <f>D16*F16</f>
        <v>2414.8200000000002</v>
      </c>
      <c r="I16" s="106">
        <v>12</v>
      </c>
      <c r="J16" s="107"/>
      <c r="K16" s="108">
        <v>402.47</v>
      </c>
      <c r="L16" s="108"/>
      <c r="M16" s="109">
        <f>I16*K16</f>
        <v>4829.6400000000003</v>
      </c>
    </row>
    <row r="17" spans="1:13" ht="15.75" customHeight="1">
      <c r="A17" s="103"/>
      <c r="B17" s="113" t="s">
        <v>325</v>
      </c>
      <c r="C17" s="111" t="s">
        <v>27</v>
      </c>
      <c r="D17" s="106">
        <v>6</v>
      </c>
      <c r="E17" s="107"/>
      <c r="F17" s="108">
        <v>146.33000000000001</v>
      </c>
      <c r="G17" s="108"/>
      <c r="H17" s="109">
        <f>D17*F17</f>
        <v>877.98</v>
      </c>
      <c r="I17" s="106">
        <v>12</v>
      </c>
      <c r="J17" s="107"/>
      <c r="K17" s="108">
        <v>146.33000000000001</v>
      </c>
      <c r="L17" s="108"/>
      <c r="M17" s="109">
        <f>I17*K17</f>
        <v>1755.96</v>
      </c>
    </row>
    <row r="18" spans="1:13" ht="15.75" customHeight="1">
      <c r="A18" s="103"/>
      <c r="B18" s="113" t="s">
        <v>86</v>
      </c>
      <c r="C18" s="111" t="s">
        <v>21</v>
      </c>
      <c r="D18" s="106">
        <v>4</v>
      </c>
      <c r="E18" s="107"/>
      <c r="F18" s="108">
        <v>42.96</v>
      </c>
      <c r="G18" s="108"/>
      <c r="H18" s="109">
        <f>D18*F18</f>
        <v>171.84</v>
      </c>
      <c r="I18" s="106"/>
      <c r="J18" s="107"/>
      <c r="K18" s="108">
        <v>42.96</v>
      </c>
      <c r="L18" s="108"/>
      <c r="M18" s="109">
        <f>I18*K18</f>
        <v>0</v>
      </c>
    </row>
    <row r="19" spans="1:13" ht="15.75" customHeight="1">
      <c r="A19" s="103"/>
      <c r="B19" s="113" t="s">
        <v>87</v>
      </c>
      <c r="C19" s="111" t="s">
        <v>88</v>
      </c>
      <c r="D19" s="106">
        <v>2</v>
      </c>
      <c r="E19" s="107"/>
      <c r="F19" s="108">
        <v>89.19</v>
      </c>
      <c r="G19" s="108"/>
      <c r="H19" s="109">
        <f>D19*F19</f>
        <v>178.38</v>
      </c>
      <c r="I19" s="106">
        <v>2.5</v>
      </c>
      <c r="J19" s="107"/>
      <c r="K19" s="108">
        <v>89.19</v>
      </c>
      <c r="L19" s="108"/>
      <c r="M19" s="109">
        <f>I19*K19</f>
        <v>222.97499999999999</v>
      </c>
    </row>
    <row r="20" spans="1:13" ht="15.75" customHeight="1">
      <c r="A20" s="103"/>
      <c r="B20" s="113" t="s">
        <v>89</v>
      </c>
      <c r="C20" s="111" t="s">
        <v>21</v>
      </c>
      <c r="D20" s="106">
        <v>2</v>
      </c>
      <c r="E20" s="107"/>
      <c r="F20" s="108">
        <v>42.16</v>
      </c>
      <c r="G20" s="108"/>
      <c r="H20" s="109">
        <f>D20*F20</f>
        <v>84.32</v>
      </c>
      <c r="I20" s="106">
        <v>3</v>
      </c>
      <c r="J20" s="107"/>
      <c r="K20" s="108">
        <v>42.16</v>
      </c>
      <c r="L20" s="108"/>
      <c r="M20" s="109">
        <f>I20*K20</f>
        <v>126.47999999999999</v>
      </c>
    </row>
    <row r="21" spans="1:13" ht="15.75" customHeight="1">
      <c r="A21" s="103"/>
      <c r="B21" s="114" t="s">
        <v>322</v>
      </c>
      <c r="C21" s="111" t="s">
        <v>37</v>
      </c>
      <c r="D21" s="106">
        <f>D16*0.4+D17*0.16</f>
        <v>3.3600000000000003</v>
      </c>
      <c r="E21" s="107">
        <v>80</v>
      </c>
      <c r="F21" s="108"/>
      <c r="G21" s="108">
        <f>D21*E21</f>
        <v>268.8</v>
      </c>
      <c r="H21" s="109"/>
      <c r="I21" s="106">
        <f>I16*0.4+I17*0.16</f>
        <v>6.7200000000000006</v>
      </c>
      <c r="J21" s="107">
        <v>80</v>
      </c>
      <c r="K21" s="108"/>
      <c r="L21" s="108">
        <f>I21*J21</f>
        <v>537.6</v>
      </c>
      <c r="M21" s="109"/>
    </row>
    <row r="22" spans="1:13" ht="15.75" customHeight="1">
      <c r="A22" s="103"/>
      <c r="B22" s="113" t="s">
        <v>91</v>
      </c>
      <c r="C22" s="111" t="s">
        <v>92</v>
      </c>
      <c r="D22" s="106">
        <f>D21*0.3</f>
        <v>1.008</v>
      </c>
      <c r="E22" s="107"/>
      <c r="F22" s="108">
        <v>56</v>
      </c>
      <c r="G22" s="108"/>
      <c r="H22" s="109">
        <f>D22*F22</f>
        <v>56.448</v>
      </c>
      <c r="I22" s="106">
        <v>1.34</v>
      </c>
      <c r="J22" s="107"/>
      <c r="K22" s="108">
        <v>56</v>
      </c>
      <c r="L22" s="108"/>
      <c r="M22" s="109">
        <f>I22*K22</f>
        <v>75.040000000000006</v>
      </c>
    </row>
    <row r="23" spans="1:13" ht="15.75" customHeight="1">
      <c r="A23" s="103"/>
      <c r="B23" s="113" t="s">
        <v>93</v>
      </c>
      <c r="C23" s="111" t="s">
        <v>92</v>
      </c>
      <c r="D23" s="106">
        <f>D21*0.1</f>
        <v>0.33600000000000008</v>
      </c>
      <c r="E23" s="107"/>
      <c r="F23" s="108">
        <v>54</v>
      </c>
      <c r="G23" s="108"/>
      <c r="H23" s="109">
        <f>D23*F23</f>
        <v>18.144000000000005</v>
      </c>
      <c r="I23" s="106">
        <v>0.5</v>
      </c>
      <c r="J23" s="107"/>
      <c r="K23" s="108">
        <v>54</v>
      </c>
      <c r="L23" s="108"/>
      <c r="M23" s="109">
        <f>I23*K23</f>
        <v>27</v>
      </c>
    </row>
    <row r="24" spans="1:13" ht="63" customHeight="1">
      <c r="A24" s="103"/>
      <c r="B24" s="344" t="s">
        <v>354</v>
      </c>
      <c r="C24" s="107"/>
      <c r="D24" s="108"/>
      <c r="E24" s="108"/>
      <c r="F24" s="108"/>
      <c r="G24" s="108"/>
      <c r="H24" s="109"/>
      <c r="I24" s="107"/>
      <c r="J24" s="108"/>
      <c r="K24" s="108"/>
      <c r="L24" s="108"/>
      <c r="M24" s="109"/>
    </row>
    <row r="25" spans="1:13" ht="15.75" customHeight="1">
      <c r="A25" s="103"/>
      <c r="B25" s="110" t="s">
        <v>355</v>
      </c>
      <c r="C25" s="111" t="s">
        <v>27</v>
      </c>
      <c r="D25" s="106">
        <v>38</v>
      </c>
      <c r="E25" s="107">
        <v>150</v>
      </c>
      <c r="F25" s="108"/>
      <c r="G25" s="108">
        <f>D25*E25</f>
        <v>5700</v>
      </c>
      <c r="H25" s="109"/>
      <c r="I25" s="106">
        <v>38</v>
      </c>
      <c r="J25" s="107">
        <v>150</v>
      </c>
      <c r="K25" s="108"/>
      <c r="L25" s="108">
        <f>I25*J25</f>
        <v>5700</v>
      </c>
      <c r="M25" s="109"/>
    </row>
    <row r="26" spans="1:13" ht="25.5" customHeight="1">
      <c r="A26" s="115"/>
      <c r="B26" s="44" t="s">
        <v>95</v>
      </c>
      <c r="C26" s="43" t="s">
        <v>37</v>
      </c>
      <c r="D26" s="128">
        <v>29</v>
      </c>
      <c r="E26" s="129">
        <f t="shared" ref="E26:J26" si="1">320+40*2</f>
        <v>400</v>
      </c>
      <c r="F26" s="129"/>
      <c r="G26" s="129">
        <f>D26*E26</f>
        <v>11600</v>
      </c>
      <c r="H26" s="130"/>
      <c r="I26" s="128">
        <v>29</v>
      </c>
      <c r="J26" s="129">
        <f t="shared" si="1"/>
        <v>400</v>
      </c>
      <c r="K26" s="129"/>
      <c r="L26" s="129">
        <f>I26*J26</f>
        <v>11600</v>
      </c>
      <c r="M26" s="132"/>
    </row>
    <row r="27" spans="1:13" ht="25.5" customHeight="1">
      <c r="A27" s="115"/>
      <c r="B27" s="48" t="s">
        <v>43</v>
      </c>
      <c r="C27" s="48" t="s">
        <v>37</v>
      </c>
      <c r="D27" s="133">
        <f>D26*2.05*2</f>
        <v>118.89999999999999</v>
      </c>
      <c r="E27" s="134"/>
      <c r="F27" s="134">
        <v>49</v>
      </c>
      <c r="G27" s="135"/>
      <c r="H27" s="130">
        <f t="shared" ref="H27:H34" si="2">F27*D27</f>
        <v>5826.0999999999995</v>
      </c>
      <c r="I27" s="133">
        <v>121.8</v>
      </c>
      <c r="J27" s="134"/>
      <c r="K27" s="134">
        <v>49</v>
      </c>
      <c r="L27" s="135"/>
      <c r="M27" s="132">
        <f t="shared" ref="M27:M34" si="3">K27*I27</f>
        <v>5968.2</v>
      </c>
    </row>
    <row r="28" spans="1:13" ht="13.65" customHeight="1">
      <c r="A28" s="115"/>
      <c r="B28" s="48" t="s">
        <v>96</v>
      </c>
      <c r="C28" s="48" t="s">
        <v>46</v>
      </c>
      <c r="D28" s="133">
        <f>D26*1.4</f>
        <v>40.599999999999994</v>
      </c>
      <c r="E28" s="134"/>
      <c r="F28" s="134">
        <v>56.51</v>
      </c>
      <c r="G28" s="135"/>
      <c r="H28" s="130">
        <f t="shared" si="2"/>
        <v>2294.3059999999996</v>
      </c>
      <c r="I28" s="133">
        <v>20.3</v>
      </c>
      <c r="J28" s="134"/>
      <c r="K28" s="134">
        <v>56.51</v>
      </c>
      <c r="L28" s="135"/>
      <c r="M28" s="132">
        <f t="shared" si="3"/>
        <v>1147.153</v>
      </c>
    </row>
    <row r="29" spans="1:13" ht="13.65" customHeight="1">
      <c r="A29" s="115"/>
      <c r="B29" s="48" t="s">
        <v>47</v>
      </c>
      <c r="C29" s="48" t="s">
        <v>46</v>
      </c>
      <c r="D29" s="133">
        <f>D26*3.2</f>
        <v>92.800000000000011</v>
      </c>
      <c r="E29" s="134"/>
      <c r="F29" s="134">
        <v>63.16</v>
      </c>
      <c r="G29" s="135"/>
      <c r="H29" s="130">
        <f t="shared" si="2"/>
        <v>5861.2480000000005</v>
      </c>
      <c r="I29" s="133">
        <f>I26*2.5*1.1</f>
        <v>79.75</v>
      </c>
      <c r="J29" s="134"/>
      <c r="K29" s="134">
        <v>63.16</v>
      </c>
      <c r="L29" s="135"/>
      <c r="M29" s="132">
        <f t="shared" si="3"/>
        <v>5037.0099999999993</v>
      </c>
    </row>
    <row r="30" spans="1:13" ht="13.65" customHeight="1">
      <c r="A30" s="115"/>
      <c r="B30" s="48" t="s">
        <v>97</v>
      </c>
      <c r="C30" s="48" t="s">
        <v>46</v>
      </c>
      <c r="D30" s="133">
        <f>D28</f>
        <v>40.599999999999994</v>
      </c>
      <c r="E30" s="134"/>
      <c r="F30" s="134">
        <v>4.2</v>
      </c>
      <c r="G30" s="135"/>
      <c r="H30" s="130">
        <f t="shared" si="2"/>
        <v>170.51999999999998</v>
      </c>
      <c r="I30" s="133">
        <v>35</v>
      </c>
      <c r="J30" s="134"/>
      <c r="K30" s="134">
        <v>4.2</v>
      </c>
      <c r="L30" s="135"/>
      <c r="M30" s="132">
        <f t="shared" si="3"/>
        <v>147</v>
      </c>
    </row>
    <row r="31" spans="1:13" ht="13.65" customHeight="1">
      <c r="A31" s="115"/>
      <c r="B31" s="48" t="s">
        <v>49</v>
      </c>
      <c r="C31" s="48" t="s">
        <v>21</v>
      </c>
      <c r="D31" s="133">
        <f>D28*4</f>
        <v>162.39999999999998</v>
      </c>
      <c r="E31" s="134"/>
      <c r="F31" s="134">
        <v>0.28999999999999998</v>
      </c>
      <c r="G31" s="135"/>
      <c r="H31" s="130">
        <f t="shared" si="2"/>
        <v>47.095999999999989</v>
      </c>
      <c r="I31" s="133">
        <v>244</v>
      </c>
      <c r="J31" s="134"/>
      <c r="K31" s="134">
        <v>0.28999999999999998</v>
      </c>
      <c r="L31" s="135"/>
      <c r="M31" s="132">
        <f t="shared" si="3"/>
        <v>70.759999999999991</v>
      </c>
    </row>
    <row r="32" spans="1:13" ht="13.65" customHeight="1">
      <c r="A32" s="115"/>
      <c r="B32" s="48" t="s">
        <v>98</v>
      </c>
      <c r="C32" s="48" t="s">
        <v>21</v>
      </c>
      <c r="D32" s="133">
        <f>D26*18</f>
        <v>522</v>
      </c>
      <c r="E32" s="134"/>
      <c r="F32" s="134">
        <v>0.09</v>
      </c>
      <c r="G32" s="135"/>
      <c r="H32" s="130">
        <f t="shared" si="2"/>
        <v>46.98</v>
      </c>
      <c r="I32" s="133">
        <v>78</v>
      </c>
      <c r="J32" s="134"/>
      <c r="K32" s="134">
        <v>0.09</v>
      </c>
      <c r="L32" s="135"/>
      <c r="M32" s="132">
        <f t="shared" si="3"/>
        <v>7.02</v>
      </c>
    </row>
    <row r="33" spans="1:13" ht="13.65" customHeight="1">
      <c r="A33" s="115"/>
      <c r="B33" s="48" t="s">
        <v>51</v>
      </c>
      <c r="C33" s="48" t="s">
        <v>21</v>
      </c>
      <c r="D33" s="133">
        <f>D27*9</f>
        <v>1070.0999999999999</v>
      </c>
      <c r="E33" s="134"/>
      <c r="F33" s="134">
        <v>0.23</v>
      </c>
      <c r="G33" s="135"/>
      <c r="H33" s="130">
        <f t="shared" si="2"/>
        <v>246.12299999999999</v>
      </c>
      <c r="I33" s="133">
        <v>406</v>
      </c>
      <c r="J33" s="134"/>
      <c r="K33" s="134">
        <v>0.23</v>
      </c>
      <c r="L33" s="135"/>
      <c r="M33" s="132">
        <f t="shared" si="3"/>
        <v>93.38000000000001</v>
      </c>
    </row>
    <row r="34" spans="1:13" ht="13.65" customHeight="1">
      <c r="A34" s="115"/>
      <c r="B34" s="48" t="s">
        <v>99</v>
      </c>
      <c r="C34" s="48" t="s">
        <v>21</v>
      </c>
      <c r="D34" s="133">
        <f>D27*9</f>
        <v>1070.0999999999999</v>
      </c>
      <c r="E34" s="134"/>
      <c r="F34" s="134">
        <v>0.23</v>
      </c>
      <c r="G34" s="135"/>
      <c r="H34" s="130">
        <f t="shared" si="2"/>
        <v>246.12299999999999</v>
      </c>
      <c r="I34" s="133">
        <v>870</v>
      </c>
      <c r="J34" s="134"/>
      <c r="K34" s="134">
        <v>0.23</v>
      </c>
      <c r="L34" s="135"/>
      <c r="M34" s="132">
        <f t="shared" si="3"/>
        <v>200.10000000000002</v>
      </c>
    </row>
    <row r="35" spans="1:13" ht="13.65" customHeight="1">
      <c r="A35" s="115"/>
      <c r="B35" s="139" t="s">
        <v>106</v>
      </c>
      <c r="C35" s="140" t="s">
        <v>37</v>
      </c>
      <c r="D35" s="141">
        <v>29</v>
      </c>
      <c r="E35" s="142">
        <v>70</v>
      </c>
      <c r="F35" s="142"/>
      <c r="G35" s="142">
        <f>D35*E35</f>
        <v>2030</v>
      </c>
      <c r="H35" s="130"/>
      <c r="I35" s="141">
        <v>29</v>
      </c>
      <c r="J35" s="142">
        <v>70</v>
      </c>
      <c r="K35" s="142"/>
      <c r="L35" s="142">
        <f>I35*J35</f>
        <v>2030</v>
      </c>
      <c r="M35" s="132"/>
    </row>
    <row r="36" spans="1:13" ht="13.65" customHeight="1">
      <c r="A36" s="115"/>
      <c r="B36" s="144" t="s">
        <v>107</v>
      </c>
      <c r="C36" s="144" t="s">
        <v>37</v>
      </c>
      <c r="D36" s="145">
        <v>29</v>
      </c>
      <c r="E36" s="145"/>
      <c r="F36" s="145">
        <v>55.6</v>
      </c>
      <c r="G36" s="146"/>
      <c r="H36" s="130">
        <f>F36*D36</f>
        <v>1612.4</v>
      </c>
      <c r="I36" s="145">
        <v>29</v>
      </c>
      <c r="J36" s="145"/>
      <c r="K36" s="145">
        <v>55.6</v>
      </c>
      <c r="L36" s="146"/>
      <c r="M36" s="132">
        <f>K36*I36</f>
        <v>1612.4</v>
      </c>
    </row>
    <row r="37" spans="1:13" ht="63" customHeight="1">
      <c r="A37" s="103"/>
      <c r="B37" s="344" t="s">
        <v>356</v>
      </c>
      <c r="C37" s="107"/>
      <c r="D37" s="108"/>
      <c r="E37" s="108"/>
      <c r="F37" s="108"/>
      <c r="G37" s="108"/>
      <c r="H37" s="109"/>
      <c r="I37" s="107"/>
      <c r="J37" s="108"/>
      <c r="K37" s="108"/>
      <c r="L37" s="108"/>
      <c r="M37" s="109"/>
    </row>
    <row r="38" spans="1:13" ht="15.75" customHeight="1">
      <c r="A38" s="103"/>
      <c r="B38" s="110" t="s">
        <v>357</v>
      </c>
      <c r="C38" s="111" t="s">
        <v>27</v>
      </c>
      <c r="D38" s="106">
        <v>21</v>
      </c>
      <c r="E38" s="107">
        <v>200</v>
      </c>
      <c r="F38" s="108"/>
      <c r="G38" s="108">
        <f>D38*E38</f>
        <v>4200</v>
      </c>
      <c r="H38" s="109"/>
      <c r="I38" s="106">
        <v>21</v>
      </c>
      <c r="J38" s="107">
        <v>200</v>
      </c>
      <c r="K38" s="108"/>
      <c r="L38" s="108">
        <f>I38*J38</f>
        <v>4200</v>
      </c>
      <c r="M38" s="109"/>
    </row>
    <row r="39" spans="1:13" ht="47.25" customHeight="1">
      <c r="A39" s="103"/>
      <c r="B39" s="344" t="s">
        <v>358</v>
      </c>
      <c r="C39" s="107"/>
      <c r="D39" s="108"/>
      <c r="E39" s="108"/>
      <c r="F39" s="108"/>
      <c r="G39" s="108"/>
      <c r="H39" s="109"/>
      <c r="I39" s="107"/>
      <c r="J39" s="108"/>
      <c r="K39" s="108"/>
      <c r="L39" s="108"/>
      <c r="M39" s="109"/>
    </row>
    <row r="40" spans="1:13" ht="15.75" customHeight="1">
      <c r="A40" s="103"/>
      <c r="B40" s="110" t="s">
        <v>359</v>
      </c>
      <c r="C40" s="111" t="s">
        <v>37</v>
      </c>
      <c r="D40" s="106">
        <v>10.4</v>
      </c>
      <c r="E40" s="107">
        <v>120</v>
      </c>
      <c r="F40" s="108"/>
      <c r="G40" s="108">
        <f>D40*E40</f>
        <v>1248</v>
      </c>
      <c r="H40" s="109"/>
      <c r="I40" s="106">
        <v>10.4</v>
      </c>
      <c r="J40" s="107">
        <v>120</v>
      </c>
      <c r="K40" s="108"/>
      <c r="L40" s="108">
        <f>I40*J40</f>
        <v>1248</v>
      </c>
      <c r="M40" s="109"/>
    </row>
    <row r="41" spans="1:13" ht="31.5" customHeight="1">
      <c r="A41" s="103"/>
      <c r="B41" s="110" t="s">
        <v>360</v>
      </c>
      <c r="C41" s="111" t="s">
        <v>37</v>
      </c>
      <c r="D41" s="106">
        <v>10.4</v>
      </c>
      <c r="E41" s="107">
        <v>220</v>
      </c>
      <c r="F41" s="108"/>
      <c r="G41" s="108">
        <f>D41*E41</f>
        <v>2288</v>
      </c>
      <c r="H41" s="109"/>
      <c r="I41" s="106">
        <v>10.4</v>
      </c>
      <c r="J41" s="107">
        <v>220</v>
      </c>
      <c r="K41" s="108"/>
      <c r="L41" s="108">
        <f>I41*J41</f>
        <v>2288</v>
      </c>
      <c r="M41" s="109"/>
    </row>
    <row r="42" spans="1:13" ht="25.5" customHeight="1">
      <c r="A42" s="115"/>
      <c r="B42" s="48" t="s">
        <v>361</v>
      </c>
      <c r="C42" s="48" t="s">
        <v>37</v>
      </c>
      <c r="D42" s="347">
        <f>D41*2.05</f>
        <v>21.32</v>
      </c>
      <c r="E42" s="134"/>
      <c r="F42" s="134"/>
      <c r="G42" s="135"/>
      <c r="H42" s="130">
        <f>F42*D42</f>
        <v>0</v>
      </c>
      <c r="I42" s="347">
        <f>I41*2.05</f>
        <v>21.32</v>
      </c>
      <c r="J42" s="134"/>
      <c r="K42" s="134"/>
      <c r="L42" s="135"/>
      <c r="M42" s="132">
        <f>K42*I42</f>
        <v>0</v>
      </c>
    </row>
    <row r="43" spans="1:13" ht="13.65" customHeight="1">
      <c r="A43" s="115"/>
      <c r="B43" s="48" t="s">
        <v>51</v>
      </c>
      <c r="C43" s="48" t="s">
        <v>21</v>
      </c>
      <c r="D43" s="347">
        <f>D41*18</f>
        <v>187.20000000000002</v>
      </c>
      <c r="E43" s="134"/>
      <c r="F43" s="134">
        <v>0.23</v>
      </c>
      <c r="G43" s="135"/>
      <c r="H43" s="130">
        <f>F43*D43</f>
        <v>43.056000000000004</v>
      </c>
      <c r="I43" s="347">
        <f>I41*18</f>
        <v>187.20000000000002</v>
      </c>
      <c r="J43" s="134"/>
      <c r="K43" s="134">
        <v>0.23</v>
      </c>
      <c r="L43" s="135"/>
      <c r="M43" s="132">
        <f>K43*I43</f>
        <v>43.056000000000004</v>
      </c>
    </row>
    <row r="44" spans="1:13" ht="13.65" customHeight="1">
      <c r="A44" s="115"/>
      <c r="B44" s="48" t="s">
        <v>99</v>
      </c>
      <c r="C44" s="48" t="s">
        <v>21</v>
      </c>
      <c r="D44" s="347">
        <f>D41*18</f>
        <v>187.20000000000002</v>
      </c>
      <c r="E44" s="134"/>
      <c r="F44" s="134">
        <v>0.23</v>
      </c>
      <c r="G44" s="135"/>
      <c r="H44" s="130">
        <f>F44*D44</f>
        <v>43.056000000000004</v>
      </c>
      <c r="I44" s="347">
        <f>I41*18</f>
        <v>187.20000000000002</v>
      </c>
      <c r="J44" s="134"/>
      <c r="K44" s="134">
        <v>0.23</v>
      </c>
      <c r="L44" s="135"/>
      <c r="M44" s="132">
        <f>K44*I44</f>
        <v>43.056000000000004</v>
      </c>
    </row>
    <row r="45" spans="1:13" ht="47.25" customHeight="1">
      <c r="A45" s="103"/>
      <c r="B45" s="344" t="s">
        <v>362</v>
      </c>
      <c r="C45" s="107"/>
      <c r="D45" s="108"/>
      <c r="E45" s="108"/>
      <c r="F45" s="108"/>
      <c r="G45" s="108"/>
      <c r="H45" s="109"/>
      <c r="I45" s="107"/>
      <c r="J45" s="108"/>
      <c r="K45" s="108"/>
      <c r="L45" s="108"/>
      <c r="M45" s="109"/>
    </row>
    <row r="46" spans="1:13" ht="15.75" customHeight="1">
      <c r="A46" s="103"/>
      <c r="B46" s="110" t="s">
        <v>359</v>
      </c>
      <c r="C46" s="111" t="s">
        <v>37</v>
      </c>
      <c r="D46" s="106">
        <v>5.55</v>
      </c>
      <c r="E46" s="107">
        <v>120</v>
      </c>
      <c r="F46" s="108"/>
      <c r="G46" s="108">
        <f>D46*E46</f>
        <v>666</v>
      </c>
      <c r="H46" s="109"/>
      <c r="I46" s="106">
        <v>5.55</v>
      </c>
      <c r="J46" s="107">
        <v>120</v>
      </c>
      <c r="K46" s="108"/>
      <c r="L46" s="108">
        <f>I46*J46</f>
        <v>666</v>
      </c>
      <c r="M46" s="109"/>
    </row>
    <row r="47" spans="1:13" ht="31.5" customHeight="1">
      <c r="A47" s="103"/>
      <c r="B47" s="110" t="s">
        <v>360</v>
      </c>
      <c r="C47" s="111" t="s">
        <v>37</v>
      </c>
      <c r="D47" s="106">
        <v>5.55</v>
      </c>
      <c r="E47" s="107">
        <v>260</v>
      </c>
      <c r="F47" s="108"/>
      <c r="G47" s="108">
        <f>D47*E47</f>
        <v>1443</v>
      </c>
      <c r="H47" s="109"/>
      <c r="I47" s="106">
        <v>5.55</v>
      </c>
      <c r="J47" s="107">
        <v>260</v>
      </c>
      <c r="K47" s="108"/>
      <c r="L47" s="108">
        <f>I47*J47</f>
        <v>1443</v>
      </c>
      <c r="M47" s="109"/>
    </row>
    <row r="48" spans="1:13" ht="25.5" customHeight="1">
      <c r="A48" s="115"/>
      <c r="B48" s="48" t="s">
        <v>361</v>
      </c>
      <c r="C48" s="48" t="s">
        <v>37</v>
      </c>
      <c r="D48" s="347">
        <f>D47*2.05</f>
        <v>11.3775</v>
      </c>
      <c r="E48" s="134"/>
      <c r="F48" s="134"/>
      <c r="G48" s="135"/>
      <c r="H48" s="130">
        <f>F48*D48</f>
        <v>0</v>
      </c>
      <c r="I48" s="347">
        <f>I47*2.05</f>
        <v>11.3775</v>
      </c>
      <c r="J48" s="134"/>
      <c r="K48" s="134"/>
      <c r="L48" s="135"/>
      <c r="M48" s="132">
        <f>K48*I48</f>
        <v>0</v>
      </c>
    </row>
    <row r="49" spans="1:13" ht="13.65" customHeight="1">
      <c r="A49" s="115"/>
      <c r="B49" s="48" t="s">
        <v>51</v>
      </c>
      <c r="C49" s="48" t="s">
        <v>21</v>
      </c>
      <c r="D49" s="347">
        <f>D47*18</f>
        <v>99.899999999999991</v>
      </c>
      <c r="E49" s="134"/>
      <c r="F49" s="134">
        <v>0.23</v>
      </c>
      <c r="G49" s="135"/>
      <c r="H49" s="130">
        <f>F49*D49</f>
        <v>22.977</v>
      </c>
      <c r="I49" s="347">
        <f>I47*18</f>
        <v>99.899999999999991</v>
      </c>
      <c r="J49" s="134"/>
      <c r="K49" s="134">
        <v>0.23</v>
      </c>
      <c r="L49" s="135"/>
      <c r="M49" s="132">
        <f>K49*I49</f>
        <v>22.977</v>
      </c>
    </row>
    <row r="50" spans="1:13" ht="13.65" customHeight="1">
      <c r="A50" s="115"/>
      <c r="B50" s="48" t="s">
        <v>99</v>
      </c>
      <c r="C50" s="48" t="s">
        <v>21</v>
      </c>
      <c r="D50" s="347">
        <f>D47*18</f>
        <v>99.899999999999991</v>
      </c>
      <c r="E50" s="134"/>
      <c r="F50" s="134">
        <v>0.23</v>
      </c>
      <c r="G50" s="135"/>
      <c r="H50" s="130">
        <f>F50*D50</f>
        <v>22.977</v>
      </c>
      <c r="I50" s="347">
        <f>I47*18</f>
        <v>99.899999999999991</v>
      </c>
      <c r="J50" s="134"/>
      <c r="K50" s="134">
        <v>0.23</v>
      </c>
      <c r="L50" s="135"/>
      <c r="M50" s="132">
        <f>K50*I50</f>
        <v>22.977</v>
      </c>
    </row>
    <row r="51" spans="1:13" ht="63" customHeight="1">
      <c r="A51" s="103"/>
      <c r="B51" s="344" t="s">
        <v>363</v>
      </c>
      <c r="C51" s="107"/>
      <c r="D51" s="108"/>
      <c r="E51" s="108"/>
      <c r="F51" s="108"/>
      <c r="G51" s="108"/>
      <c r="H51" s="109"/>
      <c r="I51" s="107"/>
      <c r="J51" s="108"/>
      <c r="K51" s="108"/>
      <c r="L51" s="108"/>
      <c r="M51" s="109"/>
    </row>
    <row r="52" spans="1:13" ht="15.75" customHeight="1">
      <c r="A52" s="103"/>
      <c r="B52" s="110" t="s">
        <v>359</v>
      </c>
      <c r="C52" s="111" t="s">
        <v>37</v>
      </c>
      <c r="D52" s="106">
        <v>4.5</v>
      </c>
      <c r="E52" s="107">
        <v>120</v>
      </c>
      <c r="F52" s="108"/>
      <c r="G52" s="108">
        <f>D52*E52</f>
        <v>540</v>
      </c>
      <c r="H52" s="109"/>
      <c r="I52" s="106">
        <v>4.5</v>
      </c>
      <c r="J52" s="107">
        <v>120</v>
      </c>
      <c r="K52" s="108"/>
      <c r="L52" s="108">
        <f>I52*J52</f>
        <v>540</v>
      </c>
      <c r="M52" s="109"/>
    </row>
    <row r="53" spans="1:13" ht="31.5" customHeight="1">
      <c r="A53" s="103"/>
      <c r="B53" s="110" t="s">
        <v>360</v>
      </c>
      <c r="C53" s="111" t="s">
        <v>37</v>
      </c>
      <c r="D53" s="106">
        <v>4.5</v>
      </c>
      <c r="E53" s="107">
        <v>220</v>
      </c>
      <c r="F53" s="108"/>
      <c r="G53" s="108">
        <f>D53*E53</f>
        <v>990</v>
      </c>
      <c r="H53" s="109"/>
      <c r="I53" s="106">
        <v>4.5</v>
      </c>
      <c r="J53" s="107">
        <v>220</v>
      </c>
      <c r="K53" s="108"/>
      <c r="L53" s="108">
        <f>I53*J53</f>
        <v>990</v>
      </c>
      <c r="M53" s="109"/>
    </row>
    <row r="54" spans="1:13" ht="25.5" customHeight="1">
      <c r="A54" s="115"/>
      <c r="B54" s="48" t="s">
        <v>361</v>
      </c>
      <c r="C54" s="48" t="s">
        <v>37</v>
      </c>
      <c r="D54" s="347">
        <f>D53*2.05</f>
        <v>9.2249999999999996</v>
      </c>
      <c r="E54" s="134"/>
      <c r="F54" s="134"/>
      <c r="G54" s="135"/>
      <c r="H54" s="130">
        <f>F54*D54</f>
        <v>0</v>
      </c>
      <c r="I54" s="347">
        <f>I53*2.05</f>
        <v>9.2249999999999996</v>
      </c>
      <c r="J54" s="134"/>
      <c r="K54" s="134"/>
      <c r="L54" s="135"/>
      <c r="M54" s="132">
        <f>K54*I54</f>
        <v>0</v>
      </c>
    </row>
    <row r="55" spans="1:13" ht="13.65" customHeight="1">
      <c r="A55" s="115"/>
      <c r="B55" s="48" t="s">
        <v>51</v>
      </c>
      <c r="C55" s="48" t="s">
        <v>21</v>
      </c>
      <c r="D55" s="347">
        <f>D53*18</f>
        <v>81</v>
      </c>
      <c r="E55" s="134"/>
      <c r="F55" s="134">
        <v>0.23</v>
      </c>
      <c r="G55" s="135"/>
      <c r="H55" s="130">
        <f>F55*D55</f>
        <v>18.630000000000003</v>
      </c>
      <c r="I55" s="347">
        <f>I53*18</f>
        <v>81</v>
      </c>
      <c r="J55" s="134"/>
      <c r="K55" s="134">
        <v>0.23</v>
      </c>
      <c r="L55" s="135"/>
      <c r="M55" s="132">
        <f>K55*I55</f>
        <v>18.630000000000003</v>
      </c>
    </row>
    <row r="56" spans="1:13" ht="13.65" customHeight="1">
      <c r="A56" s="115"/>
      <c r="B56" s="48" t="s">
        <v>99</v>
      </c>
      <c r="C56" s="48" t="s">
        <v>21</v>
      </c>
      <c r="D56" s="347">
        <f>D53*18</f>
        <v>81</v>
      </c>
      <c r="E56" s="134"/>
      <c r="F56" s="134">
        <v>0.23</v>
      </c>
      <c r="G56" s="135"/>
      <c r="H56" s="130">
        <f>F56*D56</f>
        <v>18.630000000000003</v>
      </c>
      <c r="I56" s="347">
        <f>I53*18</f>
        <v>81</v>
      </c>
      <c r="J56" s="134"/>
      <c r="K56" s="134">
        <v>0.23</v>
      </c>
      <c r="L56" s="135"/>
      <c r="M56" s="132">
        <f>K56*I56</f>
        <v>18.630000000000003</v>
      </c>
    </row>
    <row r="57" spans="1:13" ht="31.5" customHeight="1">
      <c r="A57" s="103"/>
      <c r="B57" s="344" t="s">
        <v>364</v>
      </c>
      <c r="C57" s="107"/>
      <c r="D57" s="108"/>
      <c r="E57" s="108"/>
      <c r="F57" s="108"/>
      <c r="G57" s="108"/>
      <c r="H57" s="109"/>
      <c r="I57" s="107"/>
      <c r="J57" s="108"/>
      <c r="K57" s="108"/>
      <c r="L57" s="108"/>
      <c r="M57" s="109"/>
    </row>
    <row r="58" spans="1:13" ht="31.5" customHeight="1">
      <c r="A58" s="103"/>
      <c r="B58" s="110" t="s">
        <v>364</v>
      </c>
      <c r="C58" s="111" t="s">
        <v>37</v>
      </c>
      <c r="D58" s="106">
        <v>94.5</v>
      </c>
      <c r="E58" s="107">
        <v>120</v>
      </c>
      <c r="F58" s="108"/>
      <c r="G58" s="108">
        <f>D58*E58</f>
        <v>11340</v>
      </c>
      <c r="H58" s="109"/>
      <c r="I58" s="106">
        <v>94.5</v>
      </c>
      <c r="J58" s="107">
        <v>120</v>
      </c>
      <c r="K58" s="108"/>
      <c r="L58" s="108">
        <f>I58*J58</f>
        <v>11340</v>
      </c>
      <c r="M58" s="109"/>
    </row>
    <row r="59" spans="1:13" ht="15.75" customHeight="1">
      <c r="A59" s="103"/>
      <c r="B59" s="344" t="s">
        <v>53</v>
      </c>
      <c r="C59" s="107"/>
      <c r="D59" s="108"/>
      <c r="E59" s="108"/>
      <c r="F59" s="108"/>
      <c r="G59" s="108"/>
      <c r="H59" s="109"/>
      <c r="I59" s="107"/>
      <c r="J59" s="108"/>
      <c r="K59" s="108"/>
      <c r="L59" s="108"/>
      <c r="M59" s="109"/>
    </row>
    <row r="60" spans="1:13" ht="31.5" customHeight="1">
      <c r="A60" s="103" t="s">
        <v>365</v>
      </c>
      <c r="B60" s="110" t="s">
        <v>366</v>
      </c>
      <c r="C60" s="111" t="s">
        <v>37</v>
      </c>
      <c r="D60" s="106">
        <v>240</v>
      </c>
      <c r="E60" s="107"/>
      <c r="F60" s="108"/>
      <c r="G60" s="108">
        <f>D60*E60</f>
        <v>0</v>
      </c>
      <c r="H60" s="109"/>
      <c r="I60" s="106">
        <v>240</v>
      </c>
      <c r="J60" s="107"/>
      <c r="K60" s="108"/>
      <c r="L60" s="108">
        <f>I60*J60</f>
        <v>0</v>
      </c>
      <c r="M60" s="109"/>
    </row>
    <row r="61" spans="1:13" ht="13.65" customHeight="1">
      <c r="A61" s="115" t="s">
        <v>367</v>
      </c>
      <c r="B61" s="150" t="s">
        <v>337</v>
      </c>
      <c r="C61" s="161" t="s">
        <v>57</v>
      </c>
      <c r="D61" s="151">
        <v>8.6</v>
      </c>
      <c r="E61" s="152"/>
      <c r="F61" s="152"/>
      <c r="G61" s="154">
        <f>D61*E61</f>
        <v>0</v>
      </c>
      <c r="H61" s="30"/>
      <c r="I61" s="151">
        <v>8.6</v>
      </c>
      <c r="J61" s="152"/>
      <c r="K61" s="152"/>
      <c r="L61" s="154">
        <f>I61*J61</f>
        <v>0</v>
      </c>
      <c r="M61" s="164"/>
    </row>
    <row r="62" spans="1:13" ht="13.65" customHeight="1">
      <c r="A62" s="115"/>
      <c r="B62" s="348" t="s">
        <v>58</v>
      </c>
      <c r="C62" s="349" t="s">
        <v>21</v>
      </c>
      <c r="D62" s="350">
        <f>D61*40</f>
        <v>344</v>
      </c>
      <c r="E62" s="351"/>
      <c r="F62" s="351">
        <v>6.5</v>
      </c>
      <c r="G62" s="352"/>
      <c r="H62" s="353">
        <f>D62*F62</f>
        <v>2236</v>
      </c>
      <c r="I62" s="350">
        <f>I61*40</f>
        <v>344</v>
      </c>
      <c r="J62" s="351"/>
      <c r="K62" s="351">
        <v>6.5</v>
      </c>
      <c r="L62" s="352"/>
      <c r="M62" s="354">
        <f>I62*K62</f>
        <v>2236</v>
      </c>
    </row>
    <row r="63" spans="1:13" ht="13.65" customHeight="1">
      <c r="A63" s="115" t="s">
        <v>368</v>
      </c>
      <c r="B63" s="150" t="s">
        <v>369</v>
      </c>
      <c r="C63" s="161" t="s">
        <v>57</v>
      </c>
      <c r="D63" s="151">
        <v>8.6</v>
      </c>
      <c r="E63" s="152"/>
      <c r="F63" s="152"/>
      <c r="G63" s="154">
        <f>D63*E63</f>
        <v>0</v>
      </c>
      <c r="H63" s="30"/>
      <c r="I63" s="151">
        <v>8.6</v>
      </c>
      <c r="J63" s="152"/>
      <c r="K63" s="152"/>
      <c r="L63" s="154">
        <f>I63*J63</f>
        <v>0</v>
      </c>
      <c r="M63" s="164"/>
    </row>
    <row r="64" spans="1:13" ht="13.65" customHeight="1">
      <c r="A64" s="115"/>
      <c r="B64" s="150" t="s">
        <v>370</v>
      </c>
      <c r="C64" s="161" t="s">
        <v>371</v>
      </c>
      <c r="D64" s="151">
        <v>27</v>
      </c>
      <c r="E64" s="152">
        <v>750</v>
      </c>
      <c r="F64" s="152"/>
      <c r="G64" s="154">
        <f>D64*E64</f>
        <v>20250</v>
      </c>
      <c r="H64" s="30"/>
      <c r="I64" s="151">
        <v>30</v>
      </c>
      <c r="J64" s="152">
        <v>750</v>
      </c>
      <c r="K64" s="152"/>
      <c r="L64" s="154">
        <f>I64*J64</f>
        <v>22500</v>
      </c>
      <c r="M64" s="164"/>
    </row>
    <row r="65" spans="1:13" ht="13.65" customHeight="1">
      <c r="A65" s="115"/>
      <c r="B65" s="150" t="s">
        <v>372</v>
      </c>
      <c r="C65" s="161" t="s">
        <v>124</v>
      </c>
      <c r="D65" s="151">
        <v>1.5</v>
      </c>
      <c r="E65" s="152">
        <v>1600</v>
      </c>
      <c r="F65" s="152"/>
      <c r="G65" s="154">
        <f>D65*E65</f>
        <v>2400</v>
      </c>
      <c r="H65" s="30"/>
      <c r="I65" s="151">
        <v>1.5</v>
      </c>
      <c r="J65" s="152">
        <v>1600</v>
      </c>
      <c r="K65" s="152"/>
      <c r="L65" s="154">
        <f>I65*J65</f>
        <v>2400</v>
      </c>
      <c r="M65" s="164"/>
    </row>
    <row r="66" spans="1:13" ht="14.4" customHeight="1">
      <c r="A66" s="115"/>
      <c r="B66" s="355"/>
      <c r="C66" s="356"/>
      <c r="D66" s="357"/>
      <c r="E66" s="358"/>
      <c r="F66" s="358"/>
      <c r="G66" s="359"/>
      <c r="H66" s="360"/>
      <c r="I66" s="361"/>
      <c r="J66" s="358"/>
      <c r="K66" s="358"/>
      <c r="L66" s="359"/>
      <c r="M66" s="360"/>
    </row>
    <row r="67" spans="1:13" ht="13.65" customHeight="1">
      <c r="A67" s="13"/>
      <c r="B67" s="150" t="s">
        <v>119</v>
      </c>
      <c r="C67" s="161" t="s">
        <v>37</v>
      </c>
      <c r="D67" s="151">
        <v>75</v>
      </c>
      <c r="E67" s="152">
        <v>25</v>
      </c>
      <c r="F67" s="152"/>
      <c r="G67" s="154">
        <f>D67*E67</f>
        <v>1875</v>
      </c>
      <c r="H67" s="30"/>
      <c r="I67" s="151">
        <v>75</v>
      </c>
      <c r="J67" s="152">
        <v>25</v>
      </c>
      <c r="K67" s="152"/>
      <c r="L67" s="154">
        <f>I67*J67</f>
        <v>1875</v>
      </c>
      <c r="M67" s="30"/>
    </row>
    <row r="68" spans="1:13" ht="13.65" customHeight="1">
      <c r="A68" s="13"/>
      <c r="B68" s="150" t="s">
        <v>120</v>
      </c>
      <c r="C68" s="161" t="s">
        <v>37</v>
      </c>
      <c r="D68" s="151">
        <v>75</v>
      </c>
      <c r="E68" s="152">
        <v>25</v>
      </c>
      <c r="F68" s="152"/>
      <c r="G68" s="154">
        <f>D68*E68</f>
        <v>1875</v>
      </c>
      <c r="H68" s="30"/>
      <c r="I68" s="151">
        <v>75</v>
      </c>
      <c r="J68" s="152">
        <v>25</v>
      </c>
      <c r="K68" s="152"/>
      <c r="L68" s="154">
        <f>I68*J68</f>
        <v>1875</v>
      </c>
      <c r="M68" s="30"/>
    </row>
    <row r="69" spans="1:13" ht="14.4" customHeight="1">
      <c r="A69" s="115"/>
      <c r="B69" s="362"/>
      <c r="C69" s="363"/>
      <c r="D69" s="363"/>
      <c r="E69" s="363"/>
      <c r="F69" s="363"/>
      <c r="G69" s="364"/>
      <c r="H69" s="365"/>
      <c r="I69" s="366"/>
      <c r="J69" s="363"/>
      <c r="K69" s="363"/>
      <c r="L69" s="364"/>
      <c r="M69" s="365"/>
    </row>
    <row r="70" spans="1:13" ht="13.65" customHeight="1">
      <c r="A70" s="174"/>
      <c r="B70" s="722" t="s">
        <v>64</v>
      </c>
      <c r="C70" s="723"/>
      <c r="D70" s="723"/>
      <c r="E70" s="175"/>
      <c r="F70" s="176"/>
      <c r="G70" s="177">
        <f>SUM(G13:G69)</f>
        <v>72004.247999999992</v>
      </c>
      <c r="H70" s="178"/>
      <c r="I70" s="180"/>
      <c r="J70" s="175"/>
      <c r="K70" s="176"/>
      <c r="L70" s="177">
        <f>SUM(L13:L69)</f>
        <v>77813.16</v>
      </c>
      <c r="M70" s="178"/>
    </row>
    <row r="71" spans="1:13" ht="13.65" customHeight="1">
      <c r="A71" s="174"/>
      <c r="B71" s="722" t="s">
        <v>65</v>
      </c>
      <c r="C71" s="723"/>
      <c r="D71" s="723"/>
      <c r="E71" s="175"/>
      <c r="F71" s="176"/>
      <c r="G71" s="177"/>
      <c r="H71" s="178">
        <f>SUM(H13:H70)</f>
        <v>22558.154000000002</v>
      </c>
      <c r="I71" s="180"/>
      <c r="J71" s="175"/>
      <c r="K71" s="176"/>
      <c r="L71" s="177"/>
      <c r="M71" s="178">
        <f>SUM(M13:M70)</f>
        <v>23725.444</v>
      </c>
    </row>
    <row r="72" spans="1:13" ht="13.65" customHeight="1">
      <c r="A72" s="174"/>
      <c r="B72" s="722" t="s">
        <v>66</v>
      </c>
      <c r="C72" s="723"/>
      <c r="D72" s="723"/>
      <c r="E72" s="181">
        <v>0.05</v>
      </c>
      <c r="F72" s="176"/>
      <c r="G72" s="176"/>
      <c r="H72" s="182">
        <f>H71*E72</f>
        <v>1127.9077000000002</v>
      </c>
      <c r="I72" s="180"/>
      <c r="J72" s="181">
        <v>0.05</v>
      </c>
      <c r="K72" s="176"/>
      <c r="L72" s="176"/>
      <c r="M72" s="182">
        <f>M71*J72</f>
        <v>1186.2722000000001</v>
      </c>
    </row>
    <row r="73" spans="1:13" ht="13.65" customHeight="1">
      <c r="A73" s="174"/>
      <c r="B73" s="722" t="s">
        <v>67</v>
      </c>
      <c r="C73" s="723"/>
      <c r="D73" s="723"/>
      <c r="E73" s="181">
        <v>0.1</v>
      </c>
      <c r="F73" s="176"/>
      <c r="G73" s="176">
        <f>G70*E73</f>
        <v>7200.4247999999998</v>
      </c>
      <c r="H73" s="182"/>
      <c r="I73" s="180"/>
      <c r="J73" s="181">
        <v>0.1</v>
      </c>
      <c r="K73" s="176"/>
      <c r="L73" s="176">
        <f>L70*J73</f>
        <v>7781.3160000000007</v>
      </c>
      <c r="M73" s="182"/>
    </row>
    <row r="74" spans="1:13" ht="13.65" customHeight="1">
      <c r="A74" s="174"/>
      <c r="B74" s="722" t="s">
        <v>68</v>
      </c>
      <c r="C74" s="723"/>
      <c r="D74" s="723"/>
      <c r="E74" s="183">
        <v>0.05</v>
      </c>
      <c r="F74" s="176"/>
      <c r="G74" s="176"/>
      <c r="H74" s="182">
        <f>H71*E74</f>
        <v>1127.9077000000002</v>
      </c>
      <c r="I74" s="180"/>
      <c r="J74" s="183">
        <v>0.05</v>
      </c>
      <c r="K74" s="176"/>
      <c r="L74" s="176"/>
      <c r="M74" s="182">
        <f>M71*J74</f>
        <v>1186.2722000000001</v>
      </c>
    </row>
    <row r="75" spans="1:13" ht="13.65" customHeight="1">
      <c r="A75" s="174"/>
      <c r="B75" s="724" t="s">
        <v>69</v>
      </c>
      <c r="C75" s="725"/>
      <c r="D75" s="725"/>
      <c r="E75" s="725"/>
      <c r="F75" s="725"/>
      <c r="G75" s="725"/>
      <c r="H75" s="184">
        <f>SUM(G70:G74,H70:H74)</f>
        <v>104018.64219999997</v>
      </c>
      <c r="I75" s="185"/>
      <c r="J75" s="186"/>
      <c r="K75" s="186"/>
      <c r="L75" s="187"/>
      <c r="M75" s="184">
        <f>SUM(L70:L74,M70:M74)</f>
        <v>111692.46440000003</v>
      </c>
    </row>
    <row r="76" spans="1:13" ht="13.65" customHeight="1">
      <c r="A76" s="174"/>
      <c r="B76" s="188" t="s">
        <v>128</v>
      </c>
      <c r="C76" s="189"/>
      <c r="D76" s="129"/>
      <c r="E76" s="129"/>
      <c r="F76" s="190"/>
      <c r="G76" s="191"/>
      <c r="H76" s="192">
        <f>H75*0.2</f>
        <v>20803.728439999995</v>
      </c>
      <c r="I76" s="129"/>
      <c r="J76" s="129"/>
      <c r="K76" s="190"/>
      <c r="L76" s="191"/>
      <c r="M76" s="193">
        <f>M75*0.2</f>
        <v>22338.492880000005</v>
      </c>
    </row>
    <row r="77" spans="1:13" ht="15.75" customHeight="1">
      <c r="A77" s="194"/>
      <c r="B77" s="726" t="s">
        <v>71</v>
      </c>
      <c r="C77" s="727"/>
      <c r="D77" s="727"/>
      <c r="E77" s="727"/>
      <c r="F77" s="727"/>
      <c r="G77" s="727"/>
      <c r="H77" s="195">
        <f>SUM(H75:H76)</f>
        <v>124822.37063999996</v>
      </c>
      <c r="I77" s="196"/>
      <c r="J77" s="197"/>
      <c r="K77" s="197"/>
      <c r="L77" s="198"/>
      <c r="M77" s="195">
        <f>SUM(M75:M76)</f>
        <v>134030.95728000003</v>
      </c>
    </row>
    <row r="78" spans="1:13" ht="14.1" customHeight="1">
      <c r="A78" s="199"/>
      <c r="B78" s="199"/>
      <c r="C78" s="199"/>
      <c r="D78" s="199"/>
      <c r="E78" s="199"/>
      <c r="F78" s="199"/>
      <c r="G78" s="199"/>
      <c r="H78" s="199"/>
      <c r="I78" s="6"/>
      <c r="J78" s="6"/>
      <c r="K78" s="6"/>
      <c r="L78" s="6"/>
      <c r="M78" s="199"/>
    </row>
    <row r="79" spans="1:13" ht="12.75" customHeight="1">
      <c r="A79" s="200"/>
      <c r="B79" s="201" t="s">
        <v>129</v>
      </c>
      <c r="C79" s="202"/>
      <c r="D79" s="83"/>
      <c r="E79" s="83"/>
      <c r="F79" s="203"/>
      <c r="G79" s="203"/>
      <c r="H79" s="203"/>
      <c r="I79" s="83"/>
      <c r="J79" s="83"/>
      <c r="K79" s="203"/>
      <c r="L79" s="203"/>
      <c r="M79" s="203"/>
    </row>
    <row r="80" spans="1:13" ht="12.75" customHeight="1">
      <c r="A80" s="200"/>
      <c r="B80" s="204" t="s">
        <v>130</v>
      </c>
      <c r="C80" s="202"/>
      <c r="D80" s="83"/>
      <c r="E80" s="205"/>
      <c r="F80" s="203"/>
      <c r="G80" s="203"/>
      <c r="H80" s="203"/>
      <c r="I80" s="83"/>
      <c r="J80" s="205"/>
      <c r="K80" s="203"/>
      <c r="L80" s="203"/>
      <c r="M80" s="203"/>
    </row>
    <row r="81" spans="1:13" ht="12.75" customHeight="1">
      <c r="A81" s="200"/>
      <c r="B81" s="204" t="s">
        <v>131</v>
      </c>
      <c r="C81" s="204" t="s">
        <v>132</v>
      </c>
      <c r="D81" s="83"/>
      <c r="E81" s="206"/>
      <c r="F81" s="203"/>
      <c r="G81" s="203"/>
      <c r="H81" s="203"/>
      <c r="I81" s="83"/>
      <c r="J81" s="206"/>
      <c r="K81" s="203"/>
      <c r="L81" s="203"/>
      <c r="M81" s="203"/>
    </row>
    <row r="82" spans="1:13" ht="13.2" customHeight="1">
      <c r="A82" s="200"/>
      <c r="B82" s="207"/>
      <c r="C82" s="202"/>
      <c r="D82" s="83"/>
      <c r="E82" s="206"/>
      <c r="F82" s="203"/>
      <c r="G82" s="203"/>
      <c r="H82" s="203"/>
      <c r="I82" s="83"/>
      <c r="J82" s="206"/>
      <c r="K82" s="203"/>
      <c r="L82" s="203"/>
      <c r="M82" s="203"/>
    </row>
    <row r="83" spans="1:13" ht="13.2" customHeight="1">
      <c r="A83" s="200"/>
      <c r="B83" s="207"/>
      <c r="C83" s="202"/>
      <c r="D83" s="83"/>
      <c r="E83" s="206"/>
      <c r="F83" s="85"/>
      <c r="G83" s="85"/>
      <c r="H83" s="85"/>
      <c r="I83" s="83"/>
      <c r="J83" s="206"/>
      <c r="K83" s="85"/>
      <c r="L83" s="85"/>
      <c r="M83" s="85"/>
    </row>
    <row r="84" spans="1:13" ht="13.2" customHeight="1">
      <c r="A84" s="208"/>
      <c r="B84" s="82"/>
      <c r="C84" s="82"/>
      <c r="D84" s="83"/>
      <c r="E84" s="83"/>
      <c r="F84" s="85"/>
      <c r="G84" s="85"/>
      <c r="H84" s="85"/>
      <c r="I84" s="83"/>
      <c r="J84" s="83"/>
      <c r="K84" s="85"/>
      <c r="L84" s="85"/>
      <c r="M84" s="85"/>
    </row>
    <row r="85" spans="1:13" ht="12.75" customHeight="1">
      <c r="A85" s="208"/>
      <c r="B85" s="201" t="s">
        <v>133</v>
      </c>
      <c r="C85" s="82"/>
      <c r="D85" s="83"/>
      <c r="E85" s="83"/>
      <c r="F85" s="85"/>
      <c r="G85" s="85"/>
      <c r="H85" s="85"/>
      <c r="I85" s="83"/>
      <c r="J85" s="83"/>
      <c r="K85" s="85"/>
      <c r="L85" s="85"/>
      <c r="M85" s="85"/>
    </row>
    <row r="86" spans="1:13" ht="12.75" customHeight="1">
      <c r="A86" s="6"/>
      <c r="B86" s="204" t="s">
        <v>134</v>
      </c>
      <c r="C86" s="209" t="str">
        <f>C81</f>
        <v>_________________________     2021 р.</v>
      </c>
      <c r="D86" s="83"/>
      <c r="E86" s="205"/>
      <c r="F86" s="85"/>
      <c r="G86" s="85"/>
      <c r="H86" s="85"/>
      <c r="I86" s="83"/>
      <c r="J86" s="205"/>
      <c r="K86" s="85"/>
      <c r="L86" s="85"/>
      <c r="M86" s="85"/>
    </row>
    <row r="87" spans="1:13" ht="13.2" customHeight="1">
      <c r="A87" s="6"/>
      <c r="B87" s="202"/>
      <c r="C87" s="202"/>
      <c r="D87" s="83"/>
      <c r="E87" s="206"/>
      <c r="F87" s="85"/>
      <c r="G87" s="85"/>
      <c r="H87" s="85"/>
      <c r="I87" s="83"/>
      <c r="J87" s="206"/>
      <c r="K87" s="85"/>
      <c r="L87" s="85"/>
      <c r="M87" s="85"/>
    </row>
    <row r="88" spans="1:13" ht="14.4" customHeight="1">
      <c r="A88" s="92"/>
      <c r="B88" s="92"/>
      <c r="C88" s="92"/>
      <c r="D88" s="92"/>
      <c r="E88" s="92"/>
      <c r="F88" s="92"/>
      <c r="G88" s="92"/>
      <c r="H88" s="93"/>
      <c r="I88" s="92"/>
      <c r="J88" s="92"/>
      <c r="K88" s="92"/>
      <c r="L88" s="92"/>
      <c r="M88" s="93"/>
    </row>
    <row r="89" spans="1:13" ht="14.4" customHeight="1">
      <c r="A89" s="92"/>
      <c r="B89" s="92"/>
      <c r="C89" s="92"/>
      <c r="D89" s="92"/>
      <c r="E89" s="92"/>
      <c r="F89" s="92"/>
      <c r="G89" s="92"/>
      <c r="H89" s="93"/>
      <c r="I89" s="92"/>
      <c r="J89" s="92"/>
      <c r="K89" s="92"/>
      <c r="L89" s="92"/>
      <c r="M89" s="93"/>
    </row>
    <row r="90" spans="1:13" ht="13.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</row>
    <row r="91" spans="1:13" ht="13.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</row>
    <row r="92" spans="1:13" ht="14.4" customHeight="1">
      <c r="A92" s="92"/>
      <c r="B92" s="92"/>
      <c r="C92" s="92"/>
      <c r="D92" s="92"/>
      <c r="E92" s="92"/>
      <c r="F92" s="92"/>
      <c r="G92" s="92"/>
      <c r="H92" s="93"/>
      <c r="I92" s="92"/>
      <c r="J92" s="92"/>
      <c r="K92" s="92"/>
      <c r="L92" s="92"/>
      <c r="M92" s="93"/>
    </row>
    <row r="93" spans="1:13" ht="14.4" customHeight="1">
      <c r="A93" s="92"/>
      <c r="B93" s="92"/>
      <c r="C93" s="92"/>
      <c r="D93" s="92"/>
      <c r="E93" s="92"/>
      <c r="F93" s="92"/>
      <c r="G93" s="92"/>
      <c r="H93" s="93"/>
      <c r="I93" s="92"/>
      <c r="J93" s="92"/>
      <c r="K93" s="92"/>
      <c r="L93" s="92"/>
      <c r="M93" s="93"/>
    </row>
    <row r="94" spans="1:13" ht="13.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</row>
    <row r="95" spans="1:13" ht="13.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</row>
    <row r="96" spans="1:13" ht="13.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</row>
    <row r="97" spans="1:13" ht="13.5" customHeight="1">
      <c r="A97" s="92"/>
      <c r="B97" s="92"/>
      <c r="C97" s="92"/>
      <c r="D97" s="92"/>
      <c r="E97" s="92"/>
      <c r="F97" s="92"/>
      <c r="G97" s="92"/>
      <c r="H97" s="93"/>
      <c r="I97" s="92"/>
      <c r="J97" s="92"/>
      <c r="K97" s="92"/>
      <c r="L97" s="92"/>
      <c r="M97" s="93"/>
    </row>
    <row r="98" spans="1:13" ht="13.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</row>
    <row r="99" spans="1:13" ht="13.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</row>
    <row r="100" spans="1:13" ht="13.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</row>
    <row r="101" spans="1:13" ht="13.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</row>
    <row r="102" spans="1:13" ht="13.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</row>
    <row r="103" spans="1:13" ht="13.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</row>
    <row r="104" spans="1:13" ht="13.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</row>
    <row r="105" spans="1:13" ht="13.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</row>
    <row r="106" spans="1:13" ht="13.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</row>
    <row r="107" spans="1:13" ht="13.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</row>
    <row r="108" spans="1:13" ht="13.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</row>
    <row r="109" spans="1:13" ht="13.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</row>
    <row r="110" spans="1:13" ht="13.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</row>
    <row r="111" spans="1:13" ht="13.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</row>
    <row r="112" spans="1:13" ht="13.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</row>
    <row r="113" spans="1:13" ht="13.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</row>
    <row r="114" spans="1:13" ht="13.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</row>
    <row r="115" spans="1:13" ht="13.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</row>
    <row r="116" spans="1:13" ht="13.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</row>
    <row r="117" spans="1:13" ht="13.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</row>
    <row r="118" spans="1:13" ht="13.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</row>
    <row r="119" spans="1:13" ht="13.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</row>
    <row r="120" spans="1:13" ht="13.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</row>
    <row r="121" spans="1:13" ht="13.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</row>
    <row r="122" spans="1:13" ht="13.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</row>
    <row r="123" spans="1:13" ht="13.5" customHeight="1">
      <c r="A123" s="92"/>
      <c r="B123" s="92"/>
      <c r="C123" s="92"/>
      <c r="D123" s="92"/>
      <c r="E123" s="92"/>
      <c r="F123" s="92"/>
      <c r="G123" s="92"/>
      <c r="H123" s="93"/>
      <c r="I123" s="92"/>
      <c r="J123" s="92"/>
      <c r="K123" s="92"/>
      <c r="L123" s="92"/>
      <c r="M123" s="93"/>
    </row>
  </sheetData>
  <mergeCells count="15">
    <mergeCell ref="A4:D4"/>
    <mergeCell ref="A7:D7"/>
    <mergeCell ref="F8:H8"/>
    <mergeCell ref="B75:G75"/>
    <mergeCell ref="B77:G77"/>
    <mergeCell ref="B70:D70"/>
    <mergeCell ref="B71:D71"/>
    <mergeCell ref="B72:D72"/>
    <mergeCell ref="B73:D73"/>
    <mergeCell ref="B74:D74"/>
    <mergeCell ref="K8:M8"/>
    <mergeCell ref="I12:M12"/>
    <mergeCell ref="A9:M9"/>
    <mergeCell ref="A10:L10"/>
    <mergeCell ref="A11:L11"/>
  </mergeCell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61"/>
  <sheetViews>
    <sheetView showGridLines="0" topLeftCell="A9" workbookViewId="0">
      <selection activeCell="B18" sqref="B18:H36"/>
    </sheetView>
  </sheetViews>
  <sheetFormatPr defaultColWidth="10.109375" defaultRowHeight="15" customHeight="1"/>
  <cols>
    <col min="1" max="1" width="8.109375" style="5" customWidth="1"/>
    <col min="2" max="2" width="35.109375" style="5" customWidth="1"/>
    <col min="3" max="6" width="10.109375" style="5" customWidth="1"/>
    <col min="7" max="7" width="11.109375" style="5" customWidth="1"/>
    <col min="8" max="8" width="12.33203125" style="5" customWidth="1"/>
    <col min="9" max="11" width="10.109375" style="5" customWidth="1"/>
    <col min="12" max="12" width="11.109375" style="5" customWidth="1"/>
    <col min="13" max="13" width="12.33203125" style="5" customWidth="1"/>
    <col min="14" max="16" width="10.109375" style="5" customWidth="1"/>
    <col min="17" max="16384" width="10.109375" style="5"/>
  </cols>
  <sheetData>
    <row r="1" spans="1:15" ht="16.649999999999999" customHeight="1">
      <c r="A1" s="80" t="s">
        <v>73</v>
      </c>
      <c r="B1" s="81"/>
      <c r="C1" s="82"/>
      <c r="D1" s="82"/>
      <c r="E1" s="210"/>
      <c r="F1" s="6"/>
      <c r="G1" s="6"/>
      <c r="H1" s="6"/>
      <c r="I1" s="82"/>
      <c r="J1" s="210"/>
      <c r="K1" s="6"/>
      <c r="L1" s="6"/>
      <c r="M1" s="6"/>
      <c r="N1" s="211"/>
      <c r="O1" s="211"/>
    </row>
    <row r="2" spans="1:15" ht="16.649999999999999" customHeight="1">
      <c r="A2" s="80" t="s">
        <v>74</v>
      </c>
      <c r="B2" s="81"/>
      <c r="C2" s="82"/>
      <c r="D2" s="82"/>
      <c r="E2" s="82"/>
      <c r="F2" s="6"/>
      <c r="G2" s="6"/>
      <c r="H2" s="6"/>
      <c r="I2" s="82"/>
      <c r="J2" s="82"/>
      <c r="K2" s="6"/>
      <c r="L2" s="6"/>
      <c r="M2" s="6"/>
      <c r="N2" s="211"/>
      <c r="O2" s="211"/>
    </row>
    <row r="3" spans="1:15" ht="16.649999999999999" customHeight="1">
      <c r="A3" s="81"/>
      <c r="B3" s="81"/>
      <c r="C3" s="82"/>
      <c r="D3" s="82"/>
      <c r="E3" s="82"/>
      <c r="F3" s="6"/>
      <c r="G3" s="6"/>
      <c r="H3" s="6"/>
      <c r="I3" s="82"/>
      <c r="J3" s="82"/>
      <c r="K3" s="6"/>
      <c r="L3" s="6"/>
      <c r="M3" s="6"/>
      <c r="N3" s="211"/>
      <c r="O3" s="211"/>
    </row>
    <row r="4" spans="1:15" ht="16.649999999999999" customHeight="1">
      <c r="A4" s="734" t="s">
        <v>75</v>
      </c>
      <c r="B4" s="735"/>
      <c r="C4" s="735"/>
      <c r="D4" s="735"/>
      <c r="E4" s="88"/>
      <c r="F4" s="6"/>
      <c r="G4" s="6"/>
      <c r="H4" s="6"/>
      <c r="I4" s="6"/>
      <c r="J4" s="88"/>
      <c r="K4" s="6"/>
      <c r="L4" s="6"/>
      <c r="M4" s="6"/>
      <c r="N4" s="211"/>
      <c r="O4" s="211"/>
    </row>
    <row r="5" spans="1:15" ht="16.649999999999999" customHeight="1">
      <c r="A5" s="80" t="s">
        <v>76</v>
      </c>
      <c r="B5" s="87"/>
      <c r="C5" s="88"/>
      <c r="D5" s="88"/>
      <c r="E5" s="88"/>
      <c r="F5" s="6"/>
      <c r="G5" s="6"/>
      <c r="H5" s="6"/>
      <c r="I5" s="88"/>
      <c r="J5" s="88"/>
      <c r="K5" s="6"/>
      <c r="L5" s="6"/>
      <c r="M5" s="6"/>
      <c r="N5" s="211"/>
      <c r="O5" s="211"/>
    </row>
    <row r="6" spans="1:15" ht="15.6" customHeight="1">
      <c r="A6" s="81"/>
      <c r="B6" s="87"/>
      <c r="C6" s="88"/>
      <c r="D6" s="88"/>
      <c r="E6" s="88"/>
      <c r="F6" s="6"/>
      <c r="G6" s="6"/>
      <c r="H6" s="6"/>
      <c r="I6" s="88"/>
      <c r="J6" s="88"/>
      <c r="K6" s="6"/>
      <c r="L6" s="6"/>
      <c r="M6" s="6"/>
      <c r="N6" s="211"/>
      <c r="O6" s="211"/>
    </row>
    <row r="7" spans="1:15" ht="15.6" customHeight="1">
      <c r="A7" s="81"/>
      <c r="B7" s="87"/>
      <c r="C7" s="88"/>
      <c r="D7" s="88"/>
      <c r="E7" s="88"/>
      <c r="F7" s="6"/>
      <c r="G7" s="6"/>
      <c r="H7" s="6"/>
      <c r="I7" s="88"/>
      <c r="J7" s="88"/>
      <c r="K7" s="6"/>
      <c r="L7" s="6"/>
      <c r="M7" s="6"/>
      <c r="N7" s="211"/>
      <c r="O7" s="211"/>
    </row>
    <row r="8" spans="1:15" ht="15.6" customHeight="1">
      <c r="A8" s="81"/>
      <c r="B8" s="87"/>
      <c r="C8" s="88"/>
      <c r="D8" s="88"/>
      <c r="E8" s="88"/>
      <c r="F8" s="6"/>
      <c r="G8" s="6"/>
      <c r="H8" s="6"/>
      <c r="I8" s="88"/>
      <c r="J8" s="88"/>
      <c r="K8" s="6"/>
      <c r="L8" s="6"/>
      <c r="M8" s="6"/>
      <c r="N8" s="211"/>
      <c r="O8" s="211"/>
    </row>
    <row r="9" spans="1:15" ht="16.649999999999999" customHeight="1">
      <c r="A9" s="734" t="s">
        <v>136</v>
      </c>
      <c r="B9" s="735"/>
      <c r="C9" s="735"/>
      <c r="D9" s="735"/>
      <c r="E9" s="82"/>
      <c r="F9" s="6"/>
      <c r="G9" s="6"/>
      <c r="H9" s="6"/>
      <c r="I9" s="6"/>
      <c r="J9" s="82"/>
      <c r="K9" s="6"/>
      <c r="L9" s="6"/>
      <c r="M9" s="6"/>
      <c r="N9" s="211"/>
      <c r="O9" s="211"/>
    </row>
    <row r="10" spans="1:15" ht="53.25" customHeight="1">
      <c r="A10" s="743" t="s">
        <v>137</v>
      </c>
      <c r="B10" s="744"/>
      <c r="C10" s="744"/>
      <c r="D10" s="744"/>
      <c r="E10" s="744"/>
      <c r="F10" s="744"/>
      <c r="G10" s="744"/>
      <c r="H10" s="744"/>
      <c r="I10" s="6"/>
      <c r="J10" s="6"/>
      <c r="K10" s="6"/>
      <c r="L10" s="6"/>
      <c r="M10" s="6"/>
      <c r="N10" s="211"/>
      <c r="O10" s="211"/>
    </row>
    <row r="11" spans="1:15" ht="12.75" customHeight="1">
      <c r="A11" s="89"/>
      <c r="B11" s="6"/>
      <c r="C11" s="6"/>
      <c r="D11" s="212"/>
      <c r="E11" s="213"/>
      <c r="F11" s="745" t="s">
        <v>374</v>
      </c>
      <c r="G11" s="746"/>
      <c r="H11" s="746"/>
      <c r="I11" s="212"/>
      <c r="J11" s="213"/>
      <c r="K11" s="745" t="s">
        <v>374</v>
      </c>
      <c r="L11" s="746"/>
      <c r="M11" s="746"/>
      <c r="N11" s="211"/>
      <c r="O11" s="211"/>
    </row>
    <row r="12" spans="1:15" ht="15.75" customHeight="1">
      <c r="A12" s="667" t="s">
        <v>375</v>
      </c>
      <c r="B12" s="668"/>
      <c r="C12" s="668"/>
      <c r="D12" s="668"/>
      <c r="E12" s="668"/>
      <c r="F12" s="668"/>
      <c r="G12" s="668"/>
      <c r="H12" s="668"/>
      <c r="I12" s="92"/>
      <c r="J12" s="92"/>
      <c r="K12" s="92"/>
      <c r="L12" s="92"/>
      <c r="M12" s="92"/>
      <c r="N12" s="211"/>
      <c r="O12" s="211"/>
    </row>
    <row r="13" spans="1:15" ht="15.75" customHeight="1">
      <c r="A13" s="667" t="s">
        <v>78</v>
      </c>
      <c r="B13" s="668"/>
      <c r="C13" s="668"/>
      <c r="D13" s="668"/>
      <c r="E13" s="668"/>
      <c r="F13" s="668"/>
      <c r="G13" s="668"/>
      <c r="H13" s="668"/>
      <c r="I13" s="92"/>
      <c r="J13" s="92"/>
      <c r="K13" s="92"/>
      <c r="L13" s="92"/>
      <c r="M13" s="92"/>
      <c r="N13" s="211"/>
      <c r="O13" s="211"/>
    </row>
    <row r="14" spans="1:15" ht="16.5" customHeight="1">
      <c r="A14" s="667" t="s">
        <v>79</v>
      </c>
      <c r="B14" s="668"/>
      <c r="C14" s="668"/>
      <c r="D14" s="668"/>
      <c r="E14" s="668"/>
      <c r="F14" s="668"/>
      <c r="G14" s="668"/>
      <c r="H14" s="668"/>
      <c r="I14" s="214"/>
      <c r="J14" s="214"/>
      <c r="K14" s="214"/>
      <c r="L14" s="214"/>
      <c r="M14" s="214"/>
      <c r="N14" s="211"/>
      <c r="O14" s="211"/>
    </row>
    <row r="15" spans="1:15" ht="15.75" customHeight="1">
      <c r="A15" s="215"/>
      <c r="B15" s="216"/>
      <c r="C15" s="216"/>
      <c r="D15" s="217"/>
      <c r="E15" s="218"/>
      <c r="F15" s="216"/>
      <c r="G15" s="216"/>
      <c r="H15" s="219"/>
      <c r="I15" s="738" t="s">
        <v>315</v>
      </c>
      <c r="J15" s="739"/>
      <c r="K15" s="739"/>
      <c r="L15" s="739"/>
      <c r="M15" s="740"/>
      <c r="N15" s="220"/>
      <c r="O15" s="211"/>
    </row>
    <row r="16" spans="1:15" ht="38.25" customHeight="1">
      <c r="A16" s="7" t="s">
        <v>9</v>
      </c>
      <c r="B16" s="7" t="s">
        <v>10</v>
      </c>
      <c r="C16" s="7" t="s">
        <v>11</v>
      </c>
      <c r="D16" s="7" t="s">
        <v>12</v>
      </c>
      <c r="E16" s="7" t="s">
        <v>13</v>
      </c>
      <c r="F16" s="7" t="s">
        <v>14</v>
      </c>
      <c r="G16" s="7" t="s">
        <v>15</v>
      </c>
      <c r="H16" s="7" t="s">
        <v>16</v>
      </c>
      <c r="I16" s="100" t="s">
        <v>12</v>
      </c>
      <c r="J16" s="100" t="s">
        <v>13</v>
      </c>
      <c r="K16" s="100" t="s">
        <v>14</v>
      </c>
      <c r="L16" s="100" t="s">
        <v>15</v>
      </c>
      <c r="M16" s="100" t="s">
        <v>16</v>
      </c>
      <c r="N16" s="221"/>
      <c r="O16" s="222"/>
    </row>
    <row r="17" spans="1:15" ht="15.75" customHeight="1">
      <c r="A17" s="13"/>
      <c r="B17" s="223" t="s">
        <v>94</v>
      </c>
      <c r="C17" s="224"/>
      <c r="D17" s="225"/>
      <c r="E17" s="225"/>
      <c r="F17" s="225"/>
      <c r="G17" s="225"/>
      <c r="H17" s="225"/>
      <c r="I17" s="225"/>
      <c r="J17" s="225"/>
      <c r="K17" s="225"/>
      <c r="L17" s="225"/>
      <c r="M17" s="225"/>
      <c r="N17" s="226"/>
      <c r="O17" s="227"/>
    </row>
    <row r="18" spans="1:15" ht="25.5" customHeight="1">
      <c r="A18" s="13"/>
      <c r="B18" s="44" t="s">
        <v>376</v>
      </c>
      <c r="C18" s="43" t="s">
        <v>21</v>
      </c>
      <c r="D18" s="251">
        <v>5</v>
      </c>
      <c r="E18" s="46">
        <v>300</v>
      </c>
      <c r="F18" s="46"/>
      <c r="G18" s="46">
        <f>D18*E18</f>
        <v>1500</v>
      </c>
      <c r="H18" s="51"/>
      <c r="I18" s="251">
        <v>5</v>
      </c>
      <c r="J18" s="46">
        <v>300</v>
      </c>
      <c r="K18" s="46"/>
      <c r="L18" s="46">
        <f>I18*J18</f>
        <v>1500</v>
      </c>
      <c r="M18" s="51"/>
      <c r="N18" s="226"/>
      <c r="O18" s="227"/>
    </row>
    <row r="19" spans="1:15" ht="25.5" customHeight="1">
      <c r="A19" s="13"/>
      <c r="B19" s="48" t="s">
        <v>377</v>
      </c>
      <c r="C19" s="48" t="s">
        <v>203</v>
      </c>
      <c r="D19" s="49">
        <v>1</v>
      </c>
      <c r="E19" s="50"/>
      <c r="F19" s="50">
        <f t="shared" ref="F19:K19" si="0">981/1.2</f>
        <v>817.5</v>
      </c>
      <c r="G19" s="252"/>
      <c r="H19" s="51">
        <f>F19*D19</f>
        <v>817.5</v>
      </c>
      <c r="I19" s="49">
        <v>1</v>
      </c>
      <c r="J19" s="50"/>
      <c r="K19" s="50">
        <f t="shared" si="0"/>
        <v>817.5</v>
      </c>
      <c r="L19" s="252"/>
      <c r="M19" s="51">
        <f>K19*I19</f>
        <v>817.5</v>
      </c>
      <c r="N19" s="226"/>
      <c r="O19" s="227"/>
    </row>
    <row r="20" spans="1:15" ht="38.25" customHeight="1">
      <c r="A20" s="13"/>
      <c r="B20" s="44" t="s">
        <v>378</v>
      </c>
      <c r="C20" s="43" t="s">
        <v>27</v>
      </c>
      <c r="D20" s="251">
        <v>8.5</v>
      </c>
      <c r="E20" s="46">
        <v>120</v>
      </c>
      <c r="F20" s="46"/>
      <c r="G20" s="46">
        <f>D20*E20</f>
        <v>1020</v>
      </c>
      <c r="H20" s="51"/>
      <c r="I20" s="251">
        <v>8.5</v>
      </c>
      <c r="J20" s="46">
        <v>120</v>
      </c>
      <c r="K20" s="46"/>
      <c r="L20" s="46">
        <f>I20*J20</f>
        <v>1020</v>
      </c>
      <c r="M20" s="51"/>
      <c r="N20" s="226"/>
      <c r="O20" s="227"/>
    </row>
    <row r="21" spans="1:15" ht="37.5" customHeight="1">
      <c r="A21" s="13"/>
      <c r="B21" s="44" t="s">
        <v>175</v>
      </c>
      <c r="C21" s="43" t="s">
        <v>27</v>
      </c>
      <c r="D21" s="251">
        <v>28</v>
      </c>
      <c r="E21" s="46">
        <f t="shared" ref="E21:J21" si="1">320*1.2</f>
        <v>384</v>
      </c>
      <c r="F21" s="46"/>
      <c r="G21" s="46">
        <f>D21*E21</f>
        <v>10752</v>
      </c>
      <c r="H21" s="51"/>
      <c r="I21" s="251">
        <v>28</v>
      </c>
      <c r="J21" s="46">
        <f t="shared" si="1"/>
        <v>384</v>
      </c>
      <c r="K21" s="46"/>
      <c r="L21" s="46">
        <f>I21*J21</f>
        <v>10752</v>
      </c>
      <c r="M21" s="51"/>
      <c r="N21" s="226"/>
      <c r="O21" s="227"/>
    </row>
    <row r="22" spans="1:15" ht="25.5" customHeight="1">
      <c r="A22" s="13"/>
      <c r="B22" s="48" t="s">
        <v>43</v>
      </c>
      <c r="C22" s="48" t="s">
        <v>37</v>
      </c>
      <c r="D22" s="49">
        <f>D21*0.5*2</f>
        <v>28</v>
      </c>
      <c r="E22" s="50"/>
      <c r="F22" s="50">
        <v>49</v>
      </c>
      <c r="G22" s="252"/>
      <c r="H22" s="51">
        <f>F22*D22</f>
        <v>1372</v>
      </c>
      <c r="I22" s="49">
        <f>I21*0.5*2</f>
        <v>28</v>
      </c>
      <c r="J22" s="50"/>
      <c r="K22" s="50">
        <v>49</v>
      </c>
      <c r="L22" s="252"/>
      <c r="M22" s="51">
        <f>K22*I22</f>
        <v>1372</v>
      </c>
      <c r="N22" s="226"/>
      <c r="O22" s="227"/>
    </row>
    <row r="23" spans="1:15" ht="13.65" customHeight="1">
      <c r="A23" s="13"/>
      <c r="B23" s="48" t="s">
        <v>51</v>
      </c>
      <c r="C23" s="48" t="s">
        <v>21</v>
      </c>
      <c r="D23" s="49">
        <f>D21*20</f>
        <v>560</v>
      </c>
      <c r="E23" s="50"/>
      <c r="F23" s="50">
        <v>0.23</v>
      </c>
      <c r="G23" s="252"/>
      <c r="H23" s="51">
        <f>F23*D23</f>
        <v>128.80000000000001</v>
      </c>
      <c r="I23" s="49">
        <f>I21*20</f>
        <v>560</v>
      </c>
      <c r="J23" s="50"/>
      <c r="K23" s="50">
        <v>0.23</v>
      </c>
      <c r="L23" s="252"/>
      <c r="M23" s="51">
        <f>K23*I23</f>
        <v>128.80000000000001</v>
      </c>
      <c r="N23" s="226"/>
      <c r="O23" s="227"/>
    </row>
    <row r="24" spans="1:15" ht="13.65" customHeight="1">
      <c r="A24" s="13"/>
      <c r="B24" s="48" t="s">
        <v>99</v>
      </c>
      <c r="C24" s="48" t="s">
        <v>21</v>
      </c>
      <c r="D24" s="49">
        <f>D21*20</f>
        <v>560</v>
      </c>
      <c r="E24" s="50"/>
      <c r="F24" s="50">
        <v>0.23</v>
      </c>
      <c r="G24" s="252"/>
      <c r="H24" s="51">
        <f>F24*D24</f>
        <v>128.80000000000001</v>
      </c>
      <c r="I24" s="49">
        <f>I21*20</f>
        <v>560</v>
      </c>
      <c r="J24" s="50"/>
      <c r="K24" s="50">
        <v>0.23</v>
      </c>
      <c r="L24" s="252"/>
      <c r="M24" s="51">
        <f>K24*I24</f>
        <v>128.80000000000001</v>
      </c>
      <c r="N24" s="226"/>
      <c r="O24" s="227"/>
    </row>
    <row r="25" spans="1:15" ht="13.65" customHeight="1">
      <c r="A25" s="13"/>
      <c r="B25" s="240" t="s">
        <v>181</v>
      </c>
      <c r="C25" s="241" t="s">
        <v>27</v>
      </c>
      <c r="D25" s="242">
        <v>112</v>
      </c>
      <c r="E25" s="243">
        <v>22</v>
      </c>
      <c r="F25" s="244"/>
      <c r="G25" s="243">
        <f>ROUND(D25*E25,2)</f>
        <v>2464</v>
      </c>
      <c r="H25" s="243"/>
      <c r="I25" s="242">
        <v>112</v>
      </c>
      <c r="J25" s="243">
        <v>22</v>
      </c>
      <c r="K25" s="244"/>
      <c r="L25" s="243">
        <f>ROUND(I25*J25,2)</f>
        <v>2464</v>
      </c>
      <c r="M25" s="243"/>
      <c r="N25" s="226"/>
      <c r="O25" s="227"/>
    </row>
    <row r="26" spans="1:15" ht="13.65" customHeight="1">
      <c r="A26" s="13"/>
      <c r="B26" s="245" t="s">
        <v>113</v>
      </c>
      <c r="C26" s="245" t="s">
        <v>92</v>
      </c>
      <c r="D26" s="246">
        <f>D25*0.2</f>
        <v>22.400000000000002</v>
      </c>
      <c r="E26" s="244"/>
      <c r="F26" s="20">
        <v>20.02</v>
      </c>
      <c r="G26" s="244"/>
      <c r="H26" s="244">
        <f>ROUND(D26*F26,2)</f>
        <v>448.45</v>
      </c>
      <c r="I26" s="246">
        <f>I25*0.2</f>
        <v>22.400000000000002</v>
      </c>
      <c r="J26" s="244"/>
      <c r="K26" s="20">
        <v>20.02</v>
      </c>
      <c r="L26" s="244"/>
      <c r="M26" s="244">
        <f>ROUND(I26*K26,2)</f>
        <v>448.45</v>
      </c>
      <c r="N26" s="226"/>
      <c r="O26" s="227"/>
    </row>
    <row r="27" spans="1:15" ht="38.25" customHeight="1">
      <c r="A27" s="13"/>
      <c r="B27" s="44" t="s">
        <v>379</v>
      </c>
      <c r="C27" s="43" t="s">
        <v>27</v>
      </c>
      <c r="D27" s="251">
        <v>28</v>
      </c>
      <c r="E27" s="46">
        <v>230</v>
      </c>
      <c r="F27" s="46"/>
      <c r="G27" s="46">
        <f>D27*E27</f>
        <v>6440</v>
      </c>
      <c r="H27" s="51"/>
      <c r="I27" s="251">
        <v>28</v>
      </c>
      <c r="J27" s="46">
        <v>230</v>
      </c>
      <c r="K27" s="46"/>
      <c r="L27" s="46">
        <f>I27*J27</f>
        <v>6440</v>
      </c>
      <c r="M27" s="51"/>
      <c r="N27" s="226"/>
      <c r="O27" s="227"/>
    </row>
    <row r="28" spans="1:15" ht="13.65" customHeight="1">
      <c r="A28" s="13"/>
      <c r="B28" s="48" t="s">
        <v>179</v>
      </c>
      <c r="C28" s="48" t="s">
        <v>88</v>
      </c>
      <c r="D28" s="49">
        <f>D27*5</f>
        <v>140</v>
      </c>
      <c r="E28" s="50"/>
      <c r="F28" s="50">
        <v>5.5</v>
      </c>
      <c r="G28" s="252"/>
      <c r="H28" s="51">
        <f>F28*D28</f>
        <v>770</v>
      </c>
      <c r="I28" s="49">
        <f>I27*5</f>
        <v>140</v>
      </c>
      <c r="J28" s="50"/>
      <c r="K28" s="50">
        <v>5.5</v>
      </c>
      <c r="L28" s="252"/>
      <c r="M28" s="51">
        <f>K28*I28</f>
        <v>770</v>
      </c>
      <c r="N28" s="226"/>
      <c r="O28" s="227"/>
    </row>
    <row r="29" spans="1:15" ht="13.65" customHeight="1">
      <c r="A29" s="13"/>
      <c r="B29" s="240" t="s">
        <v>182</v>
      </c>
      <c r="C29" s="241" t="s">
        <v>27</v>
      </c>
      <c r="D29" s="242">
        <v>28</v>
      </c>
      <c r="E29" s="243">
        <v>140</v>
      </c>
      <c r="F29" s="244"/>
      <c r="G29" s="243">
        <f>ROUND(D29*E29,2)</f>
        <v>3920</v>
      </c>
      <c r="H29" s="243"/>
      <c r="I29" s="242">
        <v>28</v>
      </c>
      <c r="J29" s="243">
        <v>140</v>
      </c>
      <c r="K29" s="244"/>
      <c r="L29" s="243">
        <f>ROUND(I29*J29,2)</f>
        <v>3920</v>
      </c>
      <c r="M29" s="243"/>
      <c r="N29" s="226"/>
      <c r="O29" s="227"/>
    </row>
    <row r="30" spans="1:15" ht="13.65" customHeight="1">
      <c r="A30" s="13"/>
      <c r="B30" s="245" t="s">
        <v>169</v>
      </c>
      <c r="C30" s="245" t="s">
        <v>88</v>
      </c>
      <c r="D30" s="246">
        <f>D29*2.5</f>
        <v>70</v>
      </c>
      <c r="E30" s="244"/>
      <c r="F30" s="247">
        <v>7.82</v>
      </c>
      <c r="G30" s="244"/>
      <c r="H30" s="244">
        <f>ROUND(D30*F30,2)</f>
        <v>547.4</v>
      </c>
      <c r="I30" s="246">
        <f>I29*2.5</f>
        <v>70</v>
      </c>
      <c r="J30" s="244"/>
      <c r="K30" s="247">
        <v>7.82</v>
      </c>
      <c r="L30" s="244"/>
      <c r="M30" s="244">
        <f>ROUND(I30*K30,2)</f>
        <v>547.4</v>
      </c>
      <c r="N30" s="226"/>
      <c r="O30" s="227"/>
    </row>
    <row r="31" spans="1:15" ht="13.65" customHeight="1">
      <c r="A31" s="13"/>
      <c r="B31" s="245" t="s">
        <v>170</v>
      </c>
      <c r="C31" s="245" t="s">
        <v>27</v>
      </c>
      <c r="D31" s="253">
        <f>D29*0.1</f>
        <v>2.8000000000000003</v>
      </c>
      <c r="E31" s="254"/>
      <c r="F31" s="247">
        <v>24.5</v>
      </c>
      <c r="G31" s="244"/>
      <c r="H31" s="244">
        <f>ROUND(D31*F31,2)</f>
        <v>68.599999999999994</v>
      </c>
      <c r="I31" s="253">
        <f>I29*0.1</f>
        <v>2.8000000000000003</v>
      </c>
      <c r="J31" s="254"/>
      <c r="K31" s="247">
        <v>24.5</v>
      </c>
      <c r="L31" s="244"/>
      <c r="M31" s="244">
        <f>ROUND(I31*K31,2)</f>
        <v>68.599999999999994</v>
      </c>
      <c r="N31" s="226"/>
      <c r="O31" s="227"/>
    </row>
    <row r="32" spans="1:15" ht="13.65" customHeight="1">
      <c r="A32" s="13"/>
      <c r="B32" s="240" t="s">
        <v>183</v>
      </c>
      <c r="C32" s="241" t="s">
        <v>27</v>
      </c>
      <c r="D32" s="242">
        <v>28</v>
      </c>
      <c r="E32" s="243">
        <v>80</v>
      </c>
      <c r="F32" s="244"/>
      <c r="G32" s="243">
        <f>ROUND(D32*E32,2)</f>
        <v>2240</v>
      </c>
      <c r="H32" s="243"/>
      <c r="I32" s="242">
        <v>28</v>
      </c>
      <c r="J32" s="243">
        <v>80</v>
      </c>
      <c r="K32" s="244"/>
      <c r="L32" s="243">
        <f>ROUND(I32*J32,2)</f>
        <v>2240</v>
      </c>
      <c r="M32" s="243"/>
      <c r="N32" s="226"/>
      <c r="O32" s="227"/>
    </row>
    <row r="33" spans="1:15" ht="13.65" customHeight="1">
      <c r="A33" s="13"/>
      <c r="B33" s="245" t="s">
        <v>184</v>
      </c>
      <c r="C33" s="245" t="s">
        <v>37</v>
      </c>
      <c r="D33" s="246">
        <f>1.1*D32</f>
        <v>30.800000000000004</v>
      </c>
      <c r="E33" s="244"/>
      <c r="F33" s="247">
        <v>12.5</v>
      </c>
      <c r="G33" s="244"/>
      <c r="H33" s="244">
        <f>ROUND(D33*F33,2)</f>
        <v>385</v>
      </c>
      <c r="I33" s="246">
        <f>1.1*I32</f>
        <v>30.800000000000004</v>
      </c>
      <c r="J33" s="244"/>
      <c r="K33" s="247">
        <v>12.5</v>
      </c>
      <c r="L33" s="244"/>
      <c r="M33" s="244">
        <f>ROUND(I33*K33,2)</f>
        <v>385</v>
      </c>
      <c r="N33" s="226"/>
      <c r="O33" s="227"/>
    </row>
    <row r="34" spans="1:15" ht="13.65" customHeight="1">
      <c r="A34" s="13"/>
      <c r="B34" s="245" t="s">
        <v>185</v>
      </c>
      <c r="C34" s="245" t="s">
        <v>88</v>
      </c>
      <c r="D34" s="246">
        <f>0.3*D32</f>
        <v>8.4</v>
      </c>
      <c r="E34" s="244"/>
      <c r="F34" s="247">
        <v>41</v>
      </c>
      <c r="G34" s="244"/>
      <c r="H34" s="244">
        <f>ROUND(D34*F34,2)</f>
        <v>344.4</v>
      </c>
      <c r="I34" s="256">
        <v>30</v>
      </c>
      <c r="J34" s="244"/>
      <c r="K34" s="247">
        <v>41</v>
      </c>
      <c r="L34" s="244"/>
      <c r="M34" s="244">
        <f>ROUND(I34*K34,2)</f>
        <v>1230</v>
      </c>
      <c r="N34" s="257">
        <f>I32*0.6</f>
        <v>16.8</v>
      </c>
      <c r="O34" s="255" t="s">
        <v>380</v>
      </c>
    </row>
    <row r="35" spans="1:15" ht="13.65" customHeight="1">
      <c r="A35" s="13"/>
      <c r="B35" s="240" t="s">
        <v>186</v>
      </c>
      <c r="C35" s="241" t="s">
        <v>27</v>
      </c>
      <c r="D35" s="242">
        <f>D32</f>
        <v>28</v>
      </c>
      <c r="E35" s="243">
        <v>140</v>
      </c>
      <c r="F35" s="244"/>
      <c r="G35" s="243">
        <f>ROUND(D35*E35,2)</f>
        <v>3920</v>
      </c>
      <c r="H35" s="243"/>
      <c r="I35" s="242">
        <f>I32</f>
        <v>28</v>
      </c>
      <c r="J35" s="243">
        <v>140</v>
      </c>
      <c r="K35" s="244"/>
      <c r="L35" s="243">
        <f>ROUND(I35*J35,2)</f>
        <v>3920</v>
      </c>
      <c r="M35" s="243"/>
      <c r="N35" s="226"/>
      <c r="O35" s="367" t="s">
        <v>381</v>
      </c>
    </row>
    <row r="36" spans="1:15" ht="13.65" customHeight="1">
      <c r="A36" s="13"/>
      <c r="B36" s="245" t="s">
        <v>187</v>
      </c>
      <c r="C36" s="245" t="s">
        <v>88</v>
      </c>
      <c r="D36" s="246">
        <f>1.5*D35</f>
        <v>42</v>
      </c>
      <c r="E36" s="244"/>
      <c r="F36" s="247">
        <v>20.72</v>
      </c>
      <c r="G36" s="244"/>
      <c r="H36" s="244">
        <f>ROUND(D36*F36,2)</f>
        <v>870.24</v>
      </c>
      <c r="I36" s="246">
        <f>1.5*I35</f>
        <v>42</v>
      </c>
      <c r="J36" s="244"/>
      <c r="K36" s="247">
        <v>20.72</v>
      </c>
      <c r="L36" s="244"/>
      <c r="M36" s="244">
        <f>ROUND(I36*K36,2)</f>
        <v>870.24</v>
      </c>
      <c r="N36" s="226"/>
      <c r="O36" s="227"/>
    </row>
    <row r="37" spans="1:15" ht="24" customHeight="1">
      <c r="A37" s="13"/>
      <c r="B37" s="258" t="s">
        <v>382</v>
      </c>
      <c r="C37" s="166" t="s">
        <v>126</v>
      </c>
      <c r="D37" s="136"/>
      <c r="E37" s="167">
        <v>750</v>
      </c>
      <c r="F37" s="167"/>
      <c r="G37" s="168">
        <f>D37*E37</f>
        <v>0</v>
      </c>
      <c r="H37" s="30"/>
      <c r="I37" s="136"/>
      <c r="J37" s="167">
        <v>750</v>
      </c>
      <c r="K37" s="167"/>
      <c r="L37" s="168">
        <f>I37*J37</f>
        <v>0</v>
      </c>
      <c r="M37" s="30"/>
      <c r="N37" s="226"/>
      <c r="O37" s="227"/>
    </row>
    <row r="38" spans="1:15" ht="13.65" customHeight="1">
      <c r="A38" s="47"/>
      <c r="B38" s="722" t="s">
        <v>64</v>
      </c>
      <c r="C38" s="723"/>
      <c r="D38" s="723"/>
      <c r="E38" s="259"/>
      <c r="F38" s="260"/>
      <c r="G38" s="261">
        <f>SUM(G16:G37)</f>
        <v>32256</v>
      </c>
      <c r="H38" s="262"/>
      <c r="I38" s="263"/>
      <c r="J38" s="259"/>
      <c r="K38" s="260"/>
      <c r="L38" s="261">
        <f>SUM(L16:L37)</f>
        <v>32256</v>
      </c>
      <c r="M38" s="262"/>
      <c r="N38" s="233"/>
      <c r="O38" s="234"/>
    </row>
    <row r="39" spans="1:15" ht="13.65" customHeight="1">
      <c r="A39" s="47"/>
      <c r="B39" s="722" t="s">
        <v>65</v>
      </c>
      <c r="C39" s="723"/>
      <c r="D39" s="723"/>
      <c r="E39" s="259"/>
      <c r="F39" s="260"/>
      <c r="G39" s="261"/>
      <c r="H39" s="262">
        <f>SUM(H16:H38)</f>
        <v>5881.19</v>
      </c>
      <c r="I39" s="264"/>
      <c r="J39" s="259"/>
      <c r="K39" s="260"/>
      <c r="L39" s="261"/>
      <c r="M39" s="262">
        <f>SUM(M16:M38)</f>
        <v>6766.79</v>
      </c>
      <c r="N39" s="235"/>
      <c r="O39" s="211"/>
    </row>
    <row r="40" spans="1:15" ht="13.65" customHeight="1">
      <c r="A40" s="47"/>
      <c r="B40" s="722" t="s">
        <v>66</v>
      </c>
      <c r="C40" s="723"/>
      <c r="D40" s="723"/>
      <c r="E40" s="265">
        <v>0.1</v>
      </c>
      <c r="F40" s="260"/>
      <c r="G40" s="260"/>
      <c r="H40" s="259">
        <f>H39*E40</f>
        <v>588.11900000000003</v>
      </c>
      <c r="I40" s="264"/>
      <c r="J40" s="265">
        <v>0.1</v>
      </c>
      <c r="K40" s="260"/>
      <c r="L40" s="260"/>
      <c r="M40" s="259">
        <f>M39*J40</f>
        <v>676.67900000000009</v>
      </c>
      <c r="N40" s="235"/>
      <c r="O40" s="211"/>
    </row>
    <row r="41" spans="1:15" ht="13.65" customHeight="1">
      <c r="A41" s="47"/>
      <c r="B41" s="722" t="s">
        <v>67</v>
      </c>
      <c r="C41" s="723"/>
      <c r="D41" s="723"/>
      <c r="E41" s="265">
        <v>0.1</v>
      </c>
      <c r="F41" s="260"/>
      <c r="G41" s="260">
        <f>G38*E41</f>
        <v>3225.6000000000004</v>
      </c>
      <c r="H41" s="259"/>
      <c r="I41" s="264"/>
      <c r="J41" s="265">
        <v>0.1</v>
      </c>
      <c r="K41" s="260"/>
      <c r="L41" s="260">
        <f>L38*J41</f>
        <v>3225.6000000000004</v>
      </c>
      <c r="M41" s="259"/>
      <c r="N41" s="235"/>
      <c r="O41" s="211"/>
    </row>
    <row r="42" spans="1:15" ht="13.65" customHeight="1">
      <c r="A42" s="47"/>
      <c r="B42" s="722" t="s">
        <v>68</v>
      </c>
      <c r="C42" s="723"/>
      <c r="D42" s="723"/>
      <c r="E42" s="266">
        <v>0.05</v>
      </c>
      <c r="F42" s="260"/>
      <c r="G42" s="260"/>
      <c r="H42" s="259">
        <f>H39*E42</f>
        <v>294.05950000000001</v>
      </c>
      <c r="I42" s="264"/>
      <c r="J42" s="266">
        <v>0.05</v>
      </c>
      <c r="K42" s="260"/>
      <c r="L42" s="260"/>
      <c r="M42" s="259">
        <f>M39*J42</f>
        <v>338.33950000000004</v>
      </c>
      <c r="N42" s="235"/>
      <c r="O42" s="211"/>
    </row>
    <row r="43" spans="1:15" ht="13.65" customHeight="1">
      <c r="A43" s="47"/>
      <c r="B43" s="724" t="s">
        <v>69</v>
      </c>
      <c r="C43" s="725"/>
      <c r="D43" s="725"/>
      <c r="E43" s="725"/>
      <c r="F43" s="725"/>
      <c r="G43" s="725"/>
      <c r="H43" s="267">
        <f>SUM(G38:G42,H38:H42)</f>
        <v>42244.968500000003</v>
      </c>
      <c r="I43" s="268"/>
      <c r="J43" s="186"/>
      <c r="K43" s="186"/>
      <c r="L43" s="187"/>
      <c r="M43" s="267">
        <f>SUM(L38:L42,M38:M42)</f>
        <v>43263.408500000005</v>
      </c>
      <c r="N43" s="235"/>
      <c r="O43" s="211"/>
    </row>
    <row r="44" spans="1:15" ht="13.65" customHeight="1">
      <c r="A44" s="47"/>
      <c r="B44" s="188" t="s">
        <v>213</v>
      </c>
      <c r="C44" s="189"/>
      <c r="D44" s="46"/>
      <c r="E44" s="46"/>
      <c r="F44" s="189"/>
      <c r="G44" s="269">
        <v>0.2</v>
      </c>
      <c r="H44" s="270">
        <f>(H39+H40+H42+G38+G41)/5</f>
        <v>8448.9936999999991</v>
      </c>
      <c r="I44" s="46"/>
      <c r="J44" s="46"/>
      <c r="K44" s="189"/>
      <c r="L44" s="269">
        <v>0.2</v>
      </c>
      <c r="M44" s="270">
        <f>(M39+M40+M42+L38+L41)/5</f>
        <v>8652.6816999999992</v>
      </c>
      <c r="N44" s="235"/>
      <c r="O44" s="211"/>
    </row>
    <row r="45" spans="1:15" ht="13.65" customHeight="1">
      <c r="A45" s="47"/>
      <c r="B45" s="741" t="s">
        <v>71</v>
      </c>
      <c r="C45" s="742"/>
      <c r="D45" s="742"/>
      <c r="E45" s="742"/>
      <c r="F45" s="742"/>
      <c r="G45" s="742"/>
      <c r="H45" s="271">
        <f>SUM(H43:H44)</f>
        <v>50693.962200000002</v>
      </c>
      <c r="I45" s="272"/>
      <c r="J45" s="197"/>
      <c r="K45" s="197"/>
      <c r="L45" s="198"/>
      <c r="M45" s="271">
        <f>SUM(M43:M44)</f>
        <v>51916.090200000006</v>
      </c>
      <c r="N45" s="235"/>
      <c r="O45" s="211"/>
    </row>
    <row r="46" spans="1:15" ht="13.5" customHeight="1">
      <c r="A46" s="273"/>
      <c r="B46" s="273"/>
      <c r="C46" s="273"/>
      <c r="D46" s="273"/>
      <c r="E46" s="273"/>
      <c r="F46" s="273"/>
      <c r="G46" s="273"/>
      <c r="H46" s="273"/>
      <c r="I46" s="6"/>
      <c r="J46" s="6"/>
      <c r="K46" s="6"/>
      <c r="L46" s="6"/>
      <c r="M46" s="273"/>
      <c r="N46" s="211"/>
      <c r="O46" s="211"/>
    </row>
    <row r="47" spans="1:15" ht="12.75" customHeight="1">
      <c r="A47" s="200"/>
      <c r="B47" s="201" t="s">
        <v>129</v>
      </c>
      <c r="C47" s="202"/>
      <c r="D47" s="82"/>
      <c r="E47" s="82"/>
      <c r="F47" s="6"/>
      <c r="G47" s="6"/>
      <c r="H47" s="6"/>
      <c r="I47" s="82"/>
      <c r="J47" s="82"/>
      <c r="K47" s="6"/>
      <c r="L47" s="6"/>
      <c r="M47" s="6"/>
      <c r="N47" s="211"/>
      <c r="O47" s="211"/>
    </row>
    <row r="48" spans="1:15" ht="13.65" customHeight="1">
      <c r="A48" s="200"/>
      <c r="B48" s="204" t="s">
        <v>130</v>
      </c>
      <c r="C48" s="202"/>
      <c r="D48" s="82"/>
      <c r="E48" s="6"/>
      <c r="F48" s="6"/>
      <c r="G48" s="6"/>
      <c r="H48" s="6"/>
      <c r="I48" s="82"/>
      <c r="J48" s="6"/>
      <c r="K48" s="6"/>
      <c r="L48" s="6"/>
      <c r="M48" s="6"/>
      <c r="N48" s="211"/>
      <c r="O48" s="211"/>
    </row>
    <row r="49" spans="1:15" ht="12.75" customHeight="1">
      <c r="A49" s="200"/>
      <c r="B49" s="204" t="s">
        <v>131</v>
      </c>
      <c r="C49" s="204" t="s">
        <v>132</v>
      </c>
      <c r="D49" s="82"/>
      <c r="E49" s="202"/>
      <c r="F49" s="6"/>
      <c r="G49" s="6"/>
      <c r="H49" s="6"/>
      <c r="I49" s="82"/>
      <c r="J49" s="202"/>
      <c r="K49" s="6"/>
      <c r="L49" s="6"/>
      <c r="M49" s="6"/>
      <c r="N49" s="211"/>
      <c r="O49" s="211"/>
    </row>
    <row r="50" spans="1:15" ht="13.2" customHeight="1">
      <c r="A50" s="200"/>
      <c r="B50" s="207"/>
      <c r="C50" s="202"/>
      <c r="D50" s="82"/>
      <c r="E50" s="202"/>
      <c r="F50" s="6"/>
      <c r="G50" s="6"/>
      <c r="H50" s="6"/>
      <c r="I50" s="82"/>
      <c r="J50" s="202"/>
      <c r="K50" s="6"/>
      <c r="L50" s="6"/>
      <c r="M50" s="6"/>
      <c r="N50" s="211"/>
      <c r="O50" s="211"/>
    </row>
    <row r="51" spans="1:15" ht="13.2" customHeight="1">
      <c r="A51" s="200"/>
      <c r="B51" s="207"/>
      <c r="C51" s="202"/>
      <c r="D51" s="82"/>
      <c r="E51" s="202"/>
      <c r="F51" s="6"/>
      <c r="G51" s="6"/>
      <c r="H51" s="6"/>
      <c r="I51" s="82"/>
      <c r="J51" s="202"/>
      <c r="K51" s="6"/>
      <c r="L51" s="6"/>
      <c r="M51" s="6"/>
      <c r="N51" s="211"/>
      <c r="O51" s="211"/>
    </row>
    <row r="52" spans="1:15" ht="13.2" customHeight="1">
      <c r="A52" s="208"/>
      <c r="B52" s="82"/>
      <c r="C52" s="82"/>
      <c r="D52" s="82"/>
      <c r="E52" s="82"/>
      <c r="F52" s="6"/>
      <c r="G52" s="6"/>
      <c r="H52" s="6"/>
      <c r="I52" s="82"/>
      <c r="J52" s="82"/>
      <c r="K52" s="6"/>
      <c r="L52" s="6"/>
      <c r="M52" s="6"/>
      <c r="N52" s="211"/>
      <c r="O52" s="211"/>
    </row>
    <row r="53" spans="1:15" ht="12.75" customHeight="1">
      <c r="A53" s="208"/>
      <c r="B53" s="201" t="s">
        <v>133</v>
      </c>
      <c r="C53" s="82"/>
      <c r="D53" s="82"/>
      <c r="E53" s="82"/>
      <c r="F53" s="6"/>
      <c r="G53" s="6"/>
      <c r="H53" s="6"/>
      <c r="I53" s="82"/>
      <c r="J53" s="82"/>
      <c r="K53" s="6"/>
      <c r="L53" s="6"/>
      <c r="M53" s="6"/>
      <c r="N53" s="211"/>
      <c r="O53" s="211"/>
    </row>
    <row r="54" spans="1:15" ht="13.65" customHeight="1">
      <c r="A54" s="6"/>
      <c r="B54" s="204" t="s">
        <v>134</v>
      </c>
      <c r="C54" s="209" t="str">
        <f>C49</f>
        <v>_________________________     2021 р.</v>
      </c>
      <c r="D54" s="82"/>
      <c r="E54" s="6"/>
      <c r="F54" s="6"/>
      <c r="G54" s="6"/>
      <c r="H54" s="6"/>
      <c r="I54" s="82"/>
      <c r="J54" s="6"/>
      <c r="K54" s="6"/>
      <c r="L54" s="6"/>
      <c r="M54" s="6"/>
      <c r="N54" s="211"/>
      <c r="O54" s="211"/>
    </row>
    <row r="55" spans="1:15" ht="13.2" customHeight="1">
      <c r="A55" s="6"/>
      <c r="B55" s="202"/>
      <c r="C55" s="202"/>
      <c r="D55" s="82"/>
      <c r="E55" s="202"/>
      <c r="F55" s="274"/>
      <c r="G55" s="6"/>
      <c r="H55" s="6"/>
      <c r="I55" s="82"/>
      <c r="J55" s="202"/>
      <c r="K55" s="274"/>
      <c r="L55" s="6"/>
      <c r="M55" s="6"/>
      <c r="N55" s="211"/>
      <c r="O55" s="211"/>
    </row>
    <row r="56" spans="1:15" ht="14.4" customHeight="1">
      <c r="A56" s="92"/>
      <c r="B56" s="92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211"/>
      <c r="O56" s="211"/>
    </row>
    <row r="57" spans="1:15" ht="14.4" customHeight="1">
      <c r="A57" s="92"/>
      <c r="B57" s="92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211"/>
      <c r="O57" s="211"/>
    </row>
    <row r="58" spans="1:15" ht="13.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211"/>
      <c r="O58" s="211"/>
    </row>
    <row r="59" spans="1:15" ht="13.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211"/>
      <c r="O59" s="211"/>
    </row>
    <row r="60" spans="1:15" ht="14.4" customHeight="1">
      <c r="A60" s="92"/>
      <c r="B60" s="92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211"/>
      <c r="O60" s="211"/>
    </row>
    <row r="61" spans="1:15" ht="14.4" customHeight="1">
      <c r="A61" s="92"/>
      <c r="B61" s="92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211"/>
      <c r="O61" s="211"/>
    </row>
  </sheetData>
  <mergeCells count="16">
    <mergeCell ref="A4:D4"/>
    <mergeCell ref="A9:D9"/>
    <mergeCell ref="A10:H10"/>
    <mergeCell ref="F11:H11"/>
    <mergeCell ref="K11:M11"/>
    <mergeCell ref="A12:H12"/>
    <mergeCell ref="A13:H13"/>
    <mergeCell ref="A14:H14"/>
    <mergeCell ref="I15:M15"/>
    <mergeCell ref="B45:G45"/>
    <mergeCell ref="B38:D38"/>
    <mergeCell ref="B39:D39"/>
    <mergeCell ref="B40:D40"/>
    <mergeCell ref="B41:D41"/>
    <mergeCell ref="B42:D42"/>
    <mergeCell ref="B43:G43"/>
  </mergeCell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Обзор экспорта</vt:lpstr>
      <vt:lpstr>ТДЦ1</vt:lpstr>
      <vt:lpstr>ТДЦ2</vt:lpstr>
      <vt:lpstr>ТДЦ3</vt:lpstr>
      <vt:lpstr>ДЦ4ВК</vt:lpstr>
      <vt:lpstr>мелкие мк ТДЦ4</vt:lpstr>
      <vt:lpstr>ТДЦ5</vt:lpstr>
      <vt:lpstr>ТДЦ6</vt:lpstr>
      <vt:lpstr>ТДЦ7</vt:lpstr>
      <vt:lpstr>ТДЦ8</vt:lpstr>
      <vt:lpstr>покр Т</vt:lpstr>
      <vt:lpstr>ТДЦ11</vt:lpstr>
      <vt:lpstr>Манго ДЦ2</vt:lpstr>
      <vt:lpstr>МДЦ1 финанс</vt:lpstr>
      <vt:lpstr>ГКЛ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barsa</dc:creator>
  <cp:lastModifiedBy>G G</cp:lastModifiedBy>
  <cp:lastPrinted>2021-12-26T20:51:07Z</cp:lastPrinted>
  <dcterms:created xsi:type="dcterms:W3CDTF">2021-12-05T09:29:12Z</dcterms:created>
  <dcterms:modified xsi:type="dcterms:W3CDTF">2026-01-15T15:20:25Z</dcterms:modified>
</cp:coreProperties>
</file>