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asko\Documents\РОБОЧА\ФАСКО ГРУП\2026\A-DEVELOPMENT\ГКЛ над витринами\OneDrive_2026-01-15\_ТЗ_ГКЛ над вітринами та під ліхтарями\"/>
    </mc:Choice>
  </mc:AlternateContent>
  <xr:revisionPtr revIDLastSave="0" documentId="13_ncr:1_{2A1D8899-9577-429D-B0EE-642CC8A59A17}" xr6:coauthVersionLast="47" xr6:coauthVersionMax="47" xr10:uidLastSave="{00000000-0000-0000-0000-000000000000}"/>
  <bookViews>
    <workbookView xWindow="-108" yWindow="-108" windowWidth="23256" windowHeight="12456" tabRatio="409" xr2:uid="{00000000-000D-0000-FFFF-FFFF00000000}"/>
  </bookViews>
  <sheets>
    <sheet name="ТЗ" sheetId="3" r:id="rId1"/>
  </sheets>
  <definedNames>
    <definedName name="_xlnm._FilterDatabase" localSheetId="0" hidden="1">ТЗ!$A$7:$K$169</definedName>
    <definedName name="_xlnm.Print_Area" localSheetId="0">ТЗ!$A$1:$K$198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2" i="3" l="1"/>
  <c r="L10" i="3"/>
  <c r="L9" i="3"/>
  <c r="E139" i="3"/>
  <c r="E136" i="3"/>
  <c r="E133" i="3"/>
  <c r="E130" i="3"/>
  <c r="E127" i="3"/>
  <c r="E124" i="3"/>
  <c r="E121" i="3"/>
  <c r="E118" i="3"/>
  <c r="E115" i="3"/>
  <c r="E112" i="3"/>
  <c r="E109" i="3"/>
  <c r="E107" i="3"/>
  <c r="E106" i="3"/>
  <c r="E105" i="3"/>
  <c r="E104" i="3"/>
  <c r="F102" i="3"/>
  <c r="E99" i="3"/>
  <c r="F94" i="3"/>
  <c r="F126" i="3" s="1"/>
  <c r="E93" i="3"/>
  <c r="E92" i="3"/>
  <c r="E91" i="3"/>
  <c r="E90" i="3"/>
  <c r="F88" i="3"/>
  <c r="E85" i="3"/>
  <c r="F80" i="3"/>
  <c r="F86" i="3" s="1"/>
  <c r="H86" i="3" s="1"/>
  <c r="K86" i="3" s="1"/>
  <c r="E79" i="3"/>
  <c r="E78" i="3"/>
  <c r="E77" i="3"/>
  <c r="E76" i="3"/>
  <c r="E71" i="3"/>
  <c r="E65" i="3"/>
  <c r="E64" i="3"/>
  <c r="E63" i="3"/>
  <c r="E62" i="3"/>
  <c r="F60" i="3"/>
  <c r="F46" i="3" s="1"/>
  <c r="E57" i="3"/>
  <c r="F52" i="3"/>
  <c r="F59" i="3" s="1"/>
  <c r="H59" i="3" s="1"/>
  <c r="K59" i="3" s="1"/>
  <c r="E51" i="3"/>
  <c r="E50" i="3"/>
  <c r="E49" i="3"/>
  <c r="E48" i="3"/>
  <c r="E43" i="3"/>
  <c r="E37" i="3"/>
  <c r="E36" i="3"/>
  <c r="E35" i="3"/>
  <c r="E34" i="3"/>
  <c r="F32" i="3"/>
  <c r="F18" i="3" s="1"/>
  <c r="E29" i="3"/>
  <c r="F24" i="3"/>
  <c r="E23" i="3"/>
  <c r="E22" i="3"/>
  <c r="E21" i="3"/>
  <c r="E20" i="3"/>
  <c r="E15" i="3"/>
  <c r="F51" i="3" l="1"/>
  <c r="H51" i="3" s="1"/>
  <c r="K51" i="3" s="1"/>
  <c r="F27" i="3"/>
  <c r="H27" i="3" s="1"/>
  <c r="K27" i="3" s="1"/>
  <c r="F26" i="3"/>
  <c r="H26" i="3" s="1"/>
  <c r="K26" i="3" s="1"/>
  <c r="F29" i="3"/>
  <c r="H29" i="3" s="1"/>
  <c r="K29" i="3" s="1"/>
  <c r="F50" i="3"/>
  <c r="H50" i="3" s="1"/>
  <c r="K50" i="3" s="1"/>
  <c r="F61" i="3"/>
  <c r="H61" i="3" s="1"/>
  <c r="K61" i="3" s="1"/>
  <c r="J60" i="3"/>
  <c r="K60" i="3" s="1"/>
  <c r="F63" i="3"/>
  <c r="H63" i="3" s="1"/>
  <c r="K63" i="3" s="1"/>
  <c r="F64" i="3"/>
  <c r="H64" i="3" s="1"/>
  <c r="K64" i="3" s="1"/>
  <c r="F65" i="3"/>
  <c r="H65" i="3" s="1"/>
  <c r="K65" i="3" s="1"/>
  <c r="F99" i="3"/>
  <c r="H99" i="3" s="1"/>
  <c r="K99" i="3" s="1"/>
  <c r="J102" i="3"/>
  <c r="K102" i="3" s="1"/>
  <c r="F103" i="3"/>
  <c r="H103" i="3" s="1"/>
  <c r="K103" i="3" s="1"/>
  <c r="F104" i="3"/>
  <c r="H104" i="3" s="1"/>
  <c r="K104" i="3" s="1"/>
  <c r="F106" i="3"/>
  <c r="H106" i="3" s="1"/>
  <c r="K106" i="3" s="1"/>
  <c r="F55" i="3"/>
  <c r="H55" i="3" s="1"/>
  <c r="K55" i="3" s="1"/>
  <c r="F20" i="3"/>
  <c r="H20" i="3" s="1"/>
  <c r="K20" i="3" s="1"/>
  <c r="F57" i="3"/>
  <c r="H57" i="3" s="1"/>
  <c r="K57" i="3" s="1"/>
  <c r="F58" i="3"/>
  <c r="H58" i="3" s="1"/>
  <c r="K58" i="3" s="1"/>
  <c r="F107" i="3"/>
  <c r="H107" i="3" s="1"/>
  <c r="K107" i="3" s="1"/>
  <c r="F34" i="3"/>
  <c r="H34" i="3" s="1"/>
  <c r="K34" i="3" s="1"/>
  <c r="F66" i="3"/>
  <c r="F69" i="3" s="1"/>
  <c r="H69" i="3" s="1"/>
  <c r="K69" i="3" s="1"/>
  <c r="F82" i="3"/>
  <c r="H82" i="3" s="1"/>
  <c r="K82" i="3" s="1"/>
  <c r="J94" i="3"/>
  <c r="K94" i="3" s="1"/>
  <c r="F36" i="3"/>
  <c r="H36" i="3" s="1"/>
  <c r="K36" i="3" s="1"/>
  <c r="J52" i="3"/>
  <c r="K52" i="3" s="1"/>
  <c r="F93" i="3"/>
  <c r="H93" i="3" s="1"/>
  <c r="K93" i="3" s="1"/>
  <c r="F96" i="3"/>
  <c r="H96" i="3" s="1"/>
  <c r="K96" i="3" s="1"/>
  <c r="F10" i="3"/>
  <c r="J10" i="3" s="1"/>
  <c r="F53" i="3"/>
  <c r="F97" i="3"/>
  <c r="H97" i="3" s="1"/>
  <c r="K97" i="3" s="1"/>
  <c r="F105" i="3"/>
  <c r="H105" i="3" s="1"/>
  <c r="K105" i="3" s="1"/>
  <c r="F117" i="3"/>
  <c r="F118" i="3" s="1"/>
  <c r="H118" i="3" s="1"/>
  <c r="K118" i="3" s="1"/>
  <c r="F25" i="3"/>
  <c r="F38" i="3"/>
  <c r="F40" i="3" s="1"/>
  <c r="H40" i="3" s="1"/>
  <c r="K40" i="3" s="1"/>
  <c r="F48" i="3"/>
  <c r="H48" i="3" s="1"/>
  <c r="K48" i="3" s="1"/>
  <c r="F62" i="3"/>
  <c r="H62" i="3" s="1"/>
  <c r="K62" i="3" s="1"/>
  <c r="J18" i="3"/>
  <c r="K18" i="3" s="1"/>
  <c r="F19" i="3"/>
  <c r="H19" i="3" s="1"/>
  <c r="K19" i="3" s="1"/>
  <c r="F138" i="3"/>
  <c r="F128" i="3"/>
  <c r="H128" i="3" s="1"/>
  <c r="K128" i="3" s="1"/>
  <c r="J126" i="3"/>
  <c r="K126" i="3" s="1"/>
  <c r="F127" i="3"/>
  <c r="H127" i="3" s="1"/>
  <c r="K127" i="3" s="1"/>
  <c r="F23" i="3"/>
  <c r="H23" i="3" s="1"/>
  <c r="K23" i="3" s="1"/>
  <c r="F22" i="3"/>
  <c r="H22" i="3" s="1"/>
  <c r="K22" i="3" s="1"/>
  <c r="F21" i="3"/>
  <c r="H21" i="3" s="1"/>
  <c r="K21" i="3" s="1"/>
  <c r="J32" i="3"/>
  <c r="K32" i="3" s="1"/>
  <c r="F87" i="3"/>
  <c r="H87" i="3" s="1"/>
  <c r="K87" i="3" s="1"/>
  <c r="F30" i="3"/>
  <c r="H30" i="3" s="1"/>
  <c r="K30" i="3" s="1"/>
  <c r="J46" i="3"/>
  <c r="K46" i="3" s="1"/>
  <c r="J80" i="3"/>
  <c r="K80" i="3" s="1"/>
  <c r="F101" i="3"/>
  <c r="H101" i="3" s="1"/>
  <c r="K101" i="3" s="1"/>
  <c r="F12" i="3"/>
  <c r="H12" i="3" s="1"/>
  <c r="K12" i="3" s="1"/>
  <c r="F33" i="3"/>
  <c r="H33" i="3" s="1"/>
  <c r="K33" i="3" s="1"/>
  <c r="F35" i="3"/>
  <c r="H35" i="3" s="1"/>
  <c r="K35" i="3" s="1"/>
  <c r="F37" i="3"/>
  <c r="H37" i="3" s="1"/>
  <c r="K37" i="3" s="1"/>
  <c r="F74" i="3"/>
  <c r="F77" i="3" s="1"/>
  <c r="H77" i="3" s="1"/>
  <c r="K77" i="3" s="1"/>
  <c r="F83" i="3"/>
  <c r="H83" i="3" s="1"/>
  <c r="K83" i="3" s="1"/>
  <c r="F85" i="3"/>
  <c r="H85" i="3" s="1"/>
  <c r="K85" i="3" s="1"/>
  <c r="F90" i="3"/>
  <c r="H90" i="3" s="1"/>
  <c r="K90" i="3" s="1"/>
  <c r="F92" i="3"/>
  <c r="H92" i="3" s="1"/>
  <c r="K92" i="3" s="1"/>
  <c r="F17" i="3"/>
  <c r="H17" i="3" s="1"/>
  <c r="K17" i="3" s="1"/>
  <c r="F31" i="3"/>
  <c r="H31" i="3" s="1"/>
  <c r="K31" i="3" s="1"/>
  <c r="F81" i="3"/>
  <c r="J88" i="3"/>
  <c r="K88" i="3" s="1"/>
  <c r="F111" i="3"/>
  <c r="F123" i="3"/>
  <c r="F124" i="3" s="1"/>
  <c r="H124" i="3" s="1"/>
  <c r="K124" i="3" s="1"/>
  <c r="F49" i="3"/>
  <c r="H49" i="3" s="1"/>
  <c r="K49" i="3" s="1"/>
  <c r="J24" i="3"/>
  <c r="K24" i="3" s="1"/>
  <c r="F45" i="3"/>
  <c r="H45" i="3" s="1"/>
  <c r="K45" i="3" s="1"/>
  <c r="F54" i="3"/>
  <c r="H54" i="3" s="1"/>
  <c r="K54" i="3" s="1"/>
  <c r="F95" i="3"/>
  <c r="F47" i="3"/>
  <c r="H47" i="3" s="1"/>
  <c r="K47" i="3" s="1"/>
  <c r="F89" i="3"/>
  <c r="H89" i="3" s="1"/>
  <c r="K89" i="3" s="1"/>
  <c r="F91" i="3"/>
  <c r="H91" i="3" s="1"/>
  <c r="K91" i="3" s="1"/>
  <c r="F100" i="3"/>
  <c r="H100" i="3" s="1"/>
  <c r="K100" i="3" s="1"/>
  <c r="J38" i="3" l="1"/>
  <c r="K38" i="3" s="1"/>
  <c r="F39" i="3"/>
  <c r="F108" i="3"/>
  <c r="J108" i="3" s="1"/>
  <c r="K108" i="3" s="1"/>
  <c r="F16" i="3"/>
  <c r="H16" i="3" s="1"/>
  <c r="K16" i="3" s="1"/>
  <c r="F13" i="3"/>
  <c r="H13" i="3" s="1"/>
  <c r="K13" i="3" s="1"/>
  <c r="F11" i="3"/>
  <c r="F114" i="3"/>
  <c r="F44" i="3"/>
  <c r="H44" i="3" s="1"/>
  <c r="K44" i="3" s="1"/>
  <c r="F43" i="3"/>
  <c r="H43" i="3" s="1"/>
  <c r="K43" i="3" s="1"/>
  <c r="F41" i="3"/>
  <c r="H41" i="3" s="1"/>
  <c r="K41" i="3" s="1"/>
  <c r="F68" i="3"/>
  <c r="H68" i="3" s="1"/>
  <c r="K68" i="3" s="1"/>
  <c r="F73" i="3"/>
  <c r="H73" i="3" s="1"/>
  <c r="K73" i="3" s="1"/>
  <c r="F67" i="3"/>
  <c r="H67" i="3" s="1"/>
  <c r="K67" i="3" s="1"/>
  <c r="F120" i="3"/>
  <c r="F135" i="3" s="1"/>
  <c r="H25" i="3"/>
  <c r="K25" i="3" s="1"/>
  <c r="E25" i="3"/>
  <c r="E28" i="3" s="1"/>
  <c r="F28" i="3" s="1"/>
  <c r="H28" i="3" s="1"/>
  <c r="K28" i="3" s="1"/>
  <c r="F71" i="3"/>
  <c r="H71" i="3" s="1"/>
  <c r="K71" i="3" s="1"/>
  <c r="E53" i="3"/>
  <c r="E56" i="3" s="1"/>
  <c r="F56" i="3" s="1"/>
  <c r="H56" i="3" s="1"/>
  <c r="K56" i="3" s="1"/>
  <c r="H53" i="3"/>
  <c r="K53" i="3" s="1"/>
  <c r="J117" i="3"/>
  <c r="K117" i="3" s="1"/>
  <c r="F119" i="3"/>
  <c r="H119" i="3" s="1"/>
  <c r="K119" i="3" s="1"/>
  <c r="F72" i="3"/>
  <c r="H72" i="3" s="1"/>
  <c r="K72" i="3" s="1"/>
  <c r="J66" i="3"/>
  <c r="K66" i="3" s="1"/>
  <c r="F15" i="3"/>
  <c r="H15" i="3" s="1"/>
  <c r="K15" i="3" s="1"/>
  <c r="K10" i="3"/>
  <c r="F125" i="3"/>
  <c r="H125" i="3" s="1"/>
  <c r="K125" i="3" s="1"/>
  <c r="J123" i="3"/>
  <c r="K123" i="3" s="1"/>
  <c r="J111" i="3"/>
  <c r="K111" i="3" s="1"/>
  <c r="F113" i="3"/>
  <c r="H113" i="3" s="1"/>
  <c r="K113" i="3" s="1"/>
  <c r="J120" i="3"/>
  <c r="K120" i="3" s="1"/>
  <c r="H39" i="3"/>
  <c r="K39" i="3" s="1"/>
  <c r="E39" i="3"/>
  <c r="E42" i="3" s="1"/>
  <c r="F42" i="3" s="1"/>
  <c r="H42" i="3" s="1"/>
  <c r="K42" i="3" s="1"/>
  <c r="F110" i="3"/>
  <c r="H110" i="3" s="1"/>
  <c r="K110" i="3" s="1"/>
  <c r="F79" i="3"/>
  <c r="H79" i="3" s="1"/>
  <c r="K79" i="3" s="1"/>
  <c r="H95" i="3"/>
  <c r="K95" i="3" s="1"/>
  <c r="E95" i="3"/>
  <c r="E98" i="3" s="1"/>
  <c r="F98" i="3" s="1"/>
  <c r="H98" i="3" s="1"/>
  <c r="K98" i="3" s="1"/>
  <c r="E81" i="3"/>
  <c r="E84" i="3" s="1"/>
  <c r="F84" i="3" s="1"/>
  <c r="H84" i="3" s="1"/>
  <c r="K84" i="3" s="1"/>
  <c r="H81" i="3"/>
  <c r="K81" i="3" s="1"/>
  <c r="F140" i="3"/>
  <c r="H140" i="3" s="1"/>
  <c r="K140" i="3" s="1"/>
  <c r="J138" i="3"/>
  <c r="K138" i="3" s="1"/>
  <c r="F139" i="3"/>
  <c r="H139" i="3" s="1"/>
  <c r="K139" i="3" s="1"/>
  <c r="J74" i="3"/>
  <c r="K74" i="3" s="1"/>
  <c r="F75" i="3"/>
  <c r="H75" i="3" s="1"/>
  <c r="K75" i="3" s="1"/>
  <c r="F112" i="3"/>
  <c r="H112" i="3" s="1"/>
  <c r="K112" i="3" s="1"/>
  <c r="F76" i="3"/>
  <c r="H76" i="3" s="1"/>
  <c r="K76" i="3" s="1"/>
  <c r="F109" i="3"/>
  <c r="H109" i="3" s="1"/>
  <c r="K109" i="3" s="1"/>
  <c r="F78" i="3"/>
  <c r="H78" i="3" s="1"/>
  <c r="K78" i="3" s="1"/>
  <c r="F129" i="3" l="1"/>
  <c r="E67" i="3"/>
  <c r="E70" i="3" s="1"/>
  <c r="F70" i="3" s="1"/>
  <c r="H70" i="3" s="1"/>
  <c r="K70" i="3" s="1"/>
  <c r="F121" i="3"/>
  <c r="H121" i="3" s="1"/>
  <c r="K121" i="3" s="1"/>
  <c r="F122" i="3"/>
  <c r="H122" i="3" s="1"/>
  <c r="K122" i="3" s="1"/>
  <c r="F116" i="3"/>
  <c r="H116" i="3" s="1"/>
  <c r="K116" i="3" s="1"/>
  <c r="J114" i="3"/>
  <c r="K114" i="3" s="1"/>
  <c r="F132" i="3"/>
  <c r="F115" i="3"/>
  <c r="H115" i="3" s="1"/>
  <c r="K115" i="3" s="1"/>
  <c r="E11" i="3"/>
  <c r="E14" i="3" s="1"/>
  <c r="F14" i="3" s="1"/>
  <c r="H14" i="3" s="1"/>
  <c r="K14" i="3" s="1"/>
  <c r="H11" i="3"/>
  <c r="K11" i="3" s="1"/>
  <c r="J135" i="3"/>
  <c r="K135" i="3" s="1"/>
  <c r="F137" i="3"/>
  <c r="H137" i="3" s="1"/>
  <c r="K137" i="3" s="1"/>
  <c r="F136" i="3"/>
  <c r="H136" i="3" s="1"/>
  <c r="K136" i="3" s="1"/>
  <c r="F131" i="3"/>
  <c r="H131" i="3" s="1"/>
  <c r="K131" i="3" s="1"/>
  <c r="J129" i="3"/>
  <c r="K129" i="3" s="1"/>
  <c r="F130" i="3"/>
  <c r="H130" i="3" s="1"/>
  <c r="K130" i="3" s="1"/>
  <c r="F133" i="3" l="1"/>
  <c r="H133" i="3" s="1"/>
  <c r="K133" i="3" s="1"/>
  <c r="J132" i="3"/>
  <c r="F134" i="3"/>
  <c r="H134" i="3" s="1"/>
  <c r="K134" i="3" s="1"/>
  <c r="H9" i="3"/>
  <c r="K132" i="3" l="1"/>
  <c r="J9" i="3"/>
  <c r="K9" i="3" l="1"/>
  <c r="E154" i="3"/>
  <c r="E168" i="3" l="1"/>
  <c r="F169" i="3" l="1"/>
  <c r="F168" i="3"/>
  <c r="F167" i="3"/>
  <c r="F166" i="3"/>
  <c r="F165" i="3"/>
  <c r="H165" i="3" s="1"/>
  <c r="F164" i="3"/>
  <c r="J163" i="3"/>
  <c r="K163" i="3" s="1"/>
  <c r="F162" i="3"/>
  <c r="E161" i="3"/>
  <c r="F161" i="3" s="1"/>
  <c r="F160" i="3"/>
  <c r="F159" i="3"/>
  <c r="F158" i="3"/>
  <c r="F157" i="3"/>
  <c r="J156" i="3"/>
  <c r="K156" i="3" s="1"/>
  <c r="J149" i="3"/>
  <c r="K149" i="3" s="1"/>
  <c r="F155" i="3"/>
  <c r="F154" i="3"/>
  <c r="F153" i="3"/>
  <c r="F152" i="3"/>
  <c r="F151" i="3"/>
  <c r="H151" i="3" s="1"/>
  <c r="F150" i="3"/>
  <c r="F148" i="3"/>
  <c r="H148" i="3" s="1"/>
  <c r="F145" i="3"/>
  <c r="H145" i="3" s="1"/>
  <c r="F146" i="3"/>
  <c r="H146" i="3" s="1"/>
  <c r="E147" i="3"/>
  <c r="F147" i="3" s="1"/>
  <c r="H147" i="3" s="1"/>
  <c r="F143" i="3"/>
  <c r="H143" i="3" s="1"/>
  <c r="F144" i="3"/>
  <c r="H144" i="3" s="1"/>
  <c r="H161" i="3" l="1"/>
  <c r="K161" i="3" s="1"/>
  <c r="H162" i="3"/>
  <c r="K162" i="3" s="1"/>
  <c r="H154" i="3"/>
  <c r="K154" i="3" s="1"/>
  <c r="H164" i="3"/>
  <c r="K164" i="3" s="1"/>
  <c r="H157" i="3"/>
  <c r="K157" i="3" s="1"/>
  <c r="H150" i="3"/>
  <c r="K150" i="3" s="1"/>
  <c r="H158" i="3"/>
  <c r="K158" i="3" s="1"/>
  <c r="H166" i="3"/>
  <c r="K166" i="3" s="1"/>
  <c r="H155" i="3"/>
  <c r="K155" i="3" s="1"/>
  <c r="H159" i="3"/>
  <c r="K159" i="3" s="1"/>
  <c r="H167" i="3"/>
  <c r="K167" i="3" s="1"/>
  <c r="H152" i="3"/>
  <c r="K152" i="3" s="1"/>
  <c r="H153" i="3"/>
  <c r="K153" i="3" s="1"/>
  <c r="H160" i="3"/>
  <c r="K160" i="3" s="1"/>
  <c r="H168" i="3"/>
  <c r="K168" i="3" s="1"/>
  <c r="H169" i="3"/>
  <c r="K169" i="3" s="1"/>
  <c r="K165" i="3"/>
  <c r="K151" i="3"/>
  <c r="K144" i="3" l="1"/>
  <c r="J142" i="3"/>
  <c r="K142" i="3" s="1"/>
  <c r="K148" i="3"/>
  <c r="K147" i="3"/>
  <c r="K146" i="3"/>
  <c r="K145" i="3"/>
  <c r="K143" i="3"/>
  <c r="F192" i="3" l="1"/>
  <c r="E194" i="3" l="1"/>
  <c r="E193" i="3"/>
  <c r="F194" i="3"/>
  <c r="J185" i="3"/>
  <c r="K185" i="3" s="1"/>
  <c r="F189" i="3"/>
  <c r="F190" i="3" s="1"/>
  <c r="F191" i="3" s="1"/>
  <c r="H191" i="3" s="1"/>
  <c r="E188" i="3"/>
  <c r="F188" i="3" s="1"/>
  <c r="H188" i="3" s="1"/>
  <c r="K188" i="3" s="1"/>
  <c r="E187" i="3"/>
  <c r="F187" i="3" s="1"/>
  <c r="H187" i="3" s="1"/>
  <c r="K187" i="3" s="1"/>
  <c r="E186" i="3"/>
  <c r="F186" i="3" s="1"/>
  <c r="H186" i="3" s="1"/>
  <c r="K186" i="3" s="1"/>
  <c r="E184" i="3"/>
  <c r="F184" i="3" s="1"/>
  <c r="H184" i="3" s="1"/>
  <c r="K184" i="3" s="1"/>
  <c r="E183" i="3"/>
  <c r="F183" i="3" s="1"/>
  <c r="H183" i="3" s="1"/>
  <c r="K183" i="3" s="1"/>
  <c r="E182" i="3"/>
  <c r="F182" i="3" s="1"/>
  <c r="H182" i="3" s="1"/>
  <c r="K182" i="3" s="1"/>
  <c r="J181" i="3"/>
  <c r="K181" i="3" s="1"/>
  <c r="F178" i="3"/>
  <c r="F179" i="3" s="1"/>
  <c r="H194" i="3" l="1"/>
  <c r="K194" i="3" s="1"/>
  <c r="H179" i="3"/>
  <c r="K179" i="3" s="1"/>
  <c r="K191" i="3"/>
  <c r="J192" i="3"/>
  <c r="K192" i="3" s="1"/>
  <c r="F193" i="3"/>
  <c r="H193" i="3" s="1"/>
  <c r="K193" i="3" s="1"/>
  <c r="J189" i="3"/>
  <c r="K189" i="3" s="1"/>
  <c r="H190" i="3"/>
  <c r="K190" i="3" s="1"/>
  <c r="J178" i="3"/>
  <c r="K178" i="3" s="1"/>
  <c r="E177" i="3" l="1"/>
  <c r="F177" i="3" s="1"/>
  <c r="E173" i="3"/>
  <c r="E176" i="3"/>
  <c r="F176" i="3" s="1"/>
  <c r="E175" i="3"/>
  <c r="F175" i="3"/>
  <c r="J174" i="3"/>
  <c r="K174" i="3" s="1"/>
  <c r="J170" i="3"/>
  <c r="F173" i="3"/>
  <c r="E172" i="3"/>
  <c r="F172" i="3" s="1"/>
  <c r="H172" i="3" s="1"/>
  <c r="E171" i="3"/>
  <c r="F171" i="3" s="1"/>
  <c r="H171" i="3" s="1"/>
  <c r="J141" i="3" l="1"/>
  <c r="J195" i="3" s="1"/>
  <c r="H176" i="3"/>
  <c r="K176" i="3" s="1"/>
  <c r="H173" i="3"/>
  <c r="K173" i="3" s="1"/>
  <c r="H175" i="3"/>
  <c r="K175" i="3" s="1"/>
  <c r="H177" i="3"/>
  <c r="K177" i="3" s="1"/>
  <c r="K172" i="3"/>
  <c r="K170" i="3"/>
  <c r="K171" i="3"/>
  <c r="J197" i="3" l="1"/>
  <c r="J196" i="3" s="1"/>
  <c r="F180" i="3"/>
  <c r="H180" i="3" s="1"/>
  <c r="H141" i="3" s="1"/>
  <c r="H195" i="3" s="1"/>
  <c r="K180" i="3" l="1"/>
  <c r="H197" i="3" l="1"/>
  <c r="H196" i="3" s="1"/>
  <c r="K195" i="3"/>
  <c r="K196" i="3" s="1"/>
  <c r="K197" i="3" s="1"/>
  <c r="K141" i="3"/>
</calcChain>
</file>

<file path=xl/sharedStrings.xml><?xml version="1.0" encoding="utf-8"?>
<sst xmlns="http://schemas.openxmlformats.org/spreadsheetml/2006/main" count="439" uniqueCount="111">
  <si>
    <t>КОМЕРЦІЙНА ПРОПОЗИЦІЯ</t>
  </si>
  <si>
    <t>на виконання комплексу робіт по</t>
  </si>
  <si>
    <t>влаштуванню фризів над вітринами, під ліхтарями та коробів для вивісок з ГКЛ секції 00104</t>
  </si>
  <si>
    <t xml:space="preserve">№ </t>
  </si>
  <si>
    <t>Найменування робіт, матеріалів та механізмів</t>
  </si>
  <si>
    <t>Код за ДК 016:2010</t>
  </si>
  <si>
    <t>Од. вим.</t>
  </si>
  <si>
    <t>Норма витрат</t>
  </si>
  <si>
    <t>Кіл-ть</t>
  </si>
  <si>
    <t>Вартість матеріалів та механізмів,
грн. (без ПДВ)</t>
  </si>
  <si>
    <r>
      <t>Вартість</t>
    </r>
    <r>
      <rPr>
        <b/>
        <i/>
        <sz val="11"/>
        <rFont val="Calibri"/>
        <family val="2"/>
        <charset val="204"/>
        <scheme val="minor"/>
      </rPr>
      <t xml:space="preserve"> робіт</t>
    </r>
    <r>
      <rPr>
        <i/>
        <sz val="11"/>
        <rFont val="Calibri"/>
        <family val="2"/>
        <charset val="204"/>
        <scheme val="minor"/>
      </rPr>
      <t>,
грн. (без ПДВ)</t>
    </r>
  </si>
  <si>
    <t>Всього,
грн. (без ПДВ)</t>
  </si>
  <si>
    <t>Ціна, за одиницю</t>
  </si>
  <si>
    <t>Вартість,
всього</t>
  </si>
  <si>
    <t>2</t>
  </si>
  <si>
    <t>Влаштування коробів для вивісок</t>
  </si>
  <si>
    <t>Влаштування каркасу коробів для вивісок для обшивки ГКЛ на відм. -9.000 (Каркас h=1м на висоті вище 4 м)</t>
  </si>
  <si>
    <t>м2</t>
  </si>
  <si>
    <t>КНАУФ-профиль UD-27  L-4000</t>
  </si>
  <si>
    <t>м</t>
  </si>
  <si>
    <t>Саморіз по металу з свердлом</t>
  </si>
  <si>
    <t>шт</t>
  </si>
  <si>
    <t>Шуруп LN 3,5х9мм</t>
  </si>
  <si>
    <t>Стрічка ущільнювальна "Knauf" Дихтунгсбанд</t>
  </si>
  <si>
    <t>КНАУФ-профиль CD-60  L-4000</t>
  </si>
  <si>
    <t>Труба 40х25х2</t>
  </si>
  <si>
    <t>т</t>
  </si>
  <si>
    <t>Грунт ГФ-021</t>
  </si>
  <si>
    <t>кг</t>
  </si>
  <si>
    <t>Обшивання коробів для вивісок з ГКЛ на відм. -9.000 (ГКЛ h=1м на висоті вище 4 м)</t>
  </si>
  <si>
    <t>Гіпсокартон вологостійкий "Knauf" 3000х1200х12,5мм</t>
  </si>
  <si>
    <t>м²</t>
  </si>
  <si>
    <t>Саморіз TN25</t>
  </si>
  <si>
    <t>Стрічка для швів</t>
  </si>
  <si>
    <t>Грунтівка "Knauf" Тифенгрунд</t>
  </si>
  <si>
    <t>л</t>
  </si>
  <si>
    <t>Шпаклівка "Knauf" Fugenfuller (для швів)</t>
  </si>
  <si>
    <t>Влаштування радіусного каркасу коробів для вивісок для обшивки ГКЛ на відм. -9.000 (Каркас h=1м на висоті вище 4 м)</t>
  </si>
  <si>
    <t>Обшивання радіусних коробів для вивісок з ГКЛ на відм. -9.000 (ГКЛ h=1м на висоті вище 4 м)</t>
  </si>
  <si>
    <t>Влаштування каркасу коробів для вивісок для обшивки ГКЛ на відм. 0.000 (Каркас h=1м на висоті вище 4 м)</t>
  </si>
  <si>
    <t>Обшивання коробів для вивісок з ГКЛ на відм. 0.000 (ГКЛ h=1м на висоті вище 4 м)</t>
  </si>
  <si>
    <t>Влаштування радіусного каркасу коробів для вивісок для обшивки ГКЛ на відм. 0.000 (Каркас h=1м на висоті вище 4 м)</t>
  </si>
  <si>
    <t>Обшивання радіусних коробів для вивісок з ГКЛ на відм. 0.000 (ГКЛ h=1м на висоті вище 4 м)</t>
  </si>
  <si>
    <t>Влаштування каркасу коробів для вивісок для обшивки ГКЛ на відм. +6.150 (Каркас h=1м на висоті вище 4 м)</t>
  </si>
  <si>
    <t>Обшивання коробів для вивісок з ГКЛ на відм. +6.150 (ГКЛ h=1м на висоті вище 4 м)</t>
  </si>
  <si>
    <t>Влаштування радіусного каркасу коробів для вивісок для обшивки ГКЛ на відм. +6.150 (Каркас h=1м на висоті вище 4 м)</t>
  </si>
  <si>
    <t>Обшивання радіусних коробів для вивісок з ГКЛ на відм. +6.150 (ГКЛ h=1м на висоті вище 4 м)</t>
  </si>
  <si>
    <t>Влаштування каркасу коробів для вивісок для обшивки ГКЛ на відм. +12.300 (Каркас h=1м на висоті вище 4 м)</t>
  </si>
  <si>
    <t>Обшивання коробів для вивісок з ГКЛ на відм. +12.300 (ГКЛ h=1м на висоті вище 4 м)</t>
  </si>
  <si>
    <t>Шпаклювання коробів для вивісок з ГКЛ зі сторони МЗК в два шари на відм. -9.000 (на висоті вище 4 м)</t>
  </si>
  <si>
    <t>Грунтівка "Ceresit" СT17</t>
  </si>
  <si>
    <t>Шпаклівка типу "Knauf" Multi-Finish</t>
  </si>
  <si>
    <t>Шпаклювання радіусних коробів для вивісок з ГКЛ зі сторони МЗК в два шари на відм. -9.000 (на висоті вище 4 м)</t>
  </si>
  <si>
    <t>Шпаклювання коробів для вивісок з ГКЛ зі сторони МЗК в два шари на відм. 0.000 (на висоті вище 4 м)</t>
  </si>
  <si>
    <t>Шпаклювання радіусних коробів для вивісок з ГКЛ зі сторони МЗК в два шари на відм. 0.000 (на висоті вище 4 м)</t>
  </si>
  <si>
    <t>Шпаклювання коробів для вивісок з ГКЛ зі сторони МЗК в два шари на відм. +6.150 (на висоті вище 4 м)</t>
  </si>
  <si>
    <t>Шпаклювання радіусних коробів для вивісок з ГКЛ зі сторони МЗК в два шари на відм. +6.150 (на висоті вище 4 м)</t>
  </si>
  <si>
    <t>Шпаклювання коробів для вивісок з ГКЛ зі сторони МЗК в два шари на відм. +12.300 (на висоті вище 4 м)</t>
  </si>
  <si>
    <t>Фарбування коробів для вивісок з ГКЛ зі сторони МЗК за два рази на відм. -9.000 (на висоті вище 4 м)</t>
  </si>
  <si>
    <t>Фарба акрилова (RAL 9005 мат)</t>
  </si>
  <si>
    <t>Фарбування коробів для вивісок з ГКЛ зі сторони МЗК за два рази на відм. 0.000 (на висоті вище 4 м)</t>
  </si>
  <si>
    <t>Фарбування коробів для вивісок з ГКЛ зі сторони МЗК за два рази на відм. +6.150 (на висоті вище 4 м)</t>
  </si>
  <si>
    <t>Фарбування коробів для вивісок з ГКЛ зі сторони МЗК за два рази на відм. +12.300 (на висоті вище 4 м)</t>
  </si>
  <si>
    <t>3</t>
  </si>
  <si>
    <t>4</t>
  </si>
  <si>
    <t>Додаткові роботи Влаштування відкоів</t>
  </si>
  <si>
    <t>Влаштування відкосів із ГКЛ в один шар, ширина до 20 см</t>
  </si>
  <si>
    <t>43.31</t>
  </si>
  <si>
    <t>Профіль UD-27 L-3м 0,55мм</t>
  </si>
  <si>
    <t>Дюбель для швидкого монтажу з комiрцем 6*40 мм</t>
  </si>
  <si>
    <t>Профіль CD-60 L-3м 0,55мм</t>
  </si>
  <si>
    <t>Влаштування відкосів із ГКЛ в один шар, ширина до 10 см</t>
  </si>
  <si>
    <t>Влаштування арочних відкосів із ГКЛ в один шар, ширина до 20 см</t>
  </si>
  <si>
    <t>Влаштування арочних відкосів із ГКЛ в один шар, ширина до 10 см</t>
  </si>
  <si>
    <t>м.п.</t>
  </si>
  <si>
    <t>Шпаклювання укосів з ГКЛ шириною до 20 см в два шари</t>
  </si>
  <si>
    <t>43.34</t>
  </si>
  <si>
    <t>Шпаклювання укосів з ГКЛ шириною до 10 см в два шари</t>
  </si>
  <si>
    <t>Встановлення перфорованого алюмінієвого кутика на відкоси</t>
  </si>
  <si>
    <t>Кутик  алюмінієвий, 3м</t>
  </si>
  <si>
    <t>43.33</t>
  </si>
  <si>
    <t>Шпаклювання арочних укосів з ГКЛ шириною до 20 см в два шари</t>
  </si>
  <si>
    <t>Встановлення перфорованого пластикового кутика на арочні відкоси</t>
  </si>
  <si>
    <t>Фарбування відкосів шириною до 20 см за два рази (із захистом та очищенням віконних та дверних виробів)</t>
  </si>
  <si>
    <t>Ельф Фарба для зовнішних та внутрішніх робіт FASADE  - RAL 7035</t>
  </si>
  <si>
    <t>Всього грн., без ПДВ</t>
  </si>
  <si>
    <t>ПДВ 20%</t>
  </si>
  <si>
    <t>Всього, з ПДВ</t>
  </si>
  <si>
    <t xml:space="preserve">на об'єкті: «Будівництво торгово-розважального і спортивно-оздоровчого комплексу з підземним паркінгом, кінотеатром та житловими будинками з вбудовано-прибудованими приміщеннями </t>
  </si>
  <si>
    <t>1</t>
  </si>
  <si>
    <t>5</t>
  </si>
  <si>
    <t>25</t>
  </si>
  <si>
    <t>12</t>
  </si>
  <si>
    <t>7</t>
  </si>
  <si>
    <t>6</t>
  </si>
  <si>
    <t>8</t>
  </si>
  <si>
    <t>9</t>
  </si>
  <si>
    <t>10</t>
  </si>
  <si>
    <t>11</t>
  </si>
  <si>
    <t>22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</si>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</sst>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_-;\-* #,##0.00_-;_-* \-??_-;_-@_-"/>
    <numFmt numFmtId="166" formatCode="#,##0.000"/>
  </numFmts>
  <fonts count="35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i/>
      <sz val="11"/>
      <name val="Calibri"/>
      <family val="2"/>
      <charset val="204"/>
    </font>
    <font>
      <b/>
      <sz val="11"/>
      <color theme="0"/>
      <name val="Calibri"/>
      <family val="2"/>
      <charset val="204"/>
    </font>
    <font>
      <i/>
      <sz val="11"/>
      <color rgb="FFFF0000"/>
      <name val="Times New Roman"/>
      <family val="1"/>
      <charset val="204"/>
    </font>
    <font>
      <i/>
      <sz val="11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0"/>
      <color rgb="FF000000"/>
      <name val="Arial"/>
      <family val="2"/>
      <charset val="204"/>
    </font>
    <font>
      <sz val="8"/>
      <name val="Arial"/>
      <family val="2"/>
      <charset val="1"/>
    </font>
    <font>
      <b/>
      <sz val="11"/>
      <color rgb="FF000099"/>
      <name val="Calibri"/>
      <family val="2"/>
      <charset val="204"/>
    </font>
    <font>
      <i/>
      <sz val="11"/>
      <color rgb="FF000099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4" fillId="0" borderId="0"/>
    <xf numFmtId="0" fontId="5" fillId="0" borderId="0"/>
    <xf numFmtId="0" fontId="14" fillId="0" borderId="0"/>
    <xf numFmtId="0" fontId="5" fillId="0" borderId="0"/>
    <xf numFmtId="0" fontId="28" fillId="0" borderId="0"/>
    <xf numFmtId="0" fontId="29" fillId="0" borderId="0"/>
    <xf numFmtId="0" fontId="27" fillId="0" borderId="0"/>
    <xf numFmtId="0" fontId="17" fillId="0" borderId="0">
      <alignment horizontal="left"/>
    </xf>
    <xf numFmtId="0" fontId="30" fillId="0" borderId="0"/>
    <xf numFmtId="0" fontId="31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 applyBorder="0" applyProtection="0"/>
    <xf numFmtId="165" fontId="28" fillId="0" borderId="0" applyBorder="0" applyProtection="0"/>
    <xf numFmtId="0" fontId="28" fillId="0" borderId="0" applyBorder="0" applyProtection="0"/>
    <xf numFmtId="165" fontId="28" fillId="0" borderId="0" applyBorder="0" applyProtection="0"/>
    <xf numFmtId="165" fontId="28" fillId="0" borderId="0" applyBorder="0" applyProtection="0"/>
    <xf numFmtId="165" fontId="28" fillId="0" borderId="0" applyBorder="0" applyProtection="0"/>
    <xf numFmtId="0" fontId="29" fillId="0" borderId="0"/>
  </cellStyleXfs>
  <cellXfs count="125">
    <xf numFmtId="0" fontId="0" fillId="0" borderId="0" xfId="0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49" fontId="12" fillId="3" borderId="15" xfId="0" applyNumberFormat="1" applyFont="1" applyFill="1" applyBorder="1" applyAlignment="1">
      <alignment horizontal="center" vertical="center" wrapText="1"/>
    </xf>
    <xf numFmtId="49" fontId="12" fillId="3" borderId="15" xfId="0" applyNumberFormat="1" applyFont="1" applyFill="1" applyBorder="1" applyAlignment="1">
      <alignment horizontal="left" vertical="center" wrapText="1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17" xfId="0" applyNumberFormat="1" applyFont="1" applyFill="1" applyBorder="1" applyAlignment="1">
      <alignment horizontal="center" vertical="center" wrapText="1"/>
    </xf>
    <xf numFmtId="4" fontId="12" fillId="3" borderId="4" xfId="0" applyNumberFormat="1" applyFont="1" applyFill="1" applyBorder="1" applyAlignment="1">
      <alignment horizontal="center" vertical="center" wrapText="1"/>
    </xf>
    <xf numFmtId="4" fontId="12" fillId="3" borderId="18" xfId="0" applyNumberFormat="1" applyFont="1" applyFill="1" applyBorder="1" applyAlignment="1">
      <alignment horizontal="center" vertical="center" wrapText="1"/>
    </xf>
    <xf numFmtId="4" fontId="13" fillId="3" borderId="17" xfId="0" applyNumberFormat="1" applyFont="1" applyFill="1" applyBorder="1" applyAlignment="1" applyProtection="1">
      <alignment horizontal="center" vertical="center" wrapText="1"/>
      <protection locked="0"/>
    </xf>
    <xf numFmtId="4" fontId="12" fillId="3" borderId="15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left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4" fontId="8" fillId="0" borderId="22" xfId="0" applyNumberFormat="1" applyFont="1" applyBorder="1" applyAlignment="1">
      <alignment horizontal="center" vertical="center" wrapText="1"/>
    </xf>
    <xf numFmtId="4" fontId="11" fillId="0" borderId="2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right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22" xfId="0" applyNumberFormat="1" applyFont="1" applyBorder="1" applyAlignment="1">
      <alignment horizontal="center" vertical="center" wrapText="1"/>
    </xf>
    <xf numFmtId="4" fontId="10" fillId="0" borderId="21" xfId="0" applyNumberFormat="1" applyFont="1" applyBorder="1" applyAlignment="1" applyProtection="1">
      <alignment horizontal="center" vertical="center" wrapText="1"/>
      <protection locked="0"/>
    </xf>
    <xf numFmtId="4" fontId="12" fillId="4" borderId="19" xfId="0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4" fontId="15" fillId="2" borderId="5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  <xf numFmtId="4" fontId="7" fillId="2" borderId="14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center" vertical="center" wrapText="1"/>
    </xf>
    <xf numFmtId="4" fontId="10" fillId="2" borderId="14" xfId="4" applyNumberFormat="1" applyFont="1" applyFill="1" applyBorder="1" applyAlignment="1">
      <alignment horizontal="center" vertical="center" wrapText="1"/>
    </xf>
    <xf numFmtId="4" fontId="15" fillId="2" borderId="10" xfId="0" applyNumberFormat="1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9" fontId="12" fillId="2" borderId="28" xfId="0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" fontId="12" fillId="2" borderId="29" xfId="0" applyNumberFormat="1" applyFont="1" applyFill="1" applyBorder="1" applyAlignment="1">
      <alignment horizontal="center" vertical="center" wrapText="1"/>
    </xf>
    <xf numFmtId="4" fontId="12" fillId="2" borderId="28" xfId="0" applyNumberFormat="1" applyFont="1" applyFill="1" applyBorder="1" applyAlignment="1">
      <alignment horizontal="center" vertical="center" wrapText="1"/>
    </xf>
    <xf numFmtId="4" fontId="13" fillId="2" borderId="28" xfId="0" applyNumberFormat="1" applyFont="1" applyFill="1" applyBorder="1" applyAlignment="1">
      <alignment horizontal="center" vertical="center" wrapText="1"/>
    </xf>
    <xf numFmtId="4" fontId="13" fillId="2" borderId="29" xfId="4" applyNumberFormat="1" applyFont="1" applyFill="1" applyBorder="1" applyAlignment="1">
      <alignment horizontal="center" vertical="center" wrapText="1"/>
    </xf>
    <xf numFmtId="4" fontId="15" fillId="2" borderId="27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8" fillId="0" borderId="21" xfId="0" applyNumberFormat="1" applyFont="1" applyBorder="1" applyAlignment="1" applyProtection="1">
      <alignment horizontal="center" vertical="center" wrapText="1"/>
      <protection locked="0"/>
    </xf>
    <xf numFmtId="4" fontId="7" fillId="0" borderId="21" xfId="0" applyNumberFormat="1" applyFont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8" fillId="5" borderId="19" xfId="0" applyNumberFormat="1" applyFont="1" applyFill="1" applyBorder="1" applyAlignment="1">
      <alignment horizontal="center" vertical="center" wrapText="1"/>
    </xf>
    <xf numFmtId="49" fontId="7" fillId="5" borderId="19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 applyProtection="1">
      <alignment horizontal="center" vertical="center" wrapText="1"/>
      <protection locked="0"/>
    </xf>
    <xf numFmtId="49" fontId="7" fillId="0" borderId="2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2" fontId="11" fillId="0" borderId="21" xfId="0" applyNumberFormat="1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2" fillId="0" borderId="21" xfId="0" applyNumberFormat="1" applyFont="1" applyBorder="1" applyAlignment="1" applyProtection="1">
      <alignment horizontal="center" vertical="center" wrapText="1"/>
      <protection locked="0"/>
    </xf>
    <xf numFmtId="4" fontId="21" fillId="0" borderId="22" xfId="0" applyNumberFormat="1" applyFont="1" applyBorder="1" applyAlignment="1">
      <alignment horizontal="center" vertical="center" wrapText="1"/>
    </xf>
    <xf numFmtId="4" fontId="23" fillId="0" borderId="21" xfId="0" applyNumberFormat="1" applyFont="1" applyBorder="1" applyAlignment="1" applyProtection="1">
      <alignment horizontal="center" vertical="center" wrapText="1"/>
      <protection locked="0"/>
    </xf>
    <xf numFmtId="4" fontId="20" fillId="0" borderId="19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right" vertical="center" wrapText="1"/>
    </xf>
    <xf numFmtId="0" fontId="24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18" fillId="0" borderId="22" xfId="0" applyNumberFormat="1" applyFont="1" applyBorder="1" applyAlignment="1">
      <alignment horizontal="center" vertical="center" wrapText="1"/>
    </xf>
    <xf numFmtId="4" fontId="25" fillId="0" borderId="21" xfId="0" applyNumberFormat="1" applyFont="1" applyBorder="1" applyAlignment="1" applyProtection="1">
      <alignment horizontal="center" vertical="center" wrapText="1"/>
      <protection locked="0"/>
    </xf>
    <xf numFmtId="4" fontId="18" fillId="0" borderId="22" xfId="0" applyNumberFormat="1" applyFont="1" applyBorder="1" applyAlignment="1">
      <alignment horizontal="center" vertical="center" wrapText="1"/>
    </xf>
    <xf numFmtId="4" fontId="26" fillId="0" borderId="21" xfId="0" applyNumberFormat="1" applyFont="1" applyBorder="1" applyAlignment="1" applyProtection="1">
      <alignment horizontal="center" vertical="center" wrapText="1"/>
      <protection locked="0"/>
    </xf>
    <xf numFmtId="4" fontId="20" fillId="0" borderId="22" xfId="0" applyNumberFormat="1" applyFont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0" fontId="20" fillId="0" borderId="20" xfId="5" applyFont="1" applyBorder="1" applyAlignment="1">
      <alignment horizontal="center" vertical="center" wrapText="1"/>
    </xf>
    <xf numFmtId="0" fontId="20" fillId="0" borderId="21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4" fontId="23" fillId="0" borderId="21" xfId="5" applyNumberFormat="1" applyFont="1" applyBorder="1" applyAlignment="1" applyProtection="1">
      <alignment horizontal="center" vertical="center" wrapText="1"/>
      <protection locked="0"/>
    </xf>
    <xf numFmtId="4" fontId="20" fillId="0" borderId="22" xfId="5" applyNumberFormat="1" applyFont="1" applyBorder="1" applyAlignment="1">
      <alignment horizontal="center" vertical="center" wrapText="1"/>
    </xf>
    <xf numFmtId="0" fontId="18" fillId="0" borderId="21" xfId="5" applyFont="1" applyBorder="1" applyAlignment="1">
      <alignment horizontal="center" vertical="center" wrapText="1"/>
    </xf>
    <xf numFmtId="0" fontId="18" fillId="0" borderId="1" xfId="5" applyFont="1" applyBorder="1" applyAlignment="1">
      <alignment horizontal="center" vertical="center" wrapText="1"/>
    </xf>
    <xf numFmtId="4" fontId="18" fillId="0" borderId="22" xfId="5" applyNumberFormat="1" applyFont="1" applyBorder="1" applyAlignment="1">
      <alignment horizontal="center" vertical="center" wrapText="1"/>
    </xf>
    <xf numFmtId="0" fontId="18" fillId="0" borderId="19" xfId="5" applyFont="1" applyBorder="1" applyAlignment="1">
      <alignment horizontal="right" vertical="center" wrapText="1"/>
    </xf>
    <xf numFmtId="0" fontId="20" fillId="0" borderId="19" xfId="5" applyFont="1" applyBorder="1" applyAlignment="1">
      <alignment horizontal="left" vertical="center" wrapText="1"/>
    </xf>
    <xf numFmtId="0" fontId="18" fillId="0" borderId="21" xfId="5" applyFont="1" applyBorder="1" applyAlignment="1" applyProtection="1">
      <alignment horizontal="center" vertical="center" wrapText="1"/>
      <protection locked="0"/>
    </xf>
    <xf numFmtId="4" fontId="34" fillId="0" borderId="21" xfId="5" applyNumberFormat="1" applyFont="1" applyBorder="1" applyAlignment="1" applyProtection="1">
      <alignment horizontal="center" vertical="center" wrapText="1"/>
      <protection locked="0"/>
    </xf>
    <xf numFmtId="4" fontId="33" fillId="0" borderId="22" xfId="5" applyNumberFormat="1" applyFont="1" applyBorder="1" applyAlignment="1">
      <alignment horizontal="center" vertical="center" wrapText="1"/>
    </xf>
    <xf numFmtId="4" fontId="21" fillId="0" borderId="22" xfId="5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166" fontId="7" fillId="0" borderId="2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27">
    <cellStyle name="Excel Built-in Normal 2 2" xfId="26" xr:uid="{00000000-0005-0000-0000-000000000000}"/>
    <cellStyle name="Звичайний" xfId="0" builtinId="0"/>
    <cellStyle name="Обычный 11" xfId="6" xr:uid="{00000000-0005-0000-0000-000002000000}"/>
    <cellStyle name="Обычный 2" xfId="1" xr:uid="{00000000-0005-0000-0000-000003000000}"/>
    <cellStyle name="Обычный 2 2" xfId="2" xr:uid="{00000000-0005-0000-0000-000004000000}"/>
    <cellStyle name="Обычный 2 2 2" xfId="9" xr:uid="{00000000-0005-0000-0000-000005000000}"/>
    <cellStyle name="Обычный 2 2 2 2" xfId="10" xr:uid="{00000000-0005-0000-0000-000006000000}"/>
    <cellStyle name="Обычный 2 2 3" xfId="8" xr:uid="{00000000-0005-0000-0000-000007000000}"/>
    <cellStyle name="Обычный 2 3" xfId="7" xr:uid="{00000000-0005-0000-0000-000008000000}"/>
    <cellStyle name="Обычный 3" xfId="11" xr:uid="{00000000-0005-0000-0000-000009000000}"/>
    <cellStyle name="Обычный 3 2" xfId="12" xr:uid="{00000000-0005-0000-0000-00000A000000}"/>
    <cellStyle name="Обычный 3 2 2" xfId="13" xr:uid="{00000000-0005-0000-0000-00000B000000}"/>
    <cellStyle name="Обычный 3 2 2 2" xfId="14" xr:uid="{00000000-0005-0000-0000-00000C000000}"/>
    <cellStyle name="Обычный 3 3" xfId="3" xr:uid="{00000000-0005-0000-0000-00000D000000}"/>
    <cellStyle name="Обычный 4" xfId="15" xr:uid="{00000000-0005-0000-0000-00000E000000}"/>
    <cellStyle name="Обычный 5" xfId="16" xr:uid="{00000000-0005-0000-0000-00000F000000}"/>
    <cellStyle name="Обычный 6" xfId="17" xr:uid="{00000000-0005-0000-0000-000010000000}"/>
    <cellStyle name="Обычный 6 2" xfId="18" xr:uid="{00000000-0005-0000-0000-000011000000}"/>
    <cellStyle name="Обычный 6 3 2 2 2" xfId="19" xr:uid="{00000000-0005-0000-0000-000012000000}"/>
    <cellStyle name="Обычный 7" xfId="5" xr:uid="{00000000-0005-0000-0000-000013000000}"/>
    <cellStyle name="Обычный_Бланк смета" xfId="4" xr:uid="{00000000-0005-0000-0000-000014000000}"/>
    <cellStyle name="Финансовый 2" xfId="20" xr:uid="{00000000-0005-0000-0000-000015000000}"/>
    <cellStyle name="Финансовый 2 2" xfId="21" xr:uid="{00000000-0005-0000-0000-000016000000}"/>
    <cellStyle name="Финансовый 2 3" xfId="22" xr:uid="{00000000-0005-0000-0000-000017000000}"/>
    <cellStyle name="Финансовый 2 4" xfId="23" xr:uid="{00000000-0005-0000-0000-000018000000}"/>
    <cellStyle name="Финансовый 3" xfId="24" xr:uid="{00000000-0005-0000-0000-000019000000}"/>
    <cellStyle name="Финансовый 4" xfId="25" xr:uid="{00000000-0005-0000-0000-00001A000000}"/>
  </cellStyles>
  <dxfs count="7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sz val="11"/>
        <color rgb="FF9C6500"/>
        <name val="Calibri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sz val="11"/>
        <color rgb="FF9C6500"/>
        <name val="Calibri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sz val="11"/>
        <color rgb="FF9C6500"/>
        <name val="Calibri"/>
      </font>
      <fill>
        <patternFill>
          <bgColor rgb="FFFFEB9C"/>
        </patternFill>
      </fill>
    </dxf>
    <dxf>
      <font>
        <sz val="11"/>
        <color rgb="FF9C6500"/>
        <name val="Calibri"/>
      </font>
      <fill>
        <patternFill>
          <bgColor rgb="FFFFEB9C"/>
        </patternFill>
      </fill>
    </dxf>
    <dxf>
      <font>
        <sz val="11"/>
        <color rgb="FF9C6500"/>
        <name val="Calibri"/>
      </font>
      <fill>
        <patternFill>
          <bgColor rgb="FFFFEB9C"/>
        </patternFill>
      </fill>
    </dxf>
    <dxf>
      <font>
        <sz val="11"/>
        <color rgb="FF9C6500"/>
        <name val="Calibri"/>
      </font>
      <fill>
        <patternFill>
          <bgColor rgb="FFFFEB9C"/>
        </patternFill>
      </fill>
    </dxf>
    <dxf>
      <font>
        <sz val="11"/>
        <color rgb="FF9C6500"/>
        <name val="Calibri"/>
      </font>
      <fill>
        <patternFill>
          <bgColor rgb="FFFFEB9C"/>
        </patternFill>
      </fill>
    </dxf>
    <dxf>
      <font>
        <sz val="11"/>
        <color rgb="FF9C6500"/>
        <name val="Calibri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8"/>
  <sheetViews>
    <sheetView tabSelected="1" workbookViewId="0">
      <selection activeCell="I195" sqref="I195"/>
    </sheetView>
  </sheetViews>
  <sheetFormatPr defaultColWidth="9.109375" defaultRowHeight="14.4" outlineLevelRow="1" x14ac:dyDescent="0.25"/>
  <cols>
    <col min="1" max="1" width="8.6640625" style="1" customWidth="1"/>
    <col min="2" max="2" width="52" style="1" customWidth="1"/>
    <col min="3" max="3" width="10.6640625" style="1" customWidth="1"/>
    <col min="4" max="5" width="9.6640625" style="1" customWidth="1"/>
    <col min="6" max="6" width="10" style="1" customWidth="1"/>
    <col min="7" max="7" width="11.6640625" style="1" customWidth="1"/>
    <col min="8" max="8" width="13.6640625" style="1" customWidth="1"/>
    <col min="9" max="9" width="11.6640625" style="1" customWidth="1"/>
    <col min="10" max="10" width="15.6640625" style="1" customWidth="1"/>
    <col min="11" max="11" width="18.6640625" style="1" customWidth="1"/>
    <col min="12" max="12" width="24.6640625" style="66" customWidth="1"/>
    <col min="13" max="13" width="12.6640625" style="1" customWidth="1"/>
    <col min="14" max="16384" width="9.109375" style="1"/>
  </cols>
  <sheetData>
    <row r="1" spans="1:12" x14ac:dyDescent="0.2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s="2" customFormat="1" outlineLevel="1" x14ac:dyDescent="0.25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s="2" customFormat="1" outlineLevel="1" x14ac:dyDescent="0.25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2" outlineLevel="1" x14ac:dyDescent="0.25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2"/>
    </row>
    <row r="5" spans="1:12" s="2" customFormat="1" outlineLevel="1" x14ac:dyDescent="0.25">
      <c r="A5" s="107" t="s">
        <v>88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2" ht="15" outlineLevel="1" thickBot="1" x14ac:dyDescent="0.3">
      <c r="A6" s="3"/>
      <c r="B6" s="3"/>
      <c r="C6" s="3"/>
      <c r="D6" s="3"/>
      <c r="E6" s="3"/>
      <c r="F6" s="3"/>
      <c r="G6" s="3"/>
      <c r="H6" s="3"/>
      <c r="I6" s="3"/>
      <c r="J6" s="108"/>
      <c r="K6" s="108"/>
      <c r="L6" s="102"/>
    </row>
    <row r="7" spans="1:12" ht="45" customHeight="1" x14ac:dyDescent="0.25">
      <c r="A7" s="115" t="s">
        <v>3</v>
      </c>
      <c r="B7" s="115" t="s">
        <v>4</v>
      </c>
      <c r="C7" s="117" t="s">
        <v>5</v>
      </c>
      <c r="D7" s="119" t="s">
        <v>6</v>
      </c>
      <c r="E7" s="121" t="s">
        <v>7</v>
      </c>
      <c r="F7" s="110" t="s">
        <v>8</v>
      </c>
      <c r="G7" s="109" t="s">
        <v>9</v>
      </c>
      <c r="H7" s="110"/>
      <c r="I7" s="111" t="s">
        <v>10</v>
      </c>
      <c r="J7" s="112"/>
      <c r="K7" s="113" t="s">
        <v>11</v>
      </c>
      <c r="L7" s="102"/>
    </row>
    <row r="8" spans="1:12" ht="37.5" customHeight="1" thickBot="1" x14ac:dyDescent="0.3">
      <c r="A8" s="116"/>
      <c r="B8" s="116"/>
      <c r="C8" s="118"/>
      <c r="D8" s="120"/>
      <c r="E8" s="122"/>
      <c r="F8" s="123"/>
      <c r="G8" s="5" t="s">
        <v>12</v>
      </c>
      <c r="H8" s="4" t="s">
        <v>13</v>
      </c>
      <c r="I8" s="6" t="s">
        <v>12</v>
      </c>
      <c r="J8" s="7" t="s">
        <v>13</v>
      </c>
      <c r="K8" s="114"/>
      <c r="L8" s="102"/>
    </row>
    <row r="9" spans="1:12" ht="15.6" x14ac:dyDescent="0.25">
      <c r="A9" s="8"/>
      <c r="B9" s="9" t="s">
        <v>15</v>
      </c>
      <c r="C9" s="10"/>
      <c r="D9" s="11"/>
      <c r="E9" s="12"/>
      <c r="F9" s="13"/>
      <c r="G9" s="14"/>
      <c r="H9" s="13">
        <f>SUM(H10:H140)</f>
        <v>0</v>
      </c>
      <c r="I9" s="14"/>
      <c r="J9" s="13">
        <f>SUM(J10:J140)</f>
        <v>337800</v>
      </c>
      <c r="K9" s="15">
        <f>H9+J9</f>
        <v>337800</v>
      </c>
      <c r="L9" s="124">
        <f>F10+F24+F38+F52+F66+F80+F94</f>
        <v>380</v>
      </c>
    </row>
    <row r="10" spans="1:12" ht="28.8" x14ac:dyDescent="0.25">
      <c r="A10" s="16" t="s">
        <v>89</v>
      </c>
      <c r="B10" s="17" t="s">
        <v>16</v>
      </c>
      <c r="C10" s="18"/>
      <c r="D10" s="19" t="s">
        <v>17</v>
      </c>
      <c r="E10" s="26"/>
      <c r="F10" s="20">
        <f>1*(3*10+4.5*1)-F24</f>
        <v>25.5</v>
      </c>
      <c r="G10" s="21"/>
      <c r="H10" s="20"/>
      <c r="I10" s="21">
        <v>240</v>
      </c>
      <c r="J10" s="20">
        <f>$F10*I10</f>
        <v>6120</v>
      </c>
      <c r="K10" s="29">
        <f t="shared" ref="K10:K73" si="0">H10+J10</f>
        <v>6120</v>
      </c>
      <c r="L10" s="124">
        <f>F18+F32+F46+F60+F74+F88+F102</f>
        <v>760</v>
      </c>
    </row>
    <row r="11" spans="1:12" ht="15.6" x14ac:dyDescent="0.25">
      <c r="A11" s="23"/>
      <c r="B11" s="24" t="s">
        <v>18</v>
      </c>
      <c r="C11" s="18"/>
      <c r="D11" s="25" t="s">
        <v>19</v>
      </c>
      <c r="E11" s="26">
        <f>F11/F10</f>
        <v>2</v>
      </c>
      <c r="F11" s="27">
        <f>2*F10</f>
        <v>51</v>
      </c>
      <c r="G11" s="56"/>
      <c r="H11" s="27">
        <f t="shared" ref="H11:H17" si="1">$F11*G11</f>
        <v>0</v>
      </c>
      <c r="I11" s="28"/>
      <c r="J11" s="20"/>
      <c r="K11" s="29">
        <f t="shared" si="0"/>
        <v>0</v>
      </c>
      <c r="L11" s="102"/>
    </row>
    <row r="12" spans="1:12" ht="15.6" x14ac:dyDescent="0.25">
      <c r="A12" s="23"/>
      <c r="B12" s="24" t="s">
        <v>20</v>
      </c>
      <c r="C12" s="18"/>
      <c r="D12" s="25" t="s">
        <v>21</v>
      </c>
      <c r="E12" s="26">
        <v>2</v>
      </c>
      <c r="F12" s="27">
        <f>ROUND(E12*F10,0)</f>
        <v>51</v>
      </c>
      <c r="G12" s="56"/>
      <c r="H12" s="27">
        <f t="shared" si="1"/>
        <v>0</v>
      </c>
      <c r="I12" s="28"/>
      <c r="J12" s="20"/>
      <c r="K12" s="29">
        <f t="shared" si="0"/>
        <v>0</v>
      </c>
      <c r="L12" s="102"/>
    </row>
    <row r="13" spans="1:12" ht="15.6" x14ac:dyDescent="0.25">
      <c r="A13" s="23"/>
      <c r="B13" s="24" t="s">
        <v>22</v>
      </c>
      <c r="C13" s="18"/>
      <c r="D13" s="25" t="s">
        <v>21</v>
      </c>
      <c r="E13" s="26">
        <v>2</v>
      </c>
      <c r="F13" s="27">
        <f>ROUND(E13*F10,0)</f>
        <v>51</v>
      </c>
      <c r="G13" s="56"/>
      <c r="H13" s="27">
        <f t="shared" si="1"/>
        <v>0</v>
      </c>
      <c r="I13" s="28"/>
      <c r="J13" s="20"/>
      <c r="K13" s="29">
        <f t="shared" si="0"/>
        <v>0</v>
      </c>
      <c r="L13" s="102"/>
    </row>
    <row r="14" spans="1:12" ht="15.6" x14ac:dyDescent="0.25">
      <c r="A14" s="23"/>
      <c r="B14" s="24" t="s">
        <v>23</v>
      </c>
      <c r="C14" s="18"/>
      <c r="D14" s="25" t="s">
        <v>19</v>
      </c>
      <c r="E14" s="26">
        <f>E11</f>
        <v>2</v>
      </c>
      <c r="F14" s="27">
        <f>E14*F10</f>
        <v>51</v>
      </c>
      <c r="G14" s="56"/>
      <c r="H14" s="27">
        <f t="shared" si="1"/>
        <v>0</v>
      </c>
      <c r="I14" s="28"/>
      <c r="J14" s="20"/>
      <c r="K14" s="29">
        <f t="shared" si="0"/>
        <v>0</v>
      </c>
      <c r="L14" s="102"/>
    </row>
    <row r="15" spans="1:12" ht="15.6" x14ac:dyDescent="0.25">
      <c r="A15" s="23"/>
      <c r="B15" s="24" t="s">
        <v>24</v>
      </c>
      <c r="C15" s="18"/>
      <c r="D15" s="25" t="s">
        <v>19</v>
      </c>
      <c r="E15" s="26">
        <f>2.5*2</f>
        <v>5</v>
      </c>
      <c r="F15" s="27">
        <f>E15*F10</f>
        <v>127.5</v>
      </c>
      <c r="G15" s="56"/>
      <c r="H15" s="27">
        <f t="shared" si="1"/>
        <v>0</v>
      </c>
      <c r="I15" s="28"/>
      <c r="J15" s="20"/>
      <c r="K15" s="29">
        <f t="shared" si="0"/>
        <v>0</v>
      </c>
      <c r="L15" s="102"/>
    </row>
    <row r="16" spans="1:12" ht="15.6" x14ac:dyDescent="0.25">
      <c r="A16" s="23"/>
      <c r="B16" s="24" t="s">
        <v>25</v>
      </c>
      <c r="C16" s="104"/>
      <c r="D16" s="25" t="s">
        <v>26</v>
      </c>
      <c r="E16" s="26">
        <v>1.04</v>
      </c>
      <c r="F16" s="105">
        <f>0.00186*E16*F10</f>
        <v>4.9327200000000002E-2</v>
      </c>
      <c r="G16" s="56"/>
      <c r="H16" s="27">
        <f t="shared" si="1"/>
        <v>0</v>
      </c>
      <c r="I16" s="28"/>
      <c r="J16" s="20"/>
      <c r="K16" s="29">
        <f t="shared" si="0"/>
        <v>0</v>
      </c>
      <c r="L16" s="102"/>
    </row>
    <row r="17" spans="1:12" ht="15.6" x14ac:dyDescent="0.25">
      <c r="A17" s="23"/>
      <c r="B17" s="24" t="s">
        <v>27</v>
      </c>
      <c r="C17" s="104"/>
      <c r="D17" s="25" t="s">
        <v>28</v>
      </c>
      <c r="E17" s="26">
        <v>0.2</v>
      </c>
      <c r="F17" s="105">
        <f>E17*(F10*0.13)</f>
        <v>0.66300000000000003</v>
      </c>
      <c r="G17" s="56"/>
      <c r="H17" s="27">
        <f t="shared" si="1"/>
        <v>0</v>
      </c>
      <c r="I17" s="28"/>
      <c r="J17" s="20"/>
      <c r="K17" s="29">
        <f t="shared" si="0"/>
        <v>0</v>
      </c>
      <c r="L17" s="102"/>
    </row>
    <row r="18" spans="1:12" ht="28.8" x14ac:dyDescent="0.25">
      <c r="A18" s="16" t="s">
        <v>14</v>
      </c>
      <c r="B18" s="17" t="s">
        <v>29</v>
      </c>
      <c r="C18" s="18"/>
      <c r="D18" s="19" t="s">
        <v>17</v>
      </c>
      <c r="E18" s="26"/>
      <c r="F18" s="20">
        <f>1*(3*10+4.5*1)*2-F32</f>
        <v>51</v>
      </c>
      <c r="G18" s="55"/>
      <c r="H18" s="20"/>
      <c r="I18" s="21">
        <v>105</v>
      </c>
      <c r="J18" s="20">
        <f>$F18*I18</f>
        <v>5355</v>
      </c>
      <c r="K18" s="29">
        <f t="shared" si="0"/>
        <v>5355</v>
      </c>
      <c r="L18" s="102"/>
    </row>
    <row r="19" spans="1:12" ht="15.6" x14ac:dyDescent="0.25">
      <c r="A19" s="23"/>
      <c r="B19" s="24" t="s">
        <v>30</v>
      </c>
      <c r="C19" s="18"/>
      <c r="D19" s="25" t="s">
        <v>31</v>
      </c>
      <c r="E19" s="26">
        <v>1.1499999999999999</v>
      </c>
      <c r="F19" s="27">
        <f>E19*F18</f>
        <v>58.65</v>
      </c>
      <c r="G19" s="56"/>
      <c r="H19" s="27">
        <f t="shared" ref="H19:H23" si="2">$F19*G19</f>
        <v>0</v>
      </c>
      <c r="I19" s="28"/>
      <c r="J19" s="20"/>
      <c r="K19" s="29">
        <f t="shared" si="0"/>
        <v>0</v>
      </c>
      <c r="L19" s="102"/>
    </row>
    <row r="20" spans="1:12" ht="15.6" x14ac:dyDescent="0.25">
      <c r="A20" s="23"/>
      <c r="B20" s="24" t="s">
        <v>32</v>
      </c>
      <c r="C20" s="18"/>
      <c r="D20" s="25" t="s">
        <v>21</v>
      </c>
      <c r="E20" s="26">
        <f>15</f>
        <v>15</v>
      </c>
      <c r="F20" s="27">
        <f>ROUND(E20*F18,0)</f>
        <v>765</v>
      </c>
      <c r="G20" s="56"/>
      <c r="H20" s="27">
        <f t="shared" si="2"/>
        <v>0</v>
      </c>
      <c r="I20" s="28"/>
      <c r="J20" s="20"/>
      <c r="K20" s="29">
        <f t="shared" si="0"/>
        <v>0</v>
      </c>
      <c r="L20" s="102"/>
    </row>
    <row r="21" spans="1:12" ht="15.6" x14ac:dyDescent="0.25">
      <c r="A21" s="23"/>
      <c r="B21" s="24" t="s">
        <v>33</v>
      </c>
      <c r="C21" s="18"/>
      <c r="D21" s="25" t="s">
        <v>19</v>
      </c>
      <c r="E21" s="26">
        <f>2.2/2</f>
        <v>1.1000000000000001</v>
      </c>
      <c r="F21" s="27">
        <f>E21*F18</f>
        <v>56.1</v>
      </c>
      <c r="G21" s="56"/>
      <c r="H21" s="27">
        <f t="shared" si="2"/>
        <v>0</v>
      </c>
      <c r="I21" s="28"/>
      <c r="J21" s="20"/>
      <c r="K21" s="29">
        <f t="shared" si="0"/>
        <v>0</v>
      </c>
      <c r="L21" s="102"/>
    </row>
    <row r="22" spans="1:12" ht="15.6" x14ac:dyDescent="0.25">
      <c r="A22" s="23"/>
      <c r="B22" s="24" t="s">
        <v>34</v>
      </c>
      <c r="C22" s="18"/>
      <c r="D22" s="25" t="s">
        <v>35</v>
      </c>
      <c r="E22" s="26">
        <f>0.2/2</f>
        <v>0.1</v>
      </c>
      <c r="F22" s="27">
        <f>E22*F18</f>
        <v>5.1000000000000005</v>
      </c>
      <c r="G22" s="56"/>
      <c r="H22" s="27">
        <f t="shared" si="2"/>
        <v>0</v>
      </c>
      <c r="I22" s="28"/>
      <c r="J22" s="20"/>
      <c r="K22" s="29">
        <f t="shared" si="0"/>
        <v>0</v>
      </c>
      <c r="L22" s="102"/>
    </row>
    <row r="23" spans="1:12" ht="16.2" thickBot="1" x14ac:dyDescent="0.3">
      <c r="A23" s="23"/>
      <c r="B23" s="24" t="s">
        <v>36</v>
      </c>
      <c r="C23" s="18"/>
      <c r="D23" s="25" t="s">
        <v>28</v>
      </c>
      <c r="E23" s="26">
        <f>0.3</f>
        <v>0.3</v>
      </c>
      <c r="F23" s="27">
        <f>E23*F18</f>
        <v>15.299999999999999</v>
      </c>
      <c r="G23" s="56"/>
      <c r="H23" s="27">
        <f t="shared" si="2"/>
        <v>0</v>
      </c>
      <c r="I23" s="28"/>
      <c r="J23" s="20"/>
      <c r="K23" s="29">
        <f t="shared" si="0"/>
        <v>0</v>
      </c>
      <c r="L23" s="102"/>
    </row>
    <row r="24" spans="1:12" ht="43.2" x14ac:dyDescent="0.25">
      <c r="A24" s="16" t="s">
        <v>63</v>
      </c>
      <c r="B24" s="17" t="s">
        <v>37</v>
      </c>
      <c r="C24" s="18"/>
      <c r="D24" s="19" t="s">
        <v>17</v>
      </c>
      <c r="E24" s="26"/>
      <c r="F24" s="20">
        <f>1*(3*3)</f>
        <v>9</v>
      </c>
      <c r="G24" s="21"/>
      <c r="H24" s="20"/>
      <c r="I24" s="21">
        <v>270</v>
      </c>
      <c r="J24" s="20">
        <f>$F24*I24</f>
        <v>2430</v>
      </c>
      <c r="K24" s="29">
        <f t="shared" si="0"/>
        <v>2430</v>
      </c>
      <c r="L24" s="102"/>
    </row>
    <row r="25" spans="1:12" ht="15.6" x14ac:dyDescent="0.25">
      <c r="A25" s="23"/>
      <c r="B25" s="24" t="s">
        <v>18</v>
      </c>
      <c r="C25" s="18"/>
      <c r="D25" s="25" t="s">
        <v>19</v>
      </c>
      <c r="E25" s="26">
        <f>F25/F24</f>
        <v>2</v>
      </c>
      <c r="F25" s="27">
        <f>2*F24</f>
        <v>18</v>
      </c>
      <c r="G25" s="56"/>
      <c r="H25" s="27">
        <f t="shared" ref="H25:H31" si="3">$F25*G25</f>
        <v>0</v>
      </c>
      <c r="I25" s="28"/>
      <c r="J25" s="20"/>
      <c r="K25" s="29">
        <f t="shared" si="0"/>
        <v>0</v>
      </c>
      <c r="L25" s="102"/>
    </row>
    <row r="26" spans="1:12" ht="15.6" x14ac:dyDescent="0.25">
      <c r="A26" s="23"/>
      <c r="B26" s="24" t="s">
        <v>20</v>
      </c>
      <c r="C26" s="18"/>
      <c r="D26" s="25" t="s">
        <v>21</v>
      </c>
      <c r="E26" s="26">
        <v>2</v>
      </c>
      <c r="F26" s="27">
        <f>ROUND(E26*F24,0)</f>
        <v>18</v>
      </c>
      <c r="G26" s="56"/>
      <c r="H26" s="27">
        <f t="shared" si="3"/>
        <v>0</v>
      </c>
      <c r="I26" s="28"/>
      <c r="J26" s="20"/>
      <c r="K26" s="29">
        <f t="shared" si="0"/>
        <v>0</v>
      </c>
      <c r="L26" s="102"/>
    </row>
    <row r="27" spans="1:12" ht="15.6" x14ac:dyDescent="0.25">
      <c r="A27" s="23"/>
      <c r="B27" s="24" t="s">
        <v>22</v>
      </c>
      <c r="C27" s="18"/>
      <c r="D27" s="25" t="s">
        <v>21</v>
      </c>
      <c r="E27" s="26">
        <v>2</v>
      </c>
      <c r="F27" s="27">
        <f>ROUND(E27*F24,0)</f>
        <v>18</v>
      </c>
      <c r="G27" s="56"/>
      <c r="H27" s="27">
        <f t="shared" si="3"/>
        <v>0</v>
      </c>
      <c r="I27" s="28"/>
      <c r="J27" s="20"/>
      <c r="K27" s="29">
        <f t="shared" si="0"/>
        <v>0</v>
      </c>
      <c r="L27" s="102"/>
    </row>
    <row r="28" spans="1:12" ht="15.6" x14ac:dyDescent="0.25">
      <c r="A28" s="23"/>
      <c r="B28" s="24" t="s">
        <v>23</v>
      </c>
      <c r="C28" s="18"/>
      <c r="D28" s="25" t="s">
        <v>19</v>
      </c>
      <c r="E28" s="26">
        <f>E25</f>
        <v>2</v>
      </c>
      <c r="F28" s="27">
        <f>E28*F24</f>
        <v>18</v>
      </c>
      <c r="G28" s="56"/>
      <c r="H28" s="27">
        <f t="shared" si="3"/>
        <v>0</v>
      </c>
      <c r="I28" s="28"/>
      <c r="J28" s="20"/>
      <c r="K28" s="29">
        <f t="shared" si="0"/>
        <v>0</v>
      </c>
      <c r="L28" s="102"/>
    </row>
    <row r="29" spans="1:12" ht="15.6" x14ac:dyDescent="0.25">
      <c r="A29" s="23"/>
      <c r="B29" s="24" t="s">
        <v>24</v>
      </c>
      <c r="C29" s="18"/>
      <c r="D29" s="25" t="s">
        <v>19</v>
      </c>
      <c r="E29" s="26">
        <f>2.5*2</f>
        <v>5</v>
      </c>
      <c r="F29" s="27">
        <f>E29*F24</f>
        <v>45</v>
      </c>
      <c r="G29" s="56"/>
      <c r="H29" s="27">
        <f t="shared" si="3"/>
        <v>0</v>
      </c>
      <c r="I29" s="28"/>
      <c r="J29" s="20"/>
      <c r="K29" s="29">
        <f t="shared" si="0"/>
        <v>0</v>
      </c>
      <c r="L29" s="102"/>
    </row>
    <row r="30" spans="1:12" ht="16.2" thickBot="1" x14ac:dyDescent="0.3">
      <c r="A30" s="23"/>
      <c r="B30" s="24" t="s">
        <v>25</v>
      </c>
      <c r="C30" s="104"/>
      <c r="D30" s="25" t="s">
        <v>26</v>
      </c>
      <c r="E30" s="26">
        <v>1.04</v>
      </c>
      <c r="F30" s="105">
        <f>0.00186*E30*F24</f>
        <v>1.7409600000000001E-2</v>
      </c>
      <c r="G30" s="56"/>
      <c r="H30" s="27">
        <f t="shared" si="3"/>
        <v>0</v>
      </c>
      <c r="I30" s="28"/>
      <c r="J30" s="20"/>
      <c r="K30" s="29">
        <f t="shared" si="0"/>
        <v>0</v>
      </c>
      <c r="L30" s="102"/>
    </row>
    <row r="31" spans="1:12" ht="16.2" thickBot="1" x14ac:dyDescent="0.3">
      <c r="A31" s="23"/>
      <c r="B31" s="24" t="s">
        <v>27</v>
      </c>
      <c r="C31" s="104"/>
      <c r="D31" s="25" t="s">
        <v>28</v>
      </c>
      <c r="E31" s="26">
        <v>0.2</v>
      </c>
      <c r="F31" s="105">
        <f>E31*(F24*0.13)</f>
        <v>0.23399999999999999</v>
      </c>
      <c r="G31" s="56"/>
      <c r="H31" s="27">
        <f t="shared" si="3"/>
        <v>0</v>
      </c>
      <c r="I31" s="28"/>
      <c r="J31" s="20"/>
      <c r="K31" s="29">
        <f t="shared" si="0"/>
        <v>0</v>
      </c>
      <c r="L31" s="102"/>
    </row>
    <row r="32" spans="1:12" ht="29.4" thickBot="1" x14ac:dyDescent="0.3">
      <c r="A32" s="16" t="s">
        <v>64</v>
      </c>
      <c r="B32" s="17" t="s">
        <v>38</v>
      </c>
      <c r="C32" s="18"/>
      <c r="D32" s="19" t="s">
        <v>17</v>
      </c>
      <c r="E32" s="26"/>
      <c r="F32" s="20">
        <f>1*(3*3)*2</f>
        <v>18</v>
      </c>
      <c r="G32" s="55"/>
      <c r="H32" s="20"/>
      <c r="I32" s="21">
        <v>115</v>
      </c>
      <c r="J32" s="20">
        <f>$F32*I32</f>
        <v>2070</v>
      </c>
      <c r="K32" s="29">
        <f t="shared" si="0"/>
        <v>2070</v>
      </c>
      <c r="L32" s="102"/>
    </row>
    <row r="33" spans="1:12" ht="16.2" thickBot="1" x14ac:dyDescent="0.3">
      <c r="A33" s="23"/>
      <c r="B33" s="24" t="s">
        <v>30</v>
      </c>
      <c r="C33" s="18"/>
      <c r="D33" s="25" t="s">
        <v>31</v>
      </c>
      <c r="E33" s="26">
        <v>1.1499999999999999</v>
      </c>
      <c r="F33" s="27">
        <f>E33*F32</f>
        <v>20.7</v>
      </c>
      <c r="G33" s="56"/>
      <c r="H33" s="27">
        <f t="shared" ref="H33:H37" si="4">$F33*G33</f>
        <v>0</v>
      </c>
      <c r="I33" s="28"/>
      <c r="J33" s="20"/>
      <c r="K33" s="29">
        <f t="shared" si="0"/>
        <v>0</v>
      </c>
      <c r="L33" s="102"/>
    </row>
    <row r="34" spans="1:12" ht="16.2" thickBot="1" x14ac:dyDescent="0.3">
      <c r="A34" s="23"/>
      <c r="B34" s="24" t="s">
        <v>32</v>
      </c>
      <c r="C34" s="18"/>
      <c r="D34" s="25" t="s">
        <v>21</v>
      </c>
      <c r="E34" s="26">
        <f>15</f>
        <v>15</v>
      </c>
      <c r="F34" s="27">
        <f>ROUND(E34*F32,0)</f>
        <v>270</v>
      </c>
      <c r="G34" s="56"/>
      <c r="H34" s="27">
        <f t="shared" si="4"/>
        <v>0</v>
      </c>
      <c r="I34" s="28"/>
      <c r="J34" s="20"/>
      <c r="K34" s="29">
        <f t="shared" si="0"/>
        <v>0</v>
      </c>
      <c r="L34" s="102"/>
    </row>
    <row r="35" spans="1:12" ht="16.2" thickBot="1" x14ac:dyDescent="0.3">
      <c r="A35" s="23"/>
      <c r="B35" s="24" t="s">
        <v>33</v>
      </c>
      <c r="C35" s="18"/>
      <c r="D35" s="25" t="s">
        <v>19</v>
      </c>
      <c r="E35" s="26">
        <f>2.2/2</f>
        <v>1.1000000000000001</v>
      </c>
      <c r="F35" s="27">
        <f>E35*F32</f>
        <v>19.8</v>
      </c>
      <c r="G35" s="56"/>
      <c r="H35" s="27">
        <f t="shared" si="4"/>
        <v>0</v>
      </c>
      <c r="I35" s="28"/>
      <c r="J35" s="20"/>
      <c r="K35" s="29">
        <f t="shared" si="0"/>
        <v>0</v>
      </c>
      <c r="L35" s="102"/>
    </row>
    <row r="36" spans="1:12" ht="16.2" thickBot="1" x14ac:dyDescent="0.3">
      <c r="A36" s="23"/>
      <c r="B36" s="24" t="s">
        <v>34</v>
      </c>
      <c r="C36" s="18"/>
      <c r="D36" s="25" t="s">
        <v>35</v>
      </c>
      <c r="E36" s="26">
        <f>0.2/2</f>
        <v>0.1</v>
      </c>
      <c r="F36" s="27">
        <f>E36*F32</f>
        <v>1.8</v>
      </c>
      <c r="G36" s="56"/>
      <c r="H36" s="27">
        <f t="shared" si="4"/>
        <v>0</v>
      </c>
      <c r="I36" s="28"/>
      <c r="J36" s="20"/>
      <c r="K36" s="29">
        <f t="shared" si="0"/>
        <v>0</v>
      </c>
      <c r="L36" s="102"/>
    </row>
    <row r="37" spans="1:12" ht="16.2" thickBot="1" x14ac:dyDescent="0.3">
      <c r="A37" s="23"/>
      <c r="B37" s="24" t="s">
        <v>36</v>
      </c>
      <c r="C37" s="18"/>
      <c r="D37" s="25" t="s">
        <v>28</v>
      </c>
      <c r="E37" s="26">
        <f>0.3</f>
        <v>0.3</v>
      </c>
      <c r="F37" s="27">
        <f>E37*F32</f>
        <v>5.3999999999999995</v>
      </c>
      <c r="G37" s="56"/>
      <c r="H37" s="27">
        <f t="shared" si="4"/>
        <v>0</v>
      </c>
      <c r="I37" s="28"/>
      <c r="J37" s="20"/>
      <c r="K37" s="29">
        <f t="shared" si="0"/>
        <v>0</v>
      </c>
      <c r="L37" s="102"/>
    </row>
    <row r="38" spans="1:12" ht="29.4" thickBot="1" x14ac:dyDescent="0.3">
      <c r="A38" s="16" t="s">
        <v>90</v>
      </c>
      <c r="B38" s="17" t="s">
        <v>39</v>
      </c>
      <c r="C38" s="18"/>
      <c r="D38" s="19" t="s">
        <v>17</v>
      </c>
      <c r="E38" s="26"/>
      <c r="F38" s="20">
        <f>1*(3*30+5*2+4.5*3+4*2+6*1+2*15)-F52</f>
        <v>122.5</v>
      </c>
      <c r="G38" s="21"/>
      <c r="H38" s="20"/>
      <c r="I38" s="21">
        <v>240</v>
      </c>
      <c r="J38" s="20">
        <f>$F38*I38</f>
        <v>29400</v>
      </c>
      <c r="K38" s="29">
        <f t="shared" si="0"/>
        <v>29400</v>
      </c>
      <c r="L38" s="102"/>
    </row>
    <row r="39" spans="1:12" ht="16.2" thickBot="1" x14ac:dyDescent="0.3">
      <c r="A39" s="23"/>
      <c r="B39" s="24" t="s">
        <v>18</v>
      </c>
      <c r="C39" s="18"/>
      <c r="D39" s="25" t="s">
        <v>19</v>
      </c>
      <c r="E39" s="26">
        <f>F39/F38</f>
        <v>2</v>
      </c>
      <c r="F39" s="27">
        <f>2*F38</f>
        <v>245</v>
      </c>
      <c r="G39" s="56"/>
      <c r="H39" s="27">
        <f t="shared" ref="H39:H45" si="5">$F39*G39</f>
        <v>0</v>
      </c>
      <c r="I39" s="28"/>
      <c r="J39" s="20"/>
      <c r="K39" s="29">
        <f t="shared" si="0"/>
        <v>0</v>
      </c>
      <c r="L39" s="102"/>
    </row>
    <row r="40" spans="1:12" ht="16.2" thickBot="1" x14ac:dyDescent="0.3">
      <c r="A40" s="23"/>
      <c r="B40" s="24" t="s">
        <v>20</v>
      </c>
      <c r="C40" s="18"/>
      <c r="D40" s="25" t="s">
        <v>21</v>
      </c>
      <c r="E40" s="26">
        <v>2</v>
      </c>
      <c r="F40" s="27">
        <f>ROUND(E40*F38,0)</f>
        <v>245</v>
      </c>
      <c r="G40" s="56"/>
      <c r="H40" s="27">
        <f t="shared" si="5"/>
        <v>0</v>
      </c>
      <c r="I40" s="28"/>
      <c r="J40" s="20"/>
      <c r="K40" s="29">
        <f t="shared" si="0"/>
        <v>0</v>
      </c>
      <c r="L40" s="102"/>
    </row>
    <row r="41" spans="1:12" ht="16.2" thickBot="1" x14ac:dyDescent="0.3">
      <c r="A41" s="23"/>
      <c r="B41" s="24" t="s">
        <v>22</v>
      </c>
      <c r="C41" s="18"/>
      <c r="D41" s="25" t="s">
        <v>21</v>
      </c>
      <c r="E41" s="26">
        <v>2</v>
      </c>
      <c r="F41" s="27">
        <f>ROUND(E41*F38,0)</f>
        <v>245</v>
      </c>
      <c r="G41" s="56"/>
      <c r="H41" s="27">
        <f t="shared" si="5"/>
        <v>0</v>
      </c>
      <c r="I41" s="28"/>
      <c r="J41" s="20"/>
      <c r="K41" s="29">
        <f t="shared" si="0"/>
        <v>0</v>
      </c>
      <c r="L41" s="102"/>
    </row>
    <row r="42" spans="1:12" ht="16.2" thickBot="1" x14ac:dyDescent="0.3">
      <c r="A42" s="23"/>
      <c r="B42" s="24" t="s">
        <v>23</v>
      </c>
      <c r="C42" s="18"/>
      <c r="D42" s="25" t="s">
        <v>19</v>
      </c>
      <c r="E42" s="26">
        <f>E39</f>
        <v>2</v>
      </c>
      <c r="F42" s="27">
        <f>E42*F38</f>
        <v>245</v>
      </c>
      <c r="G42" s="56"/>
      <c r="H42" s="27">
        <f t="shared" si="5"/>
        <v>0</v>
      </c>
      <c r="I42" s="28"/>
      <c r="J42" s="20"/>
      <c r="K42" s="29">
        <f t="shared" si="0"/>
        <v>0</v>
      </c>
      <c r="L42" s="102"/>
    </row>
    <row r="43" spans="1:12" ht="16.2" thickBot="1" x14ac:dyDescent="0.3">
      <c r="A43" s="23"/>
      <c r="B43" s="24" t="s">
        <v>24</v>
      </c>
      <c r="C43" s="18"/>
      <c r="D43" s="25" t="s">
        <v>19</v>
      </c>
      <c r="E43" s="26">
        <f>2.5*2</f>
        <v>5</v>
      </c>
      <c r="F43" s="27">
        <f>E43*F38</f>
        <v>612.5</v>
      </c>
      <c r="G43" s="56"/>
      <c r="H43" s="27">
        <f t="shared" si="5"/>
        <v>0</v>
      </c>
      <c r="I43" s="28"/>
      <c r="J43" s="20"/>
      <c r="K43" s="29">
        <f t="shared" si="0"/>
        <v>0</v>
      </c>
      <c r="L43" s="102"/>
    </row>
    <row r="44" spans="1:12" ht="16.2" thickBot="1" x14ac:dyDescent="0.3">
      <c r="A44" s="23"/>
      <c r="B44" s="24" t="s">
        <v>25</v>
      </c>
      <c r="C44" s="104"/>
      <c r="D44" s="25" t="s">
        <v>26</v>
      </c>
      <c r="E44" s="26">
        <v>1.04</v>
      </c>
      <c r="F44" s="105">
        <f>0.00186*E44*F38</f>
        <v>0.23696400000000004</v>
      </c>
      <c r="G44" s="56"/>
      <c r="H44" s="27">
        <f t="shared" si="5"/>
        <v>0</v>
      </c>
      <c r="I44" s="28"/>
      <c r="J44" s="20"/>
      <c r="K44" s="29">
        <f t="shared" si="0"/>
        <v>0</v>
      </c>
      <c r="L44" s="102"/>
    </row>
    <row r="45" spans="1:12" ht="16.2" thickBot="1" x14ac:dyDescent="0.3">
      <c r="A45" s="23"/>
      <c r="B45" s="24" t="s">
        <v>27</v>
      </c>
      <c r="C45" s="104"/>
      <c r="D45" s="25" t="s">
        <v>28</v>
      </c>
      <c r="E45" s="26">
        <v>0.2</v>
      </c>
      <c r="F45" s="105">
        <f>E45*(F38*0.13)</f>
        <v>3.1850000000000005</v>
      </c>
      <c r="G45" s="56"/>
      <c r="H45" s="27">
        <f t="shared" si="5"/>
        <v>0</v>
      </c>
      <c r="I45" s="28"/>
      <c r="J45" s="20"/>
      <c r="K45" s="29">
        <f t="shared" si="0"/>
        <v>0</v>
      </c>
      <c r="L45" s="102"/>
    </row>
    <row r="46" spans="1:12" ht="29.4" thickBot="1" x14ac:dyDescent="0.3">
      <c r="A46" s="16" t="s">
        <v>94</v>
      </c>
      <c r="B46" s="17" t="s">
        <v>40</v>
      </c>
      <c r="C46" s="18"/>
      <c r="D46" s="19" t="s">
        <v>17</v>
      </c>
      <c r="E46" s="26"/>
      <c r="F46" s="20">
        <f>1*(3*30+5*2+4.5*3+4*2+6*1+2*15)*2-F60</f>
        <v>245</v>
      </c>
      <c r="G46" s="55"/>
      <c r="H46" s="20"/>
      <c r="I46" s="21">
        <v>105</v>
      </c>
      <c r="J46" s="20">
        <f>$F46*I46</f>
        <v>25725</v>
      </c>
      <c r="K46" s="29">
        <f t="shared" si="0"/>
        <v>25725</v>
      </c>
      <c r="L46" s="102"/>
    </row>
    <row r="47" spans="1:12" ht="16.2" thickBot="1" x14ac:dyDescent="0.3">
      <c r="A47" s="23"/>
      <c r="B47" s="24" t="s">
        <v>30</v>
      </c>
      <c r="C47" s="18"/>
      <c r="D47" s="25" t="s">
        <v>31</v>
      </c>
      <c r="E47" s="26">
        <v>1.1499999999999999</v>
      </c>
      <c r="F47" s="27">
        <f>E47*F46</f>
        <v>281.75</v>
      </c>
      <c r="G47" s="56"/>
      <c r="H47" s="27">
        <f t="shared" ref="H47:H51" si="6">$F47*G47</f>
        <v>0</v>
      </c>
      <c r="I47" s="28"/>
      <c r="J47" s="20"/>
      <c r="K47" s="29">
        <f t="shared" si="0"/>
        <v>0</v>
      </c>
      <c r="L47" s="102"/>
    </row>
    <row r="48" spans="1:12" ht="16.2" thickBot="1" x14ac:dyDescent="0.3">
      <c r="A48" s="23"/>
      <c r="B48" s="24" t="s">
        <v>32</v>
      </c>
      <c r="C48" s="18"/>
      <c r="D48" s="25" t="s">
        <v>21</v>
      </c>
      <c r="E48" s="26">
        <f>15</f>
        <v>15</v>
      </c>
      <c r="F48" s="27">
        <f>ROUND(E48*F46,0)</f>
        <v>3675</v>
      </c>
      <c r="G48" s="56"/>
      <c r="H48" s="27">
        <f t="shared" si="6"/>
        <v>0</v>
      </c>
      <c r="I48" s="28"/>
      <c r="J48" s="20"/>
      <c r="K48" s="29">
        <f t="shared" si="0"/>
        <v>0</v>
      </c>
      <c r="L48" s="102"/>
    </row>
    <row r="49" spans="1:12" ht="16.2" thickBot="1" x14ac:dyDescent="0.3">
      <c r="A49" s="23"/>
      <c r="B49" s="24" t="s">
        <v>33</v>
      </c>
      <c r="C49" s="18"/>
      <c r="D49" s="25" t="s">
        <v>19</v>
      </c>
      <c r="E49" s="26">
        <f>2.2/2</f>
        <v>1.1000000000000001</v>
      </c>
      <c r="F49" s="27">
        <f>E49*F46</f>
        <v>269.5</v>
      </c>
      <c r="G49" s="56"/>
      <c r="H49" s="27">
        <f t="shared" si="6"/>
        <v>0</v>
      </c>
      <c r="I49" s="28"/>
      <c r="J49" s="20"/>
      <c r="K49" s="29">
        <f t="shared" si="0"/>
        <v>0</v>
      </c>
      <c r="L49" s="102"/>
    </row>
    <row r="50" spans="1:12" ht="16.2" thickBot="1" x14ac:dyDescent="0.3">
      <c r="A50" s="23"/>
      <c r="B50" s="24" t="s">
        <v>34</v>
      </c>
      <c r="C50" s="18"/>
      <c r="D50" s="25" t="s">
        <v>35</v>
      </c>
      <c r="E50" s="26">
        <f>0.2/2</f>
        <v>0.1</v>
      </c>
      <c r="F50" s="27">
        <f>E50*F46</f>
        <v>24.5</v>
      </c>
      <c r="G50" s="56"/>
      <c r="H50" s="27">
        <f t="shared" si="6"/>
        <v>0</v>
      </c>
      <c r="I50" s="28"/>
      <c r="J50" s="20"/>
      <c r="K50" s="29">
        <f t="shared" si="0"/>
        <v>0</v>
      </c>
      <c r="L50" s="102"/>
    </row>
    <row r="51" spans="1:12" ht="16.2" thickBot="1" x14ac:dyDescent="0.3">
      <c r="A51" s="23"/>
      <c r="B51" s="24" t="s">
        <v>36</v>
      </c>
      <c r="C51" s="18"/>
      <c r="D51" s="25" t="s">
        <v>28</v>
      </c>
      <c r="E51" s="26">
        <f>0.3</f>
        <v>0.3</v>
      </c>
      <c r="F51" s="27">
        <f>E51*F46</f>
        <v>73.5</v>
      </c>
      <c r="G51" s="56"/>
      <c r="H51" s="27">
        <f t="shared" si="6"/>
        <v>0</v>
      </c>
      <c r="I51" s="28"/>
      <c r="J51" s="20"/>
      <c r="K51" s="29">
        <f t="shared" si="0"/>
        <v>0</v>
      </c>
      <c r="L51" s="102"/>
    </row>
    <row r="52" spans="1:12" ht="43.8" thickBot="1" x14ac:dyDescent="0.3">
      <c r="A52" s="16" t="s">
        <v>93</v>
      </c>
      <c r="B52" s="17" t="s">
        <v>41</v>
      </c>
      <c r="C52" s="18"/>
      <c r="D52" s="19" t="s">
        <v>17</v>
      </c>
      <c r="E52" s="26"/>
      <c r="F52" s="20">
        <f>1*(3*11+2*1)</f>
        <v>35</v>
      </c>
      <c r="G52" s="21"/>
      <c r="H52" s="20"/>
      <c r="I52" s="21">
        <v>270</v>
      </c>
      <c r="J52" s="20">
        <f>$F52*I52</f>
        <v>9450</v>
      </c>
      <c r="K52" s="29">
        <f t="shared" si="0"/>
        <v>9450</v>
      </c>
      <c r="L52" s="102"/>
    </row>
    <row r="53" spans="1:12" ht="16.2" thickBot="1" x14ac:dyDescent="0.3">
      <c r="A53" s="23"/>
      <c r="B53" s="24" t="s">
        <v>18</v>
      </c>
      <c r="C53" s="18"/>
      <c r="D53" s="25" t="s">
        <v>19</v>
      </c>
      <c r="E53" s="26">
        <f>F53/F52</f>
        <v>2</v>
      </c>
      <c r="F53" s="27">
        <f>2*F52</f>
        <v>70</v>
      </c>
      <c r="G53" s="56"/>
      <c r="H53" s="27">
        <f t="shared" ref="H53:H59" si="7">$F53*G53</f>
        <v>0</v>
      </c>
      <c r="I53" s="28"/>
      <c r="J53" s="20"/>
      <c r="K53" s="29">
        <f t="shared" si="0"/>
        <v>0</v>
      </c>
      <c r="L53" s="102"/>
    </row>
    <row r="54" spans="1:12" ht="16.2" thickBot="1" x14ac:dyDescent="0.3">
      <c r="A54" s="23"/>
      <c r="B54" s="24" t="s">
        <v>20</v>
      </c>
      <c r="C54" s="18"/>
      <c r="D54" s="25" t="s">
        <v>21</v>
      </c>
      <c r="E54" s="26">
        <v>2</v>
      </c>
      <c r="F54" s="27">
        <f>ROUND(E54*F52,0)</f>
        <v>70</v>
      </c>
      <c r="G54" s="56"/>
      <c r="H54" s="27">
        <f t="shared" si="7"/>
        <v>0</v>
      </c>
      <c r="I54" s="28"/>
      <c r="J54" s="20"/>
      <c r="K54" s="29">
        <f t="shared" si="0"/>
        <v>0</v>
      </c>
      <c r="L54" s="102"/>
    </row>
    <row r="55" spans="1:12" ht="16.2" thickBot="1" x14ac:dyDescent="0.3">
      <c r="A55" s="23"/>
      <c r="B55" s="24" t="s">
        <v>22</v>
      </c>
      <c r="C55" s="18"/>
      <c r="D55" s="25" t="s">
        <v>21</v>
      </c>
      <c r="E55" s="26">
        <v>2</v>
      </c>
      <c r="F55" s="27">
        <f>ROUND(E55*F52,0)</f>
        <v>70</v>
      </c>
      <c r="G55" s="56"/>
      <c r="H55" s="27">
        <f t="shared" si="7"/>
        <v>0</v>
      </c>
      <c r="I55" s="28"/>
      <c r="J55" s="20"/>
      <c r="K55" s="29">
        <f t="shared" si="0"/>
        <v>0</v>
      </c>
      <c r="L55" s="102"/>
    </row>
    <row r="56" spans="1:12" ht="16.2" thickBot="1" x14ac:dyDescent="0.3">
      <c r="A56" s="23"/>
      <c r="B56" s="24" t="s">
        <v>23</v>
      </c>
      <c r="C56" s="18"/>
      <c r="D56" s="25" t="s">
        <v>19</v>
      </c>
      <c r="E56" s="26">
        <f>E53</f>
        <v>2</v>
      </c>
      <c r="F56" s="27">
        <f>E56*F52</f>
        <v>70</v>
      </c>
      <c r="G56" s="56"/>
      <c r="H56" s="27">
        <f t="shared" si="7"/>
        <v>0</v>
      </c>
      <c r="I56" s="28"/>
      <c r="J56" s="20"/>
      <c r="K56" s="29">
        <f t="shared" si="0"/>
        <v>0</v>
      </c>
      <c r="L56" s="102"/>
    </row>
    <row r="57" spans="1:12" ht="16.2" thickBot="1" x14ac:dyDescent="0.3">
      <c r="A57" s="23"/>
      <c r="B57" s="24" t="s">
        <v>24</v>
      </c>
      <c r="C57" s="18"/>
      <c r="D57" s="25" t="s">
        <v>19</v>
      </c>
      <c r="E57" s="26">
        <f>2.5*2</f>
        <v>5</v>
      </c>
      <c r="F57" s="27">
        <f>E57*F52</f>
        <v>175</v>
      </c>
      <c r="G57" s="56"/>
      <c r="H57" s="27">
        <f t="shared" si="7"/>
        <v>0</v>
      </c>
      <c r="I57" s="28"/>
      <c r="J57" s="20"/>
      <c r="K57" s="29">
        <f t="shared" si="0"/>
        <v>0</v>
      </c>
      <c r="L57" s="102"/>
    </row>
    <row r="58" spans="1:12" ht="16.2" thickBot="1" x14ac:dyDescent="0.3">
      <c r="A58" s="23"/>
      <c r="B58" s="24" t="s">
        <v>25</v>
      </c>
      <c r="C58" s="104"/>
      <c r="D58" s="25" t="s">
        <v>26</v>
      </c>
      <c r="E58" s="26">
        <v>1.04</v>
      </c>
      <c r="F58" s="105">
        <f>0.00186*E58*F52</f>
        <v>6.7704E-2</v>
      </c>
      <c r="G58" s="56"/>
      <c r="H58" s="27">
        <f t="shared" si="7"/>
        <v>0</v>
      </c>
      <c r="I58" s="28"/>
      <c r="J58" s="20"/>
      <c r="K58" s="29">
        <f t="shared" si="0"/>
        <v>0</v>
      </c>
      <c r="L58" s="102"/>
    </row>
    <row r="59" spans="1:12" ht="16.2" thickBot="1" x14ac:dyDescent="0.3">
      <c r="A59" s="23"/>
      <c r="B59" s="24" t="s">
        <v>27</v>
      </c>
      <c r="C59" s="104"/>
      <c r="D59" s="25" t="s">
        <v>28</v>
      </c>
      <c r="E59" s="26">
        <v>0.2</v>
      </c>
      <c r="F59" s="105">
        <f>E59*(F52*0.13)</f>
        <v>0.91</v>
      </c>
      <c r="G59" s="56"/>
      <c r="H59" s="27">
        <f t="shared" si="7"/>
        <v>0</v>
      </c>
      <c r="I59" s="28"/>
      <c r="J59" s="20"/>
      <c r="K59" s="29">
        <f t="shared" si="0"/>
        <v>0</v>
      </c>
      <c r="L59" s="102"/>
    </row>
    <row r="60" spans="1:12" ht="29.4" thickBot="1" x14ac:dyDescent="0.3">
      <c r="A60" s="16" t="s">
        <v>95</v>
      </c>
      <c r="B60" s="17" t="s">
        <v>42</v>
      </c>
      <c r="C60" s="18"/>
      <c r="D60" s="19" t="s">
        <v>17</v>
      </c>
      <c r="E60" s="26"/>
      <c r="F60" s="20">
        <f>1*(3*11+2*1)*2</f>
        <v>70</v>
      </c>
      <c r="G60" s="55"/>
      <c r="H60" s="20"/>
      <c r="I60" s="21">
        <v>115</v>
      </c>
      <c r="J60" s="20">
        <f>$F60*I60</f>
        <v>8050</v>
      </c>
      <c r="K60" s="29">
        <f t="shared" si="0"/>
        <v>8050</v>
      </c>
      <c r="L60" s="102"/>
    </row>
    <row r="61" spans="1:12" ht="16.2" thickBot="1" x14ac:dyDescent="0.3">
      <c r="A61" s="23"/>
      <c r="B61" s="24" t="s">
        <v>30</v>
      </c>
      <c r="C61" s="18"/>
      <c r="D61" s="25" t="s">
        <v>31</v>
      </c>
      <c r="E61" s="26">
        <v>1.1499999999999999</v>
      </c>
      <c r="F61" s="27">
        <f>E61*F60</f>
        <v>80.5</v>
      </c>
      <c r="G61" s="56"/>
      <c r="H61" s="27">
        <f t="shared" ref="H61:H65" si="8">$F61*G61</f>
        <v>0</v>
      </c>
      <c r="I61" s="28"/>
      <c r="J61" s="20"/>
      <c r="K61" s="29">
        <f t="shared" si="0"/>
        <v>0</v>
      </c>
      <c r="L61" s="102"/>
    </row>
    <row r="62" spans="1:12" ht="16.2" thickBot="1" x14ac:dyDescent="0.3">
      <c r="A62" s="23"/>
      <c r="B62" s="24" t="s">
        <v>32</v>
      </c>
      <c r="C62" s="18"/>
      <c r="D62" s="25" t="s">
        <v>21</v>
      </c>
      <c r="E62" s="26">
        <f>15</f>
        <v>15</v>
      </c>
      <c r="F62" s="27">
        <f>ROUND(E62*F60,0)</f>
        <v>1050</v>
      </c>
      <c r="G62" s="56"/>
      <c r="H62" s="27">
        <f t="shared" si="8"/>
        <v>0</v>
      </c>
      <c r="I62" s="28"/>
      <c r="J62" s="20"/>
      <c r="K62" s="29">
        <f t="shared" si="0"/>
        <v>0</v>
      </c>
      <c r="L62" s="102"/>
    </row>
    <row r="63" spans="1:12" ht="16.2" thickBot="1" x14ac:dyDescent="0.3">
      <c r="A63" s="23"/>
      <c r="B63" s="24" t="s">
        <v>33</v>
      </c>
      <c r="C63" s="18"/>
      <c r="D63" s="25" t="s">
        <v>19</v>
      </c>
      <c r="E63" s="26">
        <f>2.2/2</f>
        <v>1.1000000000000001</v>
      </c>
      <c r="F63" s="27">
        <f>E63*F60</f>
        <v>77</v>
      </c>
      <c r="G63" s="56"/>
      <c r="H63" s="27">
        <f t="shared" si="8"/>
        <v>0</v>
      </c>
      <c r="I63" s="28"/>
      <c r="J63" s="20"/>
      <c r="K63" s="29">
        <f t="shared" si="0"/>
        <v>0</v>
      </c>
      <c r="L63" s="102"/>
    </row>
    <row r="64" spans="1:12" ht="16.2" thickBot="1" x14ac:dyDescent="0.3">
      <c r="A64" s="23"/>
      <c r="B64" s="24" t="s">
        <v>34</v>
      </c>
      <c r="C64" s="18"/>
      <c r="D64" s="25" t="s">
        <v>35</v>
      </c>
      <c r="E64" s="26">
        <f>0.2/2</f>
        <v>0.1</v>
      </c>
      <c r="F64" s="27">
        <f>E64*F60</f>
        <v>7</v>
      </c>
      <c r="G64" s="56"/>
      <c r="H64" s="27">
        <f t="shared" si="8"/>
        <v>0</v>
      </c>
      <c r="I64" s="28"/>
      <c r="J64" s="20"/>
      <c r="K64" s="29">
        <f t="shared" si="0"/>
        <v>0</v>
      </c>
      <c r="L64" s="102"/>
    </row>
    <row r="65" spans="1:12" ht="16.2" thickBot="1" x14ac:dyDescent="0.3">
      <c r="A65" s="23"/>
      <c r="B65" s="24" t="s">
        <v>36</v>
      </c>
      <c r="C65" s="18"/>
      <c r="D65" s="25" t="s">
        <v>28</v>
      </c>
      <c r="E65" s="26">
        <f>0.3</f>
        <v>0.3</v>
      </c>
      <c r="F65" s="27">
        <f>E65*F60</f>
        <v>21</v>
      </c>
      <c r="G65" s="56"/>
      <c r="H65" s="27">
        <f t="shared" si="8"/>
        <v>0</v>
      </c>
      <c r="I65" s="28"/>
      <c r="J65" s="20"/>
      <c r="K65" s="29">
        <f t="shared" si="0"/>
        <v>0</v>
      </c>
      <c r="L65" s="102"/>
    </row>
    <row r="66" spans="1:12" ht="29.4" thickBot="1" x14ac:dyDescent="0.3">
      <c r="A66" s="16" t="s">
        <v>96</v>
      </c>
      <c r="B66" s="17" t="s">
        <v>43</v>
      </c>
      <c r="C66" s="18"/>
      <c r="D66" s="19" t="s">
        <v>17</v>
      </c>
      <c r="E66" s="26"/>
      <c r="F66" s="20">
        <f>1*(3*41+6*6+5*1+7*1+2*2)-F80</f>
        <v>159</v>
      </c>
      <c r="G66" s="21"/>
      <c r="H66" s="20"/>
      <c r="I66" s="21">
        <v>240</v>
      </c>
      <c r="J66" s="20">
        <f>$F66*I66</f>
        <v>38160</v>
      </c>
      <c r="K66" s="29">
        <f t="shared" si="0"/>
        <v>38160</v>
      </c>
      <c r="L66" s="102"/>
    </row>
    <row r="67" spans="1:12" ht="16.2" thickBot="1" x14ac:dyDescent="0.3">
      <c r="A67" s="23"/>
      <c r="B67" s="24" t="s">
        <v>18</v>
      </c>
      <c r="C67" s="18"/>
      <c r="D67" s="25" t="s">
        <v>19</v>
      </c>
      <c r="E67" s="26">
        <f>F67/F66</f>
        <v>2</v>
      </c>
      <c r="F67" s="27">
        <f>2*F66</f>
        <v>318</v>
      </c>
      <c r="G67" s="56"/>
      <c r="H67" s="27">
        <f t="shared" ref="H67:H73" si="9">$F67*G67</f>
        <v>0</v>
      </c>
      <c r="I67" s="28"/>
      <c r="J67" s="20"/>
      <c r="K67" s="29">
        <f t="shared" si="0"/>
        <v>0</v>
      </c>
      <c r="L67" s="102"/>
    </row>
    <row r="68" spans="1:12" ht="16.2" thickBot="1" x14ac:dyDescent="0.3">
      <c r="A68" s="23"/>
      <c r="B68" s="24" t="s">
        <v>20</v>
      </c>
      <c r="C68" s="18"/>
      <c r="D68" s="25" t="s">
        <v>21</v>
      </c>
      <c r="E68" s="26">
        <v>2</v>
      </c>
      <c r="F68" s="27">
        <f>ROUND(E68*F66,0)</f>
        <v>318</v>
      </c>
      <c r="G68" s="56"/>
      <c r="H68" s="27">
        <f t="shared" si="9"/>
        <v>0</v>
      </c>
      <c r="I68" s="28"/>
      <c r="J68" s="20"/>
      <c r="K68" s="29">
        <f t="shared" si="0"/>
        <v>0</v>
      </c>
      <c r="L68" s="102"/>
    </row>
    <row r="69" spans="1:12" ht="16.2" thickBot="1" x14ac:dyDescent="0.3">
      <c r="A69" s="23"/>
      <c r="B69" s="24" t="s">
        <v>22</v>
      </c>
      <c r="C69" s="18"/>
      <c r="D69" s="25" t="s">
        <v>21</v>
      </c>
      <c r="E69" s="26">
        <v>2</v>
      </c>
      <c r="F69" s="27">
        <f>ROUND(E69*F66,0)</f>
        <v>318</v>
      </c>
      <c r="G69" s="56"/>
      <c r="H69" s="27">
        <f t="shared" si="9"/>
        <v>0</v>
      </c>
      <c r="I69" s="28"/>
      <c r="J69" s="20"/>
      <c r="K69" s="29">
        <f t="shared" si="0"/>
        <v>0</v>
      </c>
      <c r="L69" s="102"/>
    </row>
    <row r="70" spans="1:12" ht="16.2" thickBot="1" x14ac:dyDescent="0.3">
      <c r="A70" s="23"/>
      <c r="B70" s="24" t="s">
        <v>23</v>
      </c>
      <c r="C70" s="18"/>
      <c r="D70" s="25" t="s">
        <v>19</v>
      </c>
      <c r="E70" s="26">
        <f>E67</f>
        <v>2</v>
      </c>
      <c r="F70" s="27">
        <f>E70*F66</f>
        <v>318</v>
      </c>
      <c r="G70" s="56"/>
      <c r="H70" s="27">
        <f t="shared" si="9"/>
        <v>0</v>
      </c>
      <c r="I70" s="28"/>
      <c r="J70" s="20"/>
      <c r="K70" s="29">
        <f t="shared" si="0"/>
        <v>0</v>
      </c>
      <c r="L70" s="102"/>
    </row>
    <row r="71" spans="1:12" ht="16.2" thickBot="1" x14ac:dyDescent="0.3">
      <c r="A71" s="23"/>
      <c r="B71" s="24" t="s">
        <v>24</v>
      </c>
      <c r="C71" s="18"/>
      <c r="D71" s="25" t="s">
        <v>19</v>
      </c>
      <c r="E71" s="26">
        <f>2.5*2</f>
        <v>5</v>
      </c>
      <c r="F71" s="27">
        <f>E71*F66</f>
        <v>795</v>
      </c>
      <c r="G71" s="56"/>
      <c r="H71" s="27">
        <f t="shared" si="9"/>
        <v>0</v>
      </c>
      <c r="I71" s="28"/>
      <c r="J71" s="20"/>
      <c r="K71" s="29">
        <f t="shared" si="0"/>
        <v>0</v>
      </c>
      <c r="L71" s="102"/>
    </row>
    <row r="72" spans="1:12" ht="16.2" thickBot="1" x14ac:dyDescent="0.3">
      <c r="A72" s="23"/>
      <c r="B72" s="24" t="s">
        <v>25</v>
      </c>
      <c r="C72" s="104"/>
      <c r="D72" s="25" t="s">
        <v>26</v>
      </c>
      <c r="E72" s="26">
        <v>1.04</v>
      </c>
      <c r="F72" s="105">
        <f>0.00186*E72*F66</f>
        <v>0.30756960000000005</v>
      </c>
      <c r="G72" s="56"/>
      <c r="H72" s="27">
        <f t="shared" si="9"/>
        <v>0</v>
      </c>
      <c r="I72" s="28"/>
      <c r="J72" s="20"/>
      <c r="K72" s="29">
        <f t="shared" si="0"/>
        <v>0</v>
      </c>
      <c r="L72" s="102"/>
    </row>
    <row r="73" spans="1:12" ht="16.2" thickBot="1" x14ac:dyDescent="0.3">
      <c r="A73" s="23"/>
      <c r="B73" s="24" t="s">
        <v>27</v>
      </c>
      <c r="C73" s="104"/>
      <c r="D73" s="25" t="s">
        <v>28</v>
      </c>
      <c r="E73" s="26">
        <v>0.2</v>
      </c>
      <c r="F73" s="105">
        <f>E73*(F66*0.13)</f>
        <v>4.1340000000000003</v>
      </c>
      <c r="G73" s="56"/>
      <c r="H73" s="27">
        <f t="shared" si="9"/>
        <v>0</v>
      </c>
      <c r="I73" s="28"/>
      <c r="J73" s="20"/>
      <c r="K73" s="29">
        <f t="shared" si="0"/>
        <v>0</v>
      </c>
      <c r="L73" s="102"/>
    </row>
    <row r="74" spans="1:12" ht="29.4" thickBot="1" x14ac:dyDescent="0.3">
      <c r="A74" s="16" t="s">
        <v>97</v>
      </c>
      <c r="B74" s="17" t="s">
        <v>44</v>
      </c>
      <c r="C74" s="18"/>
      <c r="D74" s="19" t="s">
        <v>17</v>
      </c>
      <c r="E74" s="26"/>
      <c r="F74" s="20">
        <f>1*(3*41+6*6+5*1+7*1+2*2)*2-F88</f>
        <v>318</v>
      </c>
      <c r="G74" s="55"/>
      <c r="H74" s="20"/>
      <c r="I74" s="21">
        <v>105</v>
      </c>
      <c r="J74" s="20">
        <f>$F74*I74</f>
        <v>33390</v>
      </c>
      <c r="K74" s="29">
        <f t="shared" ref="K74:K137" si="10">H74+J74</f>
        <v>33390</v>
      </c>
      <c r="L74" s="102"/>
    </row>
    <row r="75" spans="1:12" ht="16.2" thickBot="1" x14ac:dyDescent="0.3">
      <c r="A75" s="23"/>
      <c r="B75" s="24" t="s">
        <v>30</v>
      </c>
      <c r="C75" s="18"/>
      <c r="D75" s="25" t="s">
        <v>31</v>
      </c>
      <c r="E75" s="26">
        <v>1.1499999999999999</v>
      </c>
      <c r="F75" s="27">
        <f>E75*F74</f>
        <v>365.7</v>
      </c>
      <c r="G75" s="56"/>
      <c r="H75" s="27">
        <f t="shared" ref="H75:H79" si="11">$F75*G75</f>
        <v>0</v>
      </c>
      <c r="I75" s="28"/>
      <c r="J75" s="20"/>
      <c r="K75" s="29">
        <f t="shared" si="10"/>
        <v>0</v>
      </c>
      <c r="L75" s="102"/>
    </row>
    <row r="76" spans="1:12" ht="16.2" thickBot="1" x14ac:dyDescent="0.3">
      <c r="A76" s="23"/>
      <c r="B76" s="24" t="s">
        <v>32</v>
      </c>
      <c r="C76" s="18"/>
      <c r="D76" s="25" t="s">
        <v>21</v>
      </c>
      <c r="E76" s="26">
        <f>15</f>
        <v>15</v>
      </c>
      <c r="F76" s="27">
        <f>ROUND(E76*F74,0)</f>
        <v>4770</v>
      </c>
      <c r="G76" s="56"/>
      <c r="H76" s="27">
        <f t="shared" si="11"/>
        <v>0</v>
      </c>
      <c r="I76" s="28"/>
      <c r="J76" s="20"/>
      <c r="K76" s="29">
        <f t="shared" si="10"/>
        <v>0</v>
      </c>
      <c r="L76" s="102"/>
    </row>
    <row r="77" spans="1:12" ht="16.2" thickBot="1" x14ac:dyDescent="0.3">
      <c r="A77" s="23"/>
      <c r="B77" s="24" t="s">
        <v>33</v>
      </c>
      <c r="C77" s="18"/>
      <c r="D77" s="25" t="s">
        <v>19</v>
      </c>
      <c r="E77" s="26">
        <f>2.2/2</f>
        <v>1.1000000000000001</v>
      </c>
      <c r="F77" s="27">
        <f>E77*F74</f>
        <v>349.8</v>
      </c>
      <c r="G77" s="56"/>
      <c r="H77" s="27">
        <f t="shared" si="11"/>
        <v>0</v>
      </c>
      <c r="I77" s="28"/>
      <c r="J77" s="20"/>
      <c r="K77" s="29">
        <f t="shared" si="10"/>
        <v>0</v>
      </c>
      <c r="L77" s="102"/>
    </row>
    <row r="78" spans="1:12" ht="16.2" thickBot="1" x14ac:dyDescent="0.3">
      <c r="A78" s="23"/>
      <c r="B78" s="24" t="s">
        <v>34</v>
      </c>
      <c r="C78" s="18"/>
      <c r="D78" s="25" t="s">
        <v>35</v>
      </c>
      <c r="E78" s="26">
        <f>0.2/2</f>
        <v>0.1</v>
      </c>
      <c r="F78" s="27">
        <f>E78*F74</f>
        <v>31.8</v>
      </c>
      <c r="G78" s="56"/>
      <c r="H78" s="27">
        <f t="shared" si="11"/>
        <v>0</v>
      </c>
      <c r="I78" s="28"/>
      <c r="J78" s="20"/>
      <c r="K78" s="29">
        <f t="shared" si="10"/>
        <v>0</v>
      </c>
      <c r="L78" s="102"/>
    </row>
    <row r="79" spans="1:12" ht="16.2" thickBot="1" x14ac:dyDescent="0.3">
      <c r="A79" s="23"/>
      <c r="B79" s="24" t="s">
        <v>36</v>
      </c>
      <c r="C79" s="18"/>
      <c r="D79" s="25" t="s">
        <v>28</v>
      </c>
      <c r="E79" s="26">
        <f>0.3</f>
        <v>0.3</v>
      </c>
      <c r="F79" s="27">
        <f>E79*F74</f>
        <v>95.399999999999991</v>
      </c>
      <c r="G79" s="56"/>
      <c r="H79" s="27">
        <f t="shared" si="11"/>
        <v>0</v>
      </c>
      <c r="I79" s="28"/>
      <c r="J79" s="20"/>
      <c r="K79" s="29">
        <f t="shared" si="10"/>
        <v>0</v>
      </c>
      <c r="L79" s="102"/>
    </row>
    <row r="80" spans="1:12" ht="43.8" thickBot="1" x14ac:dyDescent="0.3">
      <c r="A80" s="16" t="s">
        <v>98</v>
      </c>
      <c r="B80" s="17" t="s">
        <v>45</v>
      </c>
      <c r="C80" s="18"/>
      <c r="D80" s="19" t="s">
        <v>17</v>
      </c>
      <c r="E80" s="26"/>
      <c r="F80" s="20">
        <f>1*(3*4+2*2)</f>
        <v>16</v>
      </c>
      <c r="G80" s="21"/>
      <c r="H80" s="20"/>
      <c r="I80" s="21">
        <v>270</v>
      </c>
      <c r="J80" s="20">
        <f>$F80*I80</f>
        <v>4320</v>
      </c>
      <c r="K80" s="29">
        <f t="shared" si="10"/>
        <v>4320</v>
      </c>
      <c r="L80" s="102"/>
    </row>
    <row r="81" spans="1:12" ht="16.2" thickBot="1" x14ac:dyDescent="0.3">
      <c r="A81" s="23"/>
      <c r="B81" s="24" t="s">
        <v>18</v>
      </c>
      <c r="C81" s="18"/>
      <c r="D81" s="25" t="s">
        <v>19</v>
      </c>
      <c r="E81" s="26">
        <f>F81/F80</f>
        <v>2</v>
      </c>
      <c r="F81" s="27">
        <f>2*F80</f>
        <v>32</v>
      </c>
      <c r="G81" s="56"/>
      <c r="H81" s="27">
        <f t="shared" ref="H81:H87" si="12">$F81*G81</f>
        <v>0</v>
      </c>
      <c r="I81" s="28"/>
      <c r="J81" s="20"/>
      <c r="K81" s="29">
        <f t="shared" si="10"/>
        <v>0</v>
      </c>
      <c r="L81" s="102"/>
    </row>
    <row r="82" spans="1:12" ht="16.2" thickBot="1" x14ac:dyDescent="0.3">
      <c r="A82" s="23"/>
      <c r="B82" s="24" t="s">
        <v>20</v>
      </c>
      <c r="C82" s="18"/>
      <c r="D82" s="25" t="s">
        <v>21</v>
      </c>
      <c r="E82" s="26">
        <v>2</v>
      </c>
      <c r="F82" s="27">
        <f>ROUND(E82*F80,0)</f>
        <v>32</v>
      </c>
      <c r="G82" s="56"/>
      <c r="H82" s="27">
        <f t="shared" si="12"/>
        <v>0</v>
      </c>
      <c r="I82" s="28"/>
      <c r="J82" s="20"/>
      <c r="K82" s="29">
        <f t="shared" si="10"/>
        <v>0</v>
      </c>
      <c r="L82" s="102"/>
    </row>
    <row r="83" spans="1:12" ht="16.2" thickBot="1" x14ac:dyDescent="0.3">
      <c r="A83" s="23"/>
      <c r="B83" s="24" t="s">
        <v>22</v>
      </c>
      <c r="C83" s="18"/>
      <c r="D83" s="25" t="s">
        <v>21</v>
      </c>
      <c r="E83" s="26">
        <v>2</v>
      </c>
      <c r="F83" s="27">
        <f>ROUND(E83*F80,0)</f>
        <v>32</v>
      </c>
      <c r="G83" s="56"/>
      <c r="H83" s="27">
        <f t="shared" si="12"/>
        <v>0</v>
      </c>
      <c r="I83" s="28"/>
      <c r="J83" s="20"/>
      <c r="K83" s="29">
        <f t="shared" si="10"/>
        <v>0</v>
      </c>
      <c r="L83" s="102"/>
    </row>
    <row r="84" spans="1:12" ht="16.2" thickBot="1" x14ac:dyDescent="0.3">
      <c r="A84" s="23"/>
      <c r="B84" s="24" t="s">
        <v>23</v>
      </c>
      <c r="C84" s="18"/>
      <c r="D84" s="25" t="s">
        <v>19</v>
      </c>
      <c r="E84" s="26">
        <f>E81</f>
        <v>2</v>
      </c>
      <c r="F84" s="27">
        <f>E84*F80</f>
        <v>32</v>
      </c>
      <c r="G84" s="56"/>
      <c r="H84" s="27">
        <f t="shared" si="12"/>
        <v>0</v>
      </c>
      <c r="I84" s="28"/>
      <c r="J84" s="20"/>
      <c r="K84" s="29">
        <f t="shared" si="10"/>
        <v>0</v>
      </c>
      <c r="L84" s="102"/>
    </row>
    <row r="85" spans="1:12" ht="16.2" thickBot="1" x14ac:dyDescent="0.3">
      <c r="A85" s="23"/>
      <c r="B85" s="24" t="s">
        <v>24</v>
      </c>
      <c r="C85" s="18"/>
      <c r="D85" s="25" t="s">
        <v>19</v>
      </c>
      <c r="E85" s="26">
        <f>2.5*2</f>
        <v>5</v>
      </c>
      <c r="F85" s="27">
        <f>E85*F80</f>
        <v>80</v>
      </c>
      <c r="G85" s="56"/>
      <c r="H85" s="27">
        <f t="shared" si="12"/>
        <v>0</v>
      </c>
      <c r="I85" s="28"/>
      <c r="J85" s="20"/>
      <c r="K85" s="29">
        <f t="shared" si="10"/>
        <v>0</v>
      </c>
      <c r="L85" s="102"/>
    </row>
    <row r="86" spans="1:12" ht="16.2" thickBot="1" x14ac:dyDescent="0.3">
      <c r="A86" s="23"/>
      <c r="B86" s="24" t="s">
        <v>25</v>
      </c>
      <c r="C86" s="104"/>
      <c r="D86" s="25" t="s">
        <v>26</v>
      </c>
      <c r="E86" s="26">
        <v>1.04</v>
      </c>
      <c r="F86" s="105">
        <f>0.00186*E86*F80</f>
        <v>3.0950400000000003E-2</v>
      </c>
      <c r="G86" s="56"/>
      <c r="H86" s="27">
        <f t="shared" si="12"/>
        <v>0</v>
      </c>
      <c r="I86" s="28"/>
      <c r="J86" s="20"/>
      <c r="K86" s="29">
        <f t="shared" si="10"/>
        <v>0</v>
      </c>
      <c r="L86" s="102"/>
    </row>
    <row r="87" spans="1:12" ht="16.2" thickBot="1" x14ac:dyDescent="0.3">
      <c r="A87" s="23"/>
      <c r="B87" s="24" t="s">
        <v>27</v>
      </c>
      <c r="C87" s="104"/>
      <c r="D87" s="25" t="s">
        <v>28</v>
      </c>
      <c r="E87" s="26">
        <v>0.2</v>
      </c>
      <c r="F87" s="105">
        <f>E87*(F80*0.13)</f>
        <v>0.41600000000000004</v>
      </c>
      <c r="G87" s="56"/>
      <c r="H87" s="27">
        <f t="shared" si="12"/>
        <v>0</v>
      </c>
      <c r="I87" s="28"/>
      <c r="J87" s="20"/>
      <c r="K87" s="29">
        <f t="shared" si="10"/>
        <v>0</v>
      </c>
      <c r="L87" s="102"/>
    </row>
    <row r="88" spans="1:12" ht="29.4" thickBot="1" x14ac:dyDescent="0.3">
      <c r="A88" s="16" t="s">
        <v>92</v>
      </c>
      <c r="B88" s="17" t="s">
        <v>46</v>
      </c>
      <c r="C88" s="18"/>
      <c r="D88" s="19" t="s">
        <v>17</v>
      </c>
      <c r="E88" s="26"/>
      <c r="F88" s="20">
        <f>1*(3*4+2*2)*2</f>
        <v>32</v>
      </c>
      <c r="G88" s="55"/>
      <c r="H88" s="20"/>
      <c r="I88" s="21">
        <v>115</v>
      </c>
      <c r="J88" s="20">
        <f>$F88*I88</f>
        <v>3680</v>
      </c>
      <c r="K88" s="29">
        <f t="shared" si="10"/>
        <v>3680</v>
      </c>
      <c r="L88" s="102"/>
    </row>
    <row r="89" spans="1:12" ht="16.2" thickBot="1" x14ac:dyDescent="0.3">
      <c r="A89" s="23"/>
      <c r="B89" s="24" t="s">
        <v>30</v>
      </c>
      <c r="C89" s="18"/>
      <c r="D89" s="25" t="s">
        <v>31</v>
      </c>
      <c r="E89" s="26">
        <v>1.1499999999999999</v>
      </c>
      <c r="F89" s="27">
        <f>E89*F88</f>
        <v>36.799999999999997</v>
      </c>
      <c r="G89" s="56"/>
      <c r="H89" s="27">
        <f t="shared" ref="H89:H93" si="13">$F89*G89</f>
        <v>0</v>
      </c>
      <c r="I89" s="28"/>
      <c r="J89" s="20"/>
      <c r="K89" s="29">
        <f t="shared" si="10"/>
        <v>0</v>
      </c>
      <c r="L89" s="102"/>
    </row>
    <row r="90" spans="1:12" ht="16.2" thickBot="1" x14ac:dyDescent="0.3">
      <c r="A90" s="23"/>
      <c r="B90" s="24" t="s">
        <v>32</v>
      </c>
      <c r="C90" s="18"/>
      <c r="D90" s="25" t="s">
        <v>21</v>
      </c>
      <c r="E90" s="26">
        <f>15</f>
        <v>15</v>
      </c>
      <c r="F90" s="27">
        <f>ROUND(E90*F88,0)</f>
        <v>480</v>
      </c>
      <c r="G90" s="56"/>
      <c r="H90" s="27">
        <f t="shared" si="13"/>
        <v>0</v>
      </c>
      <c r="I90" s="28"/>
      <c r="J90" s="20"/>
      <c r="K90" s="29">
        <f t="shared" si="10"/>
        <v>0</v>
      </c>
      <c r="L90" s="102"/>
    </row>
    <row r="91" spans="1:12" ht="16.2" thickBot="1" x14ac:dyDescent="0.3">
      <c r="A91" s="23"/>
      <c r="B91" s="24" t="s">
        <v>33</v>
      </c>
      <c r="C91" s="18"/>
      <c r="D91" s="25" t="s">
        <v>19</v>
      </c>
      <c r="E91" s="26">
        <f>2.2/2</f>
        <v>1.1000000000000001</v>
      </c>
      <c r="F91" s="27">
        <f>E91*F88</f>
        <v>35.200000000000003</v>
      </c>
      <c r="G91" s="56"/>
      <c r="H91" s="27">
        <f t="shared" si="13"/>
        <v>0</v>
      </c>
      <c r="I91" s="28"/>
      <c r="J91" s="20"/>
      <c r="K91" s="29">
        <f t="shared" si="10"/>
        <v>0</v>
      </c>
      <c r="L91" s="102"/>
    </row>
    <row r="92" spans="1:12" ht="16.2" thickBot="1" x14ac:dyDescent="0.3">
      <c r="A92" s="23"/>
      <c r="B92" s="24" t="s">
        <v>34</v>
      </c>
      <c r="C92" s="18"/>
      <c r="D92" s="25" t="s">
        <v>35</v>
      </c>
      <c r="E92" s="26">
        <f>0.2/2</f>
        <v>0.1</v>
      </c>
      <c r="F92" s="27">
        <f>E92*F88</f>
        <v>3.2</v>
      </c>
      <c r="G92" s="56"/>
      <c r="H92" s="27">
        <f t="shared" si="13"/>
        <v>0</v>
      </c>
      <c r="I92" s="28"/>
      <c r="J92" s="20"/>
      <c r="K92" s="29">
        <f t="shared" si="10"/>
        <v>0</v>
      </c>
      <c r="L92" s="102"/>
    </row>
    <row r="93" spans="1:12" ht="16.2" thickBot="1" x14ac:dyDescent="0.3">
      <c r="A93" s="23"/>
      <c r="B93" s="24" t="s">
        <v>36</v>
      </c>
      <c r="C93" s="18"/>
      <c r="D93" s="25" t="s">
        <v>28</v>
      </c>
      <c r="E93" s="26">
        <f>0.3</f>
        <v>0.3</v>
      </c>
      <c r="F93" s="27">
        <f>E93*F88</f>
        <v>9.6</v>
      </c>
      <c r="G93" s="56"/>
      <c r="H93" s="27">
        <f t="shared" si="13"/>
        <v>0</v>
      </c>
      <c r="I93" s="28"/>
      <c r="J93" s="20"/>
      <c r="K93" s="29">
        <f t="shared" si="10"/>
        <v>0</v>
      </c>
      <c r="L93" s="102"/>
    </row>
    <row r="94" spans="1:12" ht="29.4" thickBot="1" x14ac:dyDescent="0.3">
      <c r="A94" s="16" t="s">
        <v>100</v>
      </c>
      <c r="B94" s="17" t="s">
        <v>47</v>
      </c>
      <c r="C94" s="18"/>
      <c r="D94" s="19" t="s">
        <v>17</v>
      </c>
      <c r="E94" s="26"/>
      <c r="F94" s="20">
        <f>1*(6*1+7*1)</f>
        <v>13</v>
      </c>
      <c r="G94" s="21"/>
      <c r="H94" s="20"/>
      <c r="I94" s="21">
        <v>240</v>
      </c>
      <c r="J94" s="20">
        <f>$F94*I94</f>
        <v>3120</v>
      </c>
      <c r="K94" s="29">
        <f t="shared" si="10"/>
        <v>3120</v>
      </c>
      <c r="L94" s="102"/>
    </row>
    <row r="95" spans="1:12" ht="16.2" thickBot="1" x14ac:dyDescent="0.3">
      <c r="A95" s="23"/>
      <c r="B95" s="24" t="s">
        <v>18</v>
      </c>
      <c r="C95" s="18"/>
      <c r="D95" s="25" t="s">
        <v>19</v>
      </c>
      <c r="E95" s="26">
        <f>F95/F94</f>
        <v>2</v>
      </c>
      <c r="F95" s="27">
        <f>2*F94</f>
        <v>26</v>
      </c>
      <c r="G95" s="56"/>
      <c r="H95" s="27">
        <f t="shared" ref="H95:H101" si="14">$F95*G95</f>
        <v>0</v>
      </c>
      <c r="I95" s="28"/>
      <c r="J95" s="20"/>
      <c r="K95" s="29">
        <f t="shared" si="10"/>
        <v>0</v>
      </c>
      <c r="L95" s="102"/>
    </row>
    <row r="96" spans="1:12" ht="16.2" thickBot="1" x14ac:dyDescent="0.3">
      <c r="A96" s="23"/>
      <c r="B96" s="24" t="s">
        <v>20</v>
      </c>
      <c r="C96" s="18"/>
      <c r="D96" s="25" t="s">
        <v>21</v>
      </c>
      <c r="E96" s="26">
        <v>2</v>
      </c>
      <c r="F96" s="27">
        <f>ROUND(E96*F94,0)</f>
        <v>26</v>
      </c>
      <c r="G96" s="56"/>
      <c r="H96" s="27">
        <f t="shared" si="14"/>
        <v>0</v>
      </c>
      <c r="I96" s="28"/>
      <c r="J96" s="20"/>
      <c r="K96" s="29">
        <f t="shared" si="10"/>
        <v>0</v>
      </c>
      <c r="L96" s="102"/>
    </row>
    <row r="97" spans="1:12" ht="16.2" thickBot="1" x14ac:dyDescent="0.3">
      <c r="A97" s="23"/>
      <c r="B97" s="24" t="s">
        <v>22</v>
      </c>
      <c r="C97" s="18"/>
      <c r="D97" s="25" t="s">
        <v>21</v>
      </c>
      <c r="E97" s="26">
        <v>2</v>
      </c>
      <c r="F97" s="27">
        <f>ROUND(E97*F94,0)</f>
        <v>26</v>
      </c>
      <c r="G97" s="56"/>
      <c r="H97" s="27">
        <f t="shared" si="14"/>
        <v>0</v>
      </c>
      <c r="I97" s="28"/>
      <c r="J97" s="20"/>
      <c r="K97" s="29">
        <f t="shared" si="10"/>
        <v>0</v>
      </c>
      <c r="L97" s="102"/>
    </row>
    <row r="98" spans="1:12" ht="16.2" thickBot="1" x14ac:dyDescent="0.3">
      <c r="A98" s="23"/>
      <c r="B98" s="24" t="s">
        <v>23</v>
      </c>
      <c r="C98" s="18"/>
      <c r="D98" s="25" t="s">
        <v>19</v>
      </c>
      <c r="E98" s="26">
        <f>E95</f>
        <v>2</v>
      </c>
      <c r="F98" s="27">
        <f>E98*F94</f>
        <v>26</v>
      </c>
      <c r="G98" s="56"/>
      <c r="H98" s="27">
        <f t="shared" si="14"/>
        <v>0</v>
      </c>
      <c r="I98" s="28"/>
      <c r="J98" s="20"/>
      <c r="K98" s="29">
        <f t="shared" si="10"/>
        <v>0</v>
      </c>
      <c r="L98" s="102"/>
    </row>
    <row r="99" spans="1:12" ht="16.2" thickBot="1" x14ac:dyDescent="0.3">
      <c r="A99" s="23"/>
      <c r="B99" s="24" t="s">
        <v>24</v>
      </c>
      <c r="C99" s="18"/>
      <c r="D99" s="25" t="s">
        <v>19</v>
      </c>
      <c r="E99" s="26">
        <f>2.5*2</f>
        <v>5</v>
      </c>
      <c r="F99" s="27">
        <f>E99*F94</f>
        <v>65</v>
      </c>
      <c r="G99" s="56"/>
      <c r="H99" s="27">
        <f t="shared" si="14"/>
        <v>0</v>
      </c>
      <c r="I99" s="28"/>
      <c r="J99" s="20"/>
      <c r="K99" s="29">
        <f t="shared" si="10"/>
        <v>0</v>
      </c>
      <c r="L99" s="102"/>
    </row>
    <row r="100" spans="1:12" ht="16.2" thickBot="1" x14ac:dyDescent="0.3">
      <c r="A100" s="23"/>
      <c r="B100" s="24" t="s">
        <v>25</v>
      </c>
      <c r="C100" s="104"/>
      <c r="D100" s="25" t="s">
        <v>26</v>
      </c>
      <c r="E100" s="26">
        <v>1.04</v>
      </c>
      <c r="F100" s="105">
        <f>0.00186*E100*F94</f>
        <v>2.5147200000000001E-2</v>
      </c>
      <c r="G100" s="56"/>
      <c r="H100" s="27">
        <f t="shared" si="14"/>
        <v>0</v>
      </c>
      <c r="I100" s="28"/>
      <c r="J100" s="20"/>
      <c r="K100" s="29">
        <f t="shared" si="10"/>
        <v>0</v>
      </c>
      <c r="L100" s="102"/>
    </row>
    <row r="101" spans="1:12" ht="16.2" thickBot="1" x14ac:dyDescent="0.3">
      <c r="A101" s="23"/>
      <c r="B101" s="24" t="s">
        <v>27</v>
      </c>
      <c r="C101" s="104"/>
      <c r="D101" s="25" t="s">
        <v>28</v>
      </c>
      <c r="E101" s="26">
        <v>0.2</v>
      </c>
      <c r="F101" s="105">
        <f>E101*(F94*0.13)</f>
        <v>0.33800000000000002</v>
      </c>
      <c r="G101" s="56"/>
      <c r="H101" s="27">
        <f t="shared" si="14"/>
        <v>0</v>
      </c>
      <c r="I101" s="28"/>
      <c r="J101" s="20"/>
      <c r="K101" s="29">
        <f t="shared" si="10"/>
        <v>0</v>
      </c>
      <c r="L101" s="102"/>
    </row>
    <row r="102" spans="1:12" ht="29.4" thickBot="1" x14ac:dyDescent="0.3">
      <c r="A102" s="16" t="s">
        <v>101</v>
      </c>
      <c r="B102" s="17" t="s">
        <v>48</v>
      </c>
      <c r="C102" s="18"/>
      <c r="D102" s="19" t="s">
        <v>17</v>
      </c>
      <c r="E102" s="26"/>
      <c r="F102" s="20">
        <f>1*(6*1+7*1)*2</f>
        <v>26</v>
      </c>
      <c r="G102" s="55"/>
      <c r="H102" s="20"/>
      <c r="I102" s="21">
        <v>105</v>
      </c>
      <c r="J102" s="20">
        <f>$F102*I102</f>
        <v>2730</v>
      </c>
      <c r="K102" s="29">
        <f t="shared" si="10"/>
        <v>2730</v>
      </c>
      <c r="L102" s="102"/>
    </row>
    <row r="103" spans="1:12" ht="16.2" thickBot="1" x14ac:dyDescent="0.3">
      <c r="A103" s="23"/>
      <c r="B103" s="24" t="s">
        <v>30</v>
      </c>
      <c r="C103" s="18"/>
      <c r="D103" s="25" t="s">
        <v>31</v>
      </c>
      <c r="E103" s="26">
        <v>1.1499999999999999</v>
      </c>
      <c r="F103" s="27">
        <f>E103*F102</f>
        <v>29.9</v>
      </c>
      <c r="G103" s="56"/>
      <c r="H103" s="27">
        <f t="shared" ref="H103:H107" si="15">$F103*G103</f>
        <v>0</v>
      </c>
      <c r="I103" s="28"/>
      <c r="J103" s="20"/>
      <c r="K103" s="29">
        <f t="shared" si="10"/>
        <v>0</v>
      </c>
      <c r="L103" s="102"/>
    </row>
    <row r="104" spans="1:12" ht="16.2" thickBot="1" x14ac:dyDescent="0.3">
      <c r="A104" s="23"/>
      <c r="B104" s="24" t="s">
        <v>32</v>
      </c>
      <c r="C104" s="18"/>
      <c r="D104" s="25" t="s">
        <v>21</v>
      </c>
      <c r="E104" s="26">
        <f>15</f>
        <v>15</v>
      </c>
      <c r="F104" s="27">
        <f>ROUND(E104*F102,0)</f>
        <v>390</v>
      </c>
      <c r="G104" s="56"/>
      <c r="H104" s="27">
        <f t="shared" si="15"/>
        <v>0</v>
      </c>
      <c r="I104" s="28"/>
      <c r="J104" s="20"/>
      <c r="K104" s="29">
        <f t="shared" si="10"/>
        <v>0</v>
      </c>
      <c r="L104" s="102"/>
    </row>
    <row r="105" spans="1:12" ht="16.2" thickBot="1" x14ac:dyDescent="0.3">
      <c r="A105" s="23"/>
      <c r="B105" s="24" t="s">
        <v>33</v>
      </c>
      <c r="C105" s="18"/>
      <c r="D105" s="25" t="s">
        <v>19</v>
      </c>
      <c r="E105" s="26">
        <f>2.2/2</f>
        <v>1.1000000000000001</v>
      </c>
      <c r="F105" s="27">
        <f>E105*F102</f>
        <v>28.6</v>
      </c>
      <c r="G105" s="56"/>
      <c r="H105" s="27">
        <f t="shared" si="15"/>
        <v>0</v>
      </c>
      <c r="I105" s="28"/>
      <c r="J105" s="20"/>
      <c r="K105" s="29">
        <f t="shared" si="10"/>
        <v>0</v>
      </c>
      <c r="L105" s="102"/>
    </row>
    <row r="106" spans="1:12" ht="16.2" thickBot="1" x14ac:dyDescent="0.3">
      <c r="A106" s="23"/>
      <c r="B106" s="24" t="s">
        <v>34</v>
      </c>
      <c r="C106" s="18"/>
      <c r="D106" s="25" t="s">
        <v>35</v>
      </c>
      <c r="E106" s="26">
        <f>0.2/2</f>
        <v>0.1</v>
      </c>
      <c r="F106" s="27">
        <f>E106*F102</f>
        <v>2.6</v>
      </c>
      <c r="G106" s="56"/>
      <c r="H106" s="27">
        <f t="shared" si="15"/>
        <v>0</v>
      </c>
      <c r="I106" s="28"/>
      <c r="J106" s="20"/>
      <c r="K106" s="29">
        <f t="shared" si="10"/>
        <v>0</v>
      </c>
      <c r="L106" s="102"/>
    </row>
    <row r="107" spans="1:12" ht="16.2" thickBot="1" x14ac:dyDescent="0.3">
      <c r="A107" s="23"/>
      <c r="B107" s="24" t="s">
        <v>36</v>
      </c>
      <c r="C107" s="18"/>
      <c r="D107" s="25" t="s">
        <v>28</v>
      </c>
      <c r="E107" s="26">
        <f>0.3</f>
        <v>0.3</v>
      </c>
      <c r="F107" s="27">
        <f>E107*F102</f>
        <v>7.8</v>
      </c>
      <c r="G107" s="56"/>
      <c r="H107" s="27">
        <f t="shared" si="15"/>
        <v>0</v>
      </c>
      <c r="I107" s="28"/>
      <c r="J107" s="20"/>
      <c r="K107" s="29">
        <f t="shared" si="10"/>
        <v>0</v>
      </c>
      <c r="L107" s="102"/>
    </row>
    <row r="108" spans="1:12" ht="29.4" thickBot="1" x14ac:dyDescent="0.3">
      <c r="A108" s="16" t="s">
        <v>102</v>
      </c>
      <c r="B108" s="17" t="s">
        <v>49</v>
      </c>
      <c r="C108" s="18"/>
      <c r="D108" s="19" t="s">
        <v>17</v>
      </c>
      <c r="E108" s="26"/>
      <c r="F108" s="20">
        <f>F10</f>
        <v>25.5</v>
      </c>
      <c r="G108" s="55"/>
      <c r="H108" s="20"/>
      <c r="I108" s="21">
        <v>250</v>
      </c>
      <c r="J108" s="20">
        <f>$F108*I108</f>
        <v>6375</v>
      </c>
      <c r="K108" s="29">
        <f t="shared" si="10"/>
        <v>6375</v>
      </c>
      <c r="L108" s="102"/>
    </row>
    <row r="109" spans="1:12" ht="16.2" thickBot="1" x14ac:dyDescent="0.3">
      <c r="A109" s="23"/>
      <c r="B109" s="24" t="s">
        <v>50</v>
      </c>
      <c r="C109" s="18"/>
      <c r="D109" s="25" t="s">
        <v>35</v>
      </c>
      <c r="E109" s="26">
        <f>0.2</f>
        <v>0.2</v>
      </c>
      <c r="F109" s="27">
        <f>E109*F108</f>
        <v>5.1000000000000005</v>
      </c>
      <c r="G109" s="56"/>
      <c r="H109" s="27">
        <f t="shared" ref="H109:H110" si="16">$F109*G109</f>
        <v>0</v>
      </c>
      <c r="I109" s="28"/>
      <c r="J109" s="20"/>
      <c r="K109" s="29">
        <f t="shared" si="10"/>
        <v>0</v>
      </c>
      <c r="L109" s="102"/>
    </row>
    <row r="110" spans="1:12" ht="16.2" thickBot="1" x14ac:dyDescent="0.3">
      <c r="A110" s="23"/>
      <c r="B110" s="24" t="s">
        <v>51</v>
      </c>
      <c r="C110" s="18"/>
      <c r="D110" s="25" t="s">
        <v>28</v>
      </c>
      <c r="E110" s="26">
        <v>2</v>
      </c>
      <c r="F110" s="27">
        <f>E110*F108</f>
        <v>51</v>
      </c>
      <c r="G110" s="56"/>
      <c r="H110" s="27">
        <f t="shared" si="16"/>
        <v>0</v>
      </c>
      <c r="I110" s="28"/>
      <c r="J110" s="20"/>
      <c r="K110" s="29">
        <f t="shared" si="10"/>
        <v>0</v>
      </c>
      <c r="L110" s="102"/>
    </row>
    <row r="111" spans="1:12" ht="43.8" thickBot="1" x14ac:dyDescent="0.3">
      <c r="A111" s="16" t="s">
        <v>103</v>
      </c>
      <c r="B111" s="17" t="s">
        <v>52</v>
      </c>
      <c r="C111" s="18"/>
      <c r="D111" s="19" t="s">
        <v>17</v>
      </c>
      <c r="E111" s="26"/>
      <c r="F111" s="20">
        <f>F24</f>
        <v>9</v>
      </c>
      <c r="G111" s="55"/>
      <c r="H111" s="20"/>
      <c r="I111" s="21">
        <v>320</v>
      </c>
      <c r="J111" s="20">
        <f>$F111*I111</f>
        <v>2880</v>
      </c>
      <c r="K111" s="29">
        <f t="shared" si="10"/>
        <v>2880</v>
      </c>
      <c r="L111" s="102"/>
    </row>
    <row r="112" spans="1:12" ht="16.2" thickBot="1" x14ac:dyDescent="0.3">
      <c r="A112" s="23"/>
      <c r="B112" s="24" t="s">
        <v>50</v>
      </c>
      <c r="C112" s="18"/>
      <c r="D112" s="25" t="s">
        <v>35</v>
      </c>
      <c r="E112" s="26">
        <f>0.2</f>
        <v>0.2</v>
      </c>
      <c r="F112" s="27">
        <f>E112*F111</f>
        <v>1.8</v>
      </c>
      <c r="G112" s="56"/>
      <c r="H112" s="27">
        <f t="shared" ref="H112:H113" si="17">$F112*G112</f>
        <v>0</v>
      </c>
      <c r="I112" s="28"/>
      <c r="J112" s="20"/>
      <c r="K112" s="29">
        <f t="shared" si="10"/>
        <v>0</v>
      </c>
      <c r="L112" s="102"/>
    </row>
    <row r="113" spans="1:12" ht="16.2" thickBot="1" x14ac:dyDescent="0.3">
      <c r="A113" s="23"/>
      <c r="B113" s="24" t="s">
        <v>51</v>
      </c>
      <c r="C113" s="18"/>
      <c r="D113" s="25" t="s">
        <v>28</v>
      </c>
      <c r="E113" s="26">
        <v>2</v>
      </c>
      <c r="F113" s="27">
        <f>E113*F111</f>
        <v>18</v>
      </c>
      <c r="G113" s="56"/>
      <c r="H113" s="27">
        <f t="shared" si="17"/>
        <v>0</v>
      </c>
      <c r="I113" s="28"/>
      <c r="J113" s="20"/>
      <c r="K113" s="29">
        <f t="shared" si="10"/>
        <v>0</v>
      </c>
      <c r="L113" s="102"/>
    </row>
    <row r="114" spans="1:12" ht="29.4" thickBot="1" x14ac:dyDescent="0.3">
      <c r="A114" s="16" t="s">
        <v>104</v>
      </c>
      <c r="B114" s="17" t="s">
        <v>53</v>
      </c>
      <c r="C114" s="18"/>
      <c r="D114" s="19" t="s">
        <v>17</v>
      </c>
      <c r="E114" s="26"/>
      <c r="F114" s="20">
        <f>F38</f>
        <v>122.5</v>
      </c>
      <c r="G114" s="55"/>
      <c r="H114" s="20"/>
      <c r="I114" s="21">
        <v>250</v>
      </c>
      <c r="J114" s="20">
        <f>$F114*I114</f>
        <v>30625</v>
      </c>
      <c r="K114" s="29">
        <f t="shared" si="10"/>
        <v>30625</v>
      </c>
      <c r="L114" s="102"/>
    </row>
    <row r="115" spans="1:12" ht="16.2" thickBot="1" x14ac:dyDescent="0.3">
      <c r="A115" s="23"/>
      <c r="B115" s="24" t="s">
        <v>50</v>
      </c>
      <c r="C115" s="18"/>
      <c r="D115" s="25" t="s">
        <v>35</v>
      </c>
      <c r="E115" s="26">
        <f>0.2</f>
        <v>0.2</v>
      </c>
      <c r="F115" s="27">
        <f>E115*F114</f>
        <v>24.5</v>
      </c>
      <c r="G115" s="56"/>
      <c r="H115" s="27">
        <f t="shared" ref="H115:H116" si="18">$F115*G115</f>
        <v>0</v>
      </c>
      <c r="I115" s="28"/>
      <c r="J115" s="20"/>
      <c r="K115" s="29">
        <f t="shared" si="10"/>
        <v>0</v>
      </c>
      <c r="L115" s="102"/>
    </row>
    <row r="116" spans="1:12" ht="16.2" thickBot="1" x14ac:dyDescent="0.3">
      <c r="A116" s="23"/>
      <c r="B116" s="24" t="s">
        <v>51</v>
      </c>
      <c r="C116" s="18"/>
      <c r="D116" s="25" t="s">
        <v>28</v>
      </c>
      <c r="E116" s="26">
        <v>2</v>
      </c>
      <c r="F116" s="27">
        <f>E116*F114</f>
        <v>245</v>
      </c>
      <c r="G116" s="56"/>
      <c r="H116" s="27">
        <f t="shared" si="18"/>
        <v>0</v>
      </c>
      <c r="I116" s="28"/>
      <c r="J116" s="20"/>
      <c r="K116" s="29">
        <f t="shared" si="10"/>
        <v>0</v>
      </c>
      <c r="L116" s="102"/>
    </row>
    <row r="117" spans="1:12" ht="43.8" thickBot="1" x14ac:dyDescent="0.3">
      <c r="A117" s="16" t="s">
        <v>105</v>
      </c>
      <c r="B117" s="17" t="s">
        <v>54</v>
      </c>
      <c r="C117" s="18"/>
      <c r="D117" s="19" t="s">
        <v>17</v>
      </c>
      <c r="E117" s="26"/>
      <c r="F117" s="20">
        <f>F52</f>
        <v>35</v>
      </c>
      <c r="G117" s="55"/>
      <c r="H117" s="20"/>
      <c r="I117" s="21">
        <v>320</v>
      </c>
      <c r="J117" s="20">
        <f>$F117*I117</f>
        <v>11200</v>
      </c>
      <c r="K117" s="29">
        <f t="shared" si="10"/>
        <v>11200</v>
      </c>
      <c r="L117" s="102"/>
    </row>
    <row r="118" spans="1:12" ht="16.2" thickBot="1" x14ac:dyDescent="0.3">
      <c r="A118" s="23"/>
      <c r="B118" s="24" t="s">
        <v>50</v>
      </c>
      <c r="C118" s="18"/>
      <c r="D118" s="25" t="s">
        <v>35</v>
      </c>
      <c r="E118" s="26">
        <f>0.2</f>
        <v>0.2</v>
      </c>
      <c r="F118" s="27">
        <f>E118*F117</f>
        <v>7</v>
      </c>
      <c r="G118" s="56"/>
      <c r="H118" s="27">
        <f t="shared" ref="H118:H119" si="19">$F118*G118</f>
        <v>0</v>
      </c>
      <c r="I118" s="28"/>
      <c r="J118" s="20"/>
      <c r="K118" s="29">
        <f t="shared" si="10"/>
        <v>0</v>
      </c>
      <c r="L118" s="102"/>
    </row>
    <row r="119" spans="1:12" ht="16.2" thickBot="1" x14ac:dyDescent="0.3">
      <c r="A119" s="23"/>
      <c r="B119" s="24" t="s">
        <v>51</v>
      </c>
      <c r="C119" s="18"/>
      <c r="D119" s="25" t="s">
        <v>28</v>
      </c>
      <c r="E119" s="26">
        <v>2</v>
      </c>
      <c r="F119" s="27">
        <f>E119*F117</f>
        <v>70</v>
      </c>
      <c r="G119" s="56"/>
      <c r="H119" s="27">
        <f t="shared" si="19"/>
        <v>0</v>
      </c>
      <c r="I119" s="28"/>
      <c r="J119" s="20"/>
      <c r="K119" s="29">
        <f t="shared" si="10"/>
        <v>0</v>
      </c>
      <c r="L119" s="102"/>
    </row>
    <row r="120" spans="1:12" ht="29.4" thickBot="1" x14ac:dyDescent="0.3">
      <c r="A120" s="16" t="s">
        <v>106</v>
      </c>
      <c r="B120" s="17" t="s">
        <v>55</v>
      </c>
      <c r="C120" s="18"/>
      <c r="D120" s="19" t="s">
        <v>17</v>
      </c>
      <c r="E120" s="26"/>
      <c r="F120" s="20">
        <f>F66</f>
        <v>159</v>
      </c>
      <c r="G120" s="55"/>
      <c r="H120" s="20"/>
      <c r="I120" s="21">
        <v>250</v>
      </c>
      <c r="J120" s="20">
        <f>$F120*I120</f>
        <v>39750</v>
      </c>
      <c r="K120" s="29">
        <f t="shared" si="10"/>
        <v>39750</v>
      </c>
      <c r="L120" s="102"/>
    </row>
    <row r="121" spans="1:12" ht="16.2" thickBot="1" x14ac:dyDescent="0.3">
      <c r="A121" s="23"/>
      <c r="B121" s="24" t="s">
        <v>50</v>
      </c>
      <c r="C121" s="18"/>
      <c r="D121" s="25" t="s">
        <v>35</v>
      </c>
      <c r="E121" s="26">
        <f>0.2</f>
        <v>0.2</v>
      </c>
      <c r="F121" s="27">
        <f>E121*F120</f>
        <v>31.8</v>
      </c>
      <c r="G121" s="56"/>
      <c r="H121" s="27">
        <f t="shared" ref="H121:H122" si="20">$F121*G121</f>
        <v>0</v>
      </c>
      <c r="I121" s="28"/>
      <c r="J121" s="20"/>
      <c r="K121" s="29">
        <f t="shared" si="10"/>
        <v>0</v>
      </c>
      <c r="L121" s="102"/>
    </row>
    <row r="122" spans="1:12" ht="16.2" thickBot="1" x14ac:dyDescent="0.3">
      <c r="A122" s="23"/>
      <c r="B122" s="24" t="s">
        <v>51</v>
      </c>
      <c r="C122" s="18"/>
      <c r="D122" s="25" t="s">
        <v>28</v>
      </c>
      <c r="E122" s="26">
        <v>2</v>
      </c>
      <c r="F122" s="27">
        <f>E122*F120</f>
        <v>318</v>
      </c>
      <c r="G122" s="56"/>
      <c r="H122" s="27">
        <f t="shared" si="20"/>
        <v>0</v>
      </c>
      <c r="I122" s="28"/>
      <c r="J122" s="20"/>
      <c r="K122" s="29">
        <f t="shared" si="10"/>
        <v>0</v>
      </c>
      <c r="L122" s="102"/>
    </row>
    <row r="123" spans="1:12" ht="43.8" thickBot="1" x14ac:dyDescent="0.3">
      <c r="A123" s="16" t="s">
        <v>107</v>
      </c>
      <c r="B123" s="17" t="s">
        <v>56</v>
      </c>
      <c r="C123" s="18"/>
      <c r="D123" s="19" t="s">
        <v>17</v>
      </c>
      <c r="E123" s="26"/>
      <c r="F123" s="20">
        <f>F80</f>
        <v>16</v>
      </c>
      <c r="G123" s="55"/>
      <c r="H123" s="20"/>
      <c r="I123" s="21">
        <v>320</v>
      </c>
      <c r="J123" s="20">
        <f>$F123*I123</f>
        <v>5120</v>
      </c>
      <c r="K123" s="29">
        <f t="shared" si="10"/>
        <v>5120</v>
      </c>
      <c r="L123" s="102"/>
    </row>
    <row r="124" spans="1:12" ht="16.2" thickBot="1" x14ac:dyDescent="0.3">
      <c r="A124" s="23"/>
      <c r="B124" s="24" t="s">
        <v>50</v>
      </c>
      <c r="C124" s="18"/>
      <c r="D124" s="25" t="s">
        <v>35</v>
      </c>
      <c r="E124" s="26">
        <f>0.2</f>
        <v>0.2</v>
      </c>
      <c r="F124" s="27">
        <f>E124*F123</f>
        <v>3.2</v>
      </c>
      <c r="G124" s="56"/>
      <c r="H124" s="27">
        <f t="shared" ref="H124:H125" si="21">$F124*G124</f>
        <v>0</v>
      </c>
      <c r="I124" s="28"/>
      <c r="J124" s="20"/>
      <c r="K124" s="29">
        <f t="shared" si="10"/>
        <v>0</v>
      </c>
      <c r="L124" s="102"/>
    </row>
    <row r="125" spans="1:12" ht="16.2" thickBot="1" x14ac:dyDescent="0.3">
      <c r="A125" s="23"/>
      <c r="B125" s="24" t="s">
        <v>51</v>
      </c>
      <c r="C125" s="18"/>
      <c r="D125" s="25" t="s">
        <v>28</v>
      </c>
      <c r="E125" s="26">
        <v>2</v>
      </c>
      <c r="F125" s="27">
        <f>E125*F123</f>
        <v>32</v>
      </c>
      <c r="G125" s="56"/>
      <c r="H125" s="27">
        <f t="shared" si="21"/>
        <v>0</v>
      </c>
      <c r="I125" s="28"/>
      <c r="J125" s="20"/>
      <c r="K125" s="29">
        <f t="shared" si="10"/>
        <v>0</v>
      </c>
      <c r="L125" s="102"/>
    </row>
    <row r="126" spans="1:12" ht="29.4" thickBot="1" x14ac:dyDescent="0.3">
      <c r="A126" s="16" t="s">
        <v>108</v>
      </c>
      <c r="B126" s="17" t="s">
        <v>57</v>
      </c>
      <c r="C126" s="18"/>
      <c r="D126" s="19" t="s">
        <v>17</v>
      </c>
      <c r="E126" s="26"/>
      <c r="F126" s="20">
        <f>F94</f>
        <v>13</v>
      </c>
      <c r="G126" s="55"/>
      <c r="H126" s="20"/>
      <c r="I126" s="21">
        <v>250</v>
      </c>
      <c r="J126" s="20">
        <f>$F126*I126</f>
        <v>3250</v>
      </c>
      <c r="K126" s="29">
        <f t="shared" si="10"/>
        <v>3250</v>
      </c>
      <c r="L126" s="102"/>
    </row>
    <row r="127" spans="1:12" ht="16.2" thickBot="1" x14ac:dyDescent="0.3">
      <c r="A127" s="23"/>
      <c r="B127" s="24" t="s">
        <v>50</v>
      </c>
      <c r="C127" s="18"/>
      <c r="D127" s="25" t="s">
        <v>35</v>
      </c>
      <c r="E127" s="26">
        <f>0.2</f>
        <v>0.2</v>
      </c>
      <c r="F127" s="27">
        <f>E127*F126</f>
        <v>2.6</v>
      </c>
      <c r="G127" s="56"/>
      <c r="H127" s="27">
        <f t="shared" ref="H127:H128" si="22">$F127*G127</f>
        <v>0</v>
      </c>
      <c r="I127" s="28"/>
      <c r="J127" s="20"/>
      <c r="K127" s="29">
        <f t="shared" si="10"/>
        <v>0</v>
      </c>
      <c r="L127" s="102"/>
    </row>
    <row r="128" spans="1:12" ht="16.2" thickBot="1" x14ac:dyDescent="0.3">
      <c r="A128" s="23"/>
      <c r="B128" s="24" t="s">
        <v>51</v>
      </c>
      <c r="C128" s="18"/>
      <c r="D128" s="25" t="s">
        <v>28</v>
      </c>
      <c r="E128" s="26">
        <v>2</v>
      </c>
      <c r="F128" s="27">
        <f>E128*F126</f>
        <v>26</v>
      </c>
      <c r="G128" s="56"/>
      <c r="H128" s="27">
        <f t="shared" si="22"/>
        <v>0</v>
      </c>
      <c r="I128" s="28"/>
      <c r="J128" s="20"/>
      <c r="K128" s="29">
        <f t="shared" si="10"/>
        <v>0</v>
      </c>
      <c r="L128" s="102"/>
    </row>
    <row r="129" spans="1:12" ht="29.4" thickBot="1" x14ac:dyDescent="0.3">
      <c r="A129" s="16" t="s">
        <v>99</v>
      </c>
      <c r="B129" s="17" t="s">
        <v>58</v>
      </c>
      <c r="C129" s="18"/>
      <c r="D129" s="19" t="s">
        <v>17</v>
      </c>
      <c r="E129" s="26"/>
      <c r="F129" s="20">
        <f>F108+F111</f>
        <v>34.5</v>
      </c>
      <c r="G129" s="55"/>
      <c r="H129" s="20"/>
      <c r="I129" s="21">
        <v>170</v>
      </c>
      <c r="J129" s="20">
        <f>$F129*I129</f>
        <v>5865</v>
      </c>
      <c r="K129" s="29">
        <f t="shared" si="10"/>
        <v>5865</v>
      </c>
      <c r="L129" s="102"/>
    </row>
    <row r="130" spans="1:12" ht="16.2" thickBot="1" x14ac:dyDescent="0.3">
      <c r="A130" s="23"/>
      <c r="B130" s="24" t="s">
        <v>50</v>
      </c>
      <c r="C130" s="18"/>
      <c r="D130" s="25" t="s">
        <v>35</v>
      </c>
      <c r="E130" s="26">
        <f>0.2</f>
        <v>0.2</v>
      </c>
      <c r="F130" s="27">
        <f>E130*F129</f>
        <v>6.9</v>
      </c>
      <c r="G130" s="56"/>
      <c r="H130" s="27">
        <f t="shared" ref="H130:H131" si="23">$F130*G130</f>
        <v>0</v>
      </c>
      <c r="I130" s="28"/>
      <c r="J130" s="20"/>
      <c r="K130" s="29">
        <f t="shared" si="10"/>
        <v>0</v>
      </c>
      <c r="L130" s="102"/>
    </row>
    <row r="131" spans="1:12" ht="16.2" thickBot="1" x14ac:dyDescent="0.3">
      <c r="A131" s="23"/>
      <c r="B131" s="24" t="s">
        <v>59</v>
      </c>
      <c r="C131" s="18"/>
      <c r="D131" s="25" t="s">
        <v>35</v>
      </c>
      <c r="E131" s="26">
        <v>0.25</v>
      </c>
      <c r="F131" s="27">
        <f>E131*F129</f>
        <v>8.625</v>
      </c>
      <c r="G131" s="56"/>
      <c r="H131" s="27">
        <f t="shared" si="23"/>
        <v>0</v>
      </c>
      <c r="I131" s="28"/>
      <c r="J131" s="20"/>
      <c r="K131" s="29">
        <f t="shared" si="10"/>
        <v>0</v>
      </c>
      <c r="L131" s="102"/>
    </row>
    <row r="132" spans="1:12" ht="29.4" thickBot="1" x14ac:dyDescent="0.3">
      <c r="A132" s="16" t="s">
        <v>109</v>
      </c>
      <c r="B132" s="17" t="s">
        <v>60</v>
      </c>
      <c r="C132" s="18"/>
      <c r="D132" s="19" t="s">
        <v>17</v>
      </c>
      <c r="E132" s="26"/>
      <c r="F132" s="20">
        <f>F114+F117</f>
        <v>157.5</v>
      </c>
      <c r="G132" s="55"/>
      <c r="H132" s="20"/>
      <c r="I132" s="21">
        <v>170</v>
      </c>
      <c r="J132" s="20">
        <f>$F132*I132</f>
        <v>26775</v>
      </c>
      <c r="K132" s="29">
        <f t="shared" si="10"/>
        <v>26775</v>
      </c>
      <c r="L132" s="102"/>
    </row>
    <row r="133" spans="1:12" ht="16.2" thickBot="1" x14ac:dyDescent="0.3">
      <c r="A133" s="23"/>
      <c r="B133" s="24" t="s">
        <v>50</v>
      </c>
      <c r="C133" s="18"/>
      <c r="D133" s="25" t="s">
        <v>35</v>
      </c>
      <c r="E133" s="26">
        <f>0.2</f>
        <v>0.2</v>
      </c>
      <c r="F133" s="27">
        <f>E133*F132</f>
        <v>31.5</v>
      </c>
      <c r="G133" s="56"/>
      <c r="H133" s="27">
        <f t="shared" ref="H133:H134" si="24">$F133*G133</f>
        <v>0</v>
      </c>
      <c r="I133" s="28"/>
      <c r="J133" s="20"/>
      <c r="K133" s="29">
        <f t="shared" si="10"/>
        <v>0</v>
      </c>
      <c r="L133" s="102"/>
    </row>
    <row r="134" spans="1:12" ht="16.2" thickBot="1" x14ac:dyDescent="0.3">
      <c r="A134" s="23"/>
      <c r="B134" s="24" t="s">
        <v>59</v>
      </c>
      <c r="C134" s="18"/>
      <c r="D134" s="25" t="s">
        <v>35</v>
      </c>
      <c r="E134" s="26">
        <v>0.25</v>
      </c>
      <c r="F134" s="27">
        <f>E134*F132</f>
        <v>39.375</v>
      </c>
      <c r="G134" s="56"/>
      <c r="H134" s="27">
        <f t="shared" si="24"/>
        <v>0</v>
      </c>
      <c r="I134" s="28"/>
      <c r="J134" s="20"/>
      <c r="K134" s="29">
        <f t="shared" si="10"/>
        <v>0</v>
      </c>
      <c r="L134" s="102"/>
    </row>
    <row r="135" spans="1:12" ht="29.4" thickBot="1" x14ac:dyDescent="0.3">
      <c r="A135" s="16" t="s">
        <v>110</v>
      </c>
      <c r="B135" s="17" t="s">
        <v>61</v>
      </c>
      <c r="C135" s="18"/>
      <c r="D135" s="19" t="s">
        <v>17</v>
      </c>
      <c r="E135" s="26"/>
      <c r="F135" s="20">
        <f>F120+F123</f>
        <v>175</v>
      </c>
      <c r="G135" s="55"/>
      <c r="H135" s="20"/>
      <c r="I135" s="21">
        <v>170</v>
      </c>
      <c r="J135" s="20">
        <f>$F135*I135</f>
        <v>29750</v>
      </c>
      <c r="K135" s="29">
        <f t="shared" si="10"/>
        <v>29750</v>
      </c>
      <c r="L135" s="102"/>
    </row>
    <row r="136" spans="1:12" ht="16.2" thickBot="1" x14ac:dyDescent="0.3">
      <c r="A136" s="23"/>
      <c r="B136" s="24" t="s">
        <v>50</v>
      </c>
      <c r="C136" s="18"/>
      <c r="D136" s="25" t="s">
        <v>35</v>
      </c>
      <c r="E136" s="26">
        <f>0.2</f>
        <v>0.2</v>
      </c>
      <c r="F136" s="27">
        <f>E136*F135</f>
        <v>35</v>
      </c>
      <c r="G136" s="56"/>
      <c r="H136" s="27">
        <f t="shared" ref="H136:H137" si="25">$F136*G136</f>
        <v>0</v>
      </c>
      <c r="I136" s="28"/>
      <c r="J136" s="20"/>
      <c r="K136" s="29">
        <f t="shared" si="10"/>
        <v>0</v>
      </c>
      <c r="L136" s="102"/>
    </row>
    <row r="137" spans="1:12" ht="16.2" thickBot="1" x14ac:dyDescent="0.3">
      <c r="A137" s="23"/>
      <c r="B137" s="24" t="s">
        <v>59</v>
      </c>
      <c r="C137" s="18"/>
      <c r="D137" s="25" t="s">
        <v>35</v>
      </c>
      <c r="E137" s="26">
        <v>0.25</v>
      </c>
      <c r="F137" s="27">
        <f>E137*F135</f>
        <v>43.75</v>
      </c>
      <c r="G137" s="56"/>
      <c r="H137" s="27">
        <f t="shared" si="25"/>
        <v>0</v>
      </c>
      <c r="I137" s="28"/>
      <c r="J137" s="20"/>
      <c r="K137" s="29">
        <f t="shared" si="10"/>
        <v>0</v>
      </c>
      <c r="L137" s="102"/>
    </row>
    <row r="138" spans="1:12" ht="29.4" thickBot="1" x14ac:dyDescent="0.3">
      <c r="A138" s="16" t="s">
        <v>91</v>
      </c>
      <c r="B138" s="17" t="s">
        <v>62</v>
      </c>
      <c r="C138" s="18"/>
      <c r="D138" s="19" t="s">
        <v>17</v>
      </c>
      <c r="E138" s="26"/>
      <c r="F138" s="20">
        <f>F126</f>
        <v>13</v>
      </c>
      <c r="G138" s="55"/>
      <c r="H138" s="20"/>
      <c r="I138" s="21">
        <v>170</v>
      </c>
      <c r="J138" s="20">
        <f>$F138*I138</f>
        <v>2210</v>
      </c>
      <c r="K138" s="29">
        <f t="shared" ref="K138:K140" si="26">H138+J138</f>
        <v>2210</v>
      </c>
      <c r="L138" s="102"/>
    </row>
    <row r="139" spans="1:12" ht="16.2" thickBot="1" x14ac:dyDescent="0.3">
      <c r="A139" s="23"/>
      <c r="B139" s="24" t="s">
        <v>50</v>
      </c>
      <c r="C139" s="18"/>
      <c r="D139" s="25" t="s">
        <v>35</v>
      </c>
      <c r="E139" s="26">
        <f>0.2</f>
        <v>0.2</v>
      </c>
      <c r="F139" s="27">
        <f>E139*F138</f>
        <v>2.6</v>
      </c>
      <c r="G139" s="56"/>
      <c r="H139" s="27">
        <f t="shared" ref="H139:H140" si="27">$F139*G139</f>
        <v>0</v>
      </c>
      <c r="I139" s="28"/>
      <c r="J139" s="20"/>
      <c r="K139" s="29">
        <f t="shared" si="26"/>
        <v>0</v>
      </c>
      <c r="L139" s="102"/>
    </row>
    <row r="140" spans="1:12" ht="15.6" x14ac:dyDescent="0.25">
      <c r="A140" s="23"/>
      <c r="B140" s="24" t="s">
        <v>59</v>
      </c>
      <c r="C140" s="18"/>
      <c r="D140" s="25" t="s">
        <v>35</v>
      </c>
      <c r="E140" s="26">
        <v>0.25</v>
      </c>
      <c r="F140" s="27">
        <f>E140*F138</f>
        <v>3.25</v>
      </c>
      <c r="G140" s="56"/>
      <c r="H140" s="27">
        <f t="shared" si="27"/>
        <v>0</v>
      </c>
      <c r="I140" s="28"/>
      <c r="J140" s="20"/>
      <c r="K140" s="29">
        <f t="shared" si="26"/>
        <v>0</v>
      </c>
      <c r="L140" s="102"/>
    </row>
    <row r="141" spans="1:12" s="22" customFormat="1" ht="15.6" x14ac:dyDescent="0.25">
      <c r="A141" s="8"/>
      <c r="B141" s="9" t="s">
        <v>65</v>
      </c>
      <c r="C141" s="10"/>
      <c r="D141" s="11"/>
      <c r="E141" s="12"/>
      <c r="F141" s="13"/>
      <c r="G141" s="14"/>
      <c r="H141" s="13">
        <f>SUM(H142:H194)</f>
        <v>0</v>
      </c>
      <c r="I141" s="14"/>
      <c r="J141" s="13">
        <f>SUM(J142:J194)</f>
        <v>592280.29999999993</v>
      </c>
      <c r="K141" s="15">
        <f>H141+J141</f>
        <v>592280.29999999993</v>
      </c>
      <c r="L141" s="102"/>
    </row>
    <row r="142" spans="1:12" s="22" customFormat="1" ht="29.4" thickBot="1" x14ac:dyDescent="0.3">
      <c r="A142" s="61" t="s">
        <v>89</v>
      </c>
      <c r="B142" s="97" t="s">
        <v>66</v>
      </c>
      <c r="C142" s="88" t="s">
        <v>67</v>
      </c>
      <c r="D142" s="89" t="s">
        <v>19</v>
      </c>
      <c r="E142" s="90"/>
      <c r="F142" s="92">
        <v>280.83999999999997</v>
      </c>
      <c r="G142" s="98"/>
      <c r="H142" s="101"/>
      <c r="I142" s="91">
        <v>260</v>
      </c>
      <c r="J142" s="101">
        <f>F142*I142</f>
        <v>73018.399999999994</v>
      </c>
      <c r="K142" s="29">
        <f>H142+J142</f>
        <v>73018.399999999994</v>
      </c>
      <c r="L142" s="124">
        <f>F142+F149+F156+F163</f>
        <v>753.38</v>
      </c>
    </row>
    <row r="143" spans="1:12" s="22" customFormat="1" ht="16.2" thickBot="1" x14ac:dyDescent="0.3">
      <c r="A143" s="62"/>
      <c r="B143" s="96" t="s">
        <v>68</v>
      </c>
      <c r="C143" s="88"/>
      <c r="D143" s="93" t="s">
        <v>19</v>
      </c>
      <c r="E143" s="94">
        <v>1.1000000000000001</v>
      </c>
      <c r="F143" s="95">
        <f>CEILING(E143*F142,0.1)</f>
        <v>309</v>
      </c>
      <c r="G143" s="56"/>
      <c r="H143" s="27">
        <f t="shared" ref="H143:H148" si="28">$F143*G143</f>
        <v>0</v>
      </c>
      <c r="I143" s="99"/>
      <c r="J143" s="100"/>
      <c r="K143" s="29">
        <f>H143+J143</f>
        <v>0</v>
      </c>
      <c r="L143" s="102"/>
    </row>
    <row r="144" spans="1:12" s="22" customFormat="1" ht="16.2" thickBot="1" x14ac:dyDescent="0.3">
      <c r="A144" s="62"/>
      <c r="B144" s="96" t="s">
        <v>32</v>
      </c>
      <c r="C144" s="88"/>
      <c r="D144" s="93" t="s">
        <v>21</v>
      </c>
      <c r="E144" s="94">
        <v>6</v>
      </c>
      <c r="F144" s="83">
        <f>ROUND(E144*F142,0)</f>
        <v>1685</v>
      </c>
      <c r="G144" s="56"/>
      <c r="H144" s="27">
        <f t="shared" si="28"/>
        <v>0</v>
      </c>
      <c r="I144" s="99"/>
      <c r="J144" s="100"/>
      <c r="K144" s="29">
        <f t="shared" ref="K144:K148" si="29">H144+J144</f>
        <v>0</v>
      </c>
      <c r="L144" s="102"/>
    </row>
    <row r="145" spans="1:12" s="22" customFormat="1" ht="16.2" thickBot="1" x14ac:dyDescent="0.3">
      <c r="A145" s="62"/>
      <c r="B145" s="96" t="s">
        <v>69</v>
      </c>
      <c r="C145" s="88"/>
      <c r="D145" s="93" t="s">
        <v>21</v>
      </c>
      <c r="E145" s="94">
        <v>4</v>
      </c>
      <c r="F145" s="83">
        <f>ROUND(E145*F142,0)</f>
        <v>1123</v>
      </c>
      <c r="G145" s="56"/>
      <c r="H145" s="27">
        <f t="shared" si="28"/>
        <v>0</v>
      </c>
      <c r="I145" s="99"/>
      <c r="J145" s="100"/>
      <c r="K145" s="29">
        <f t="shared" si="29"/>
        <v>0</v>
      </c>
      <c r="L145" s="102"/>
    </row>
    <row r="146" spans="1:12" s="22" customFormat="1" ht="16.2" thickBot="1" x14ac:dyDescent="0.3">
      <c r="A146" s="62"/>
      <c r="B146" s="96" t="s">
        <v>22</v>
      </c>
      <c r="C146" s="88"/>
      <c r="D146" s="93" t="s">
        <v>21</v>
      </c>
      <c r="E146" s="94">
        <v>6</v>
      </c>
      <c r="F146" s="83">
        <f>ROUND(E146*F142,0)</f>
        <v>1685</v>
      </c>
      <c r="G146" s="56"/>
      <c r="H146" s="27">
        <f t="shared" si="28"/>
        <v>0</v>
      </c>
      <c r="I146" s="99"/>
      <c r="J146" s="100"/>
      <c r="K146" s="29">
        <f t="shared" si="29"/>
        <v>0</v>
      </c>
      <c r="L146" s="102"/>
    </row>
    <row r="147" spans="1:12" s="22" customFormat="1" ht="16.2" thickBot="1" x14ac:dyDescent="0.3">
      <c r="A147" s="62"/>
      <c r="B147" s="96" t="s">
        <v>30</v>
      </c>
      <c r="C147" s="88"/>
      <c r="D147" s="93" t="s">
        <v>17</v>
      </c>
      <c r="E147" s="94">
        <f>0.2*1.05</f>
        <v>0.21000000000000002</v>
      </c>
      <c r="F147" s="95">
        <f>E147*F142</f>
        <v>58.976399999999998</v>
      </c>
      <c r="G147" s="56"/>
      <c r="H147" s="27">
        <f t="shared" si="28"/>
        <v>0</v>
      </c>
      <c r="I147" s="99"/>
      <c r="J147" s="100"/>
      <c r="K147" s="29">
        <f t="shared" si="29"/>
        <v>0</v>
      </c>
      <c r="L147" s="102"/>
    </row>
    <row r="148" spans="1:12" s="22" customFormat="1" ht="16.2" thickBot="1" x14ac:dyDescent="0.3">
      <c r="A148" s="62"/>
      <c r="B148" s="96" t="s">
        <v>70</v>
      </c>
      <c r="C148" s="88"/>
      <c r="D148" s="93" t="s">
        <v>19</v>
      </c>
      <c r="E148" s="94">
        <v>1.1000000000000001</v>
      </c>
      <c r="F148" s="95">
        <f>CEILING(E148*F142,0.1)</f>
        <v>309</v>
      </c>
      <c r="G148" s="56"/>
      <c r="H148" s="27">
        <f t="shared" si="28"/>
        <v>0</v>
      </c>
      <c r="I148" s="99"/>
      <c r="J148" s="100"/>
      <c r="K148" s="29">
        <f t="shared" si="29"/>
        <v>0</v>
      </c>
      <c r="L148" s="102"/>
    </row>
    <row r="149" spans="1:12" s="22" customFormat="1" ht="29.4" thickBot="1" x14ac:dyDescent="0.3">
      <c r="A149" s="61" t="s">
        <v>14</v>
      </c>
      <c r="B149" s="97" t="s">
        <v>71</v>
      </c>
      <c r="C149" s="88" t="s">
        <v>67</v>
      </c>
      <c r="D149" s="89" t="s">
        <v>19</v>
      </c>
      <c r="E149" s="90"/>
      <c r="F149" s="92">
        <v>280.83999999999997</v>
      </c>
      <c r="G149" s="98"/>
      <c r="H149" s="101"/>
      <c r="I149" s="91">
        <v>260</v>
      </c>
      <c r="J149" s="101">
        <f>F149*I149</f>
        <v>73018.399999999994</v>
      </c>
      <c r="K149" s="29">
        <f>H149+J149</f>
        <v>73018.399999999994</v>
      </c>
      <c r="L149" s="102"/>
    </row>
    <row r="150" spans="1:12" s="22" customFormat="1" ht="16.2" thickBot="1" x14ac:dyDescent="0.3">
      <c r="A150" s="62"/>
      <c r="B150" s="96" t="s">
        <v>68</v>
      </c>
      <c r="C150" s="88"/>
      <c r="D150" s="93" t="s">
        <v>19</v>
      </c>
      <c r="E150" s="94">
        <v>1.1000000000000001</v>
      </c>
      <c r="F150" s="95">
        <f>CEILING(E150*F149,0.1)</f>
        <v>309</v>
      </c>
      <c r="G150" s="56"/>
      <c r="H150" s="27">
        <f t="shared" ref="H150:H155" si="30">$F150*G150</f>
        <v>0</v>
      </c>
      <c r="I150" s="99"/>
      <c r="J150" s="100"/>
      <c r="K150" s="29">
        <f>H150+J150</f>
        <v>0</v>
      </c>
      <c r="L150" s="102"/>
    </row>
    <row r="151" spans="1:12" s="22" customFormat="1" ht="16.2" thickBot="1" x14ac:dyDescent="0.3">
      <c r="A151" s="62"/>
      <c r="B151" s="96" t="s">
        <v>32</v>
      </c>
      <c r="C151" s="88"/>
      <c r="D151" s="93" t="s">
        <v>21</v>
      </c>
      <c r="E151" s="94">
        <v>6</v>
      </c>
      <c r="F151" s="83">
        <f>ROUND(E151*F149,0)</f>
        <v>1685</v>
      </c>
      <c r="G151" s="56"/>
      <c r="H151" s="27">
        <f t="shared" si="30"/>
        <v>0</v>
      </c>
      <c r="I151" s="99"/>
      <c r="J151" s="100"/>
      <c r="K151" s="29">
        <f t="shared" ref="K151:K155" si="31">H151+J151</f>
        <v>0</v>
      </c>
      <c r="L151" s="102"/>
    </row>
    <row r="152" spans="1:12" s="22" customFormat="1" ht="16.2" thickBot="1" x14ac:dyDescent="0.3">
      <c r="A152" s="62"/>
      <c r="B152" s="96" t="s">
        <v>69</v>
      </c>
      <c r="C152" s="88"/>
      <c r="D152" s="93" t="s">
        <v>21</v>
      </c>
      <c r="E152" s="94">
        <v>4</v>
      </c>
      <c r="F152" s="83">
        <f>ROUND(E152*F149,0)</f>
        <v>1123</v>
      </c>
      <c r="G152" s="56"/>
      <c r="H152" s="27">
        <f t="shared" si="30"/>
        <v>0</v>
      </c>
      <c r="I152" s="99"/>
      <c r="J152" s="100"/>
      <c r="K152" s="29">
        <f t="shared" si="31"/>
        <v>0</v>
      </c>
      <c r="L152" s="102"/>
    </row>
    <row r="153" spans="1:12" s="22" customFormat="1" ht="16.2" thickBot="1" x14ac:dyDescent="0.3">
      <c r="A153" s="62"/>
      <c r="B153" s="96" t="s">
        <v>22</v>
      </c>
      <c r="C153" s="88"/>
      <c r="D153" s="93" t="s">
        <v>21</v>
      </c>
      <c r="E153" s="94">
        <v>6</v>
      </c>
      <c r="F153" s="83">
        <f>ROUND(E153*F149,0)</f>
        <v>1685</v>
      </c>
      <c r="G153" s="56"/>
      <c r="H153" s="27">
        <f t="shared" si="30"/>
        <v>0</v>
      </c>
      <c r="I153" s="99"/>
      <c r="J153" s="100"/>
      <c r="K153" s="29">
        <f t="shared" si="31"/>
        <v>0</v>
      </c>
      <c r="L153" s="102"/>
    </row>
    <row r="154" spans="1:12" s="22" customFormat="1" ht="16.2" thickBot="1" x14ac:dyDescent="0.3">
      <c r="A154" s="62"/>
      <c r="B154" s="96" t="s">
        <v>30</v>
      </c>
      <c r="C154" s="88"/>
      <c r="D154" s="93" t="s">
        <v>17</v>
      </c>
      <c r="E154" s="94">
        <f>0.11</f>
        <v>0.11</v>
      </c>
      <c r="F154" s="95">
        <f>E154*F149</f>
        <v>30.892399999999999</v>
      </c>
      <c r="G154" s="56"/>
      <c r="H154" s="27">
        <f t="shared" si="30"/>
        <v>0</v>
      </c>
      <c r="I154" s="99"/>
      <c r="J154" s="100"/>
      <c r="K154" s="29">
        <f t="shared" si="31"/>
        <v>0</v>
      </c>
      <c r="L154" s="102"/>
    </row>
    <row r="155" spans="1:12" s="22" customFormat="1" ht="16.2" thickBot="1" x14ac:dyDescent="0.3">
      <c r="A155" s="62"/>
      <c r="B155" s="96" t="s">
        <v>70</v>
      </c>
      <c r="C155" s="88"/>
      <c r="D155" s="93" t="s">
        <v>19</v>
      </c>
      <c r="E155" s="94">
        <v>1.1000000000000001</v>
      </c>
      <c r="F155" s="95">
        <f>CEILING(E155*F149,0.1)</f>
        <v>309</v>
      </c>
      <c r="G155" s="56"/>
      <c r="H155" s="27">
        <f t="shared" si="30"/>
        <v>0</v>
      </c>
      <c r="I155" s="99"/>
      <c r="J155" s="100"/>
      <c r="K155" s="29">
        <f t="shared" si="31"/>
        <v>0</v>
      </c>
      <c r="L155" s="102"/>
    </row>
    <row r="156" spans="1:12" s="22" customFormat="1" ht="29.4" thickBot="1" x14ac:dyDescent="0.3">
      <c r="A156" s="61" t="s">
        <v>63</v>
      </c>
      <c r="B156" s="97" t="s">
        <v>72</v>
      </c>
      <c r="C156" s="88" t="s">
        <v>67</v>
      </c>
      <c r="D156" s="89" t="s">
        <v>19</v>
      </c>
      <c r="E156" s="90"/>
      <c r="F156" s="92">
        <v>95.85</v>
      </c>
      <c r="G156" s="98"/>
      <c r="H156" s="101"/>
      <c r="I156" s="91">
        <v>320</v>
      </c>
      <c r="J156" s="101">
        <f>F156*I156</f>
        <v>30672</v>
      </c>
      <c r="K156" s="29">
        <f>H156+J156</f>
        <v>30672</v>
      </c>
      <c r="L156" s="102"/>
    </row>
    <row r="157" spans="1:12" s="22" customFormat="1" ht="16.2" thickBot="1" x14ac:dyDescent="0.3">
      <c r="A157" s="62"/>
      <c r="B157" s="96" t="s">
        <v>68</v>
      </c>
      <c r="C157" s="88"/>
      <c r="D157" s="93" t="s">
        <v>19</v>
      </c>
      <c r="E157" s="94">
        <v>1.1000000000000001</v>
      </c>
      <c r="F157" s="95">
        <f>CEILING(E157*F156,0.1)</f>
        <v>105.5</v>
      </c>
      <c r="G157" s="56"/>
      <c r="H157" s="27">
        <f t="shared" ref="H157:H162" si="32">$F157*G157</f>
        <v>0</v>
      </c>
      <c r="I157" s="99"/>
      <c r="J157" s="100"/>
      <c r="K157" s="29">
        <f>H157+J157</f>
        <v>0</v>
      </c>
      <c r="L157" s="102"/>
    </row>
    <row r="158" spans="1:12" s="22" customFormat="1" ht="16.2" thickBot="1" x14ac:dyDescent="0.3">
      <c r="A158" s="62"/>
      <c r="B158" s="96" t="s">
        <v>32</v>
      </c>
      <c r="C158" s="88"/>
      <c r="D158" s="93" t="s">
        <v>21</v>
      </c>
      <c r="E158" s="94">
        <v>6</v>
      </c>
      <c r="F158" s="83">
        <f>ROUND(E158*F156,0)</f>
        <v>575</v>
      </c>
      <c r="G158" s="56"/>
      <c r="H158" s="27">
        <f t="shared" si="32"/>
        <v>0</v>
      </c>
      <c r="I158" s="99"/>
      <c r="J158" s="100"/>
      <c r="K158" s="29">
        <f t="shared" ref="K158:K162" si="33">H158+J158</f>
        <v>0</v>
      </c>
      <c r="L158" s="102"/>
    </row>
    <row r="159" spans="1:12" s="22" customFormat="1" ht="16.2" thickBot="1" x14ac:dyDescent="0.3">
      <c r="A159" s="62"/>
      <c r="B159" s="96" t="s">
        <v>69</v>
      </c>
      <c r="C159" s="88"/>
      <c r="D159" s="93" t="s">
        <v>21</v>
      </c>
      <c r="E159" s="94">
        <v>4</v>
      </c>
      <c r="F159" s="83">
        <f>ROUND(E159*F156,0)</f>
        <v>383</v>
      </c>
      <c r="G159" s="56"/>
      <c r="H159" s="27">
        <f t="shared" si="32"/>
        <v>0</v>
      </c>
      <c r="I159" s="99"/>
      <c r="J159" s="100"/>
      <c r="K159" s="29">
        <f t="shared" si="33"/>
        <v>0</v>
      </c>
      <c r="L159" s="102"/>
    </row>
    <row r="160" spans="1:12" s="22" customFormat="1" ht="16.2" thickBot="1" x14ac:dyDescent="0.3">
      <c r="A160" s="62"/>
      <c r="B160" s="96" t="s">
        <v>22</v>
      </c>
      <c r="C160" s="88"/>
      <c r="D160" s="93" t="s">
        <v>21</v>
      </c>
      <c r="E160" s="94">
        <v>6</v>
      </c>
      <c r="F160" s="83">
        <f>ROUND(E160*F156,0)</f>
        <v>575</v>
      </c>
      <c r="G160" s="56"/>
      <c r="H160" s="27">
        <f t="shared" si="32"/>
        <v>0</v>
      </c>
      <c r="I160" s="99"/>
      <c r="J160" s="100"/>
      <c r="K160" s="29">
        <f t="shared" si="33"/>
        <v>0</v>
      </c>
      <c r="L160" s="102"/>
    </row>
    <row r="161" spans="1:12" s="22" customFormat="1" ht="16.2" thickBot="1" x14ac:dyDescent="0.3">
      <c r="A161" s="62"/>
      <c r="B161" s="96" t="s">
        <v>30</v>
      </c>
      <c r="C161" s="88"/>
      <c r="D161" s="93" t="s">
        <v>17</v>
      </c>
      <c r="E161" s="94">
        <f>0.2*1.05</f>
        <v>0.21000000000000002</v>
      </c>
      <c r="F161" s="95">
        <f>E161*F156</f>
        <v>20.128499999999999</v>
      </c>
      <c r="G161" s="56"/>
      <c r="H161" s="27">
        <f t="shared" si="32"/>
        <v>0</v>
      </c>
      <c r="I161" s="99"/>
      <c r="J161" s="100"/>
      <c r="K161" s="29">
        <f t="shared" si="33"/>
        <v>0</v>
      </c>
      <c r="L161" s="102"/>
    </row>
    <row r="162" spans="1:12" s="22" customFormat="1" ht="16.2" thickBot="1" x14ac:dyDescent="0.3">
      <c r="A162" s="62"/>
      <c r="B162" s="96" t="s">
        <v>70</v>
      </c>
      <c r="C162" s="88"/>
      <c r="D162" s="93" t="s">
        <v>19</v>
      </c>
      <c r="E162" s="94">
        <v>1.1000000000000001</v>
      </c>
      <c r="F162" s="95">
        <f>CEILING(E162*F156,0.1)</f>
        <v>105.5</v>
      </c>
      <c r="G162" s="56"/>
      <c r="H162" s="27">
        <f t="shared" si="32"/>
        <v>0</v>
      </c>
      <c r="I162" s="99"/>
      <c r="J162" s="100"/>
      <c r="K162" s="29">
        <f t="shared" si="33"/>
        <v>0</v>
      </c>
      <c r="L162" s="102"/>
    </row>
    <row r="163" spans="1:12" s="22" customFormat="1" ht="29.4" thickBot="1" x14ac:dyDescent="0.3">
      <c r="A163" s="61" t="s">
        <v>64</v>
      </c>
      <c r="B163" s="97" t="s">
        <v>73</v>
      </c>
      <c r="C163" s="88" t="s">
        <v>67</v>
      </c>
      <c r="D163" s="89" t="s">
        <v>19</v>
      </c>
      <c r="E163" s="90"/>
      <c r="F163" s="92">
        <v>95.85</v>
      </c>
      <c r="G163" s="98"/>
      <c r="H163" s="101"/>
      <c r="I163" s="91">
        <v>320</v>
      </c>
      <c r="J163" s="101">
        <f>F163*I163</f>
        <v>30672</v>
      </c>
      <c r="K163" s="29">
        <f>H163+J163</f>
        <v>30672</v>
      </c>
      <c r="L163" s="102"/>
    </row>
    <row r="164" spans="1:12" s="22" customFormat="1" ht="16.2" thickBot="1" x14ac:dyDescent="0.3">
      <c r="A164" s="62"/>
      <c r="B164" s="96" t="s">
        <v>68</v>
      </c>
      <c r="C164" s="88"/>
      <c r="D164" s="93" t="s">
        <v>19</v>
      </c>
      <c r="E164" s="94">
        <v>1.1000000000000001</v>
      </c>
      <c r="F164" s="95">
        <f>CEILING(E164*F163,0.1)</f>
        <v>105.5</v>
      </c>
      <c r="G164" s="56"/>
      <c r="H164" s="27">
        <f t="shared" ref="H164:H169" si="34">$F164*G164</f>
        <v>0</v>
      </c>
      <c r="I164" s="99"/>
      <c r="J164" s="100"/>
      <c r="K164" s="29">
        <f>H164+J164</f>
        <v>0</v>
      </c>
      <c r="L164" s="102"/>
    </row>
    <row r="165" spans="1:12" s="22" customFormat="1" ht="16.2" thickBot="1" x14ac:dyDescent="0.3">
      <c r="A165" s="62"/>
      <c r="B165" s="96" t="s">
        <v>32</v>
      </c>
      <c r="C165" s="88"/>
      <c r="D165" s="93" t="s">
        <v>21</v>
      </c>
      <c r="E165" s="94">
        <v>6</v>
      </c>
      <c r="F165" s="83">
        <f>ROUND(E165*F163,0)</f>
        <v>575</v>
      </c>
      <c r="G165" s="56"/>
      <c r="H165" s="27">
        <f t="shared" si="34"/>
        <v>0</v>
      </c>
      <c r="I165" s="99"/>
      <c r="J165" s="100"/>
      <c r="K165" s="29">
        <f t="shared" ref="K165:K169" si="35">H165+J165</f>
        <v>0</v>
      </c>
      <c r="L165" s="102"/>
    </row>
    <row r="166" spans="1:12" s="22" customFormat="1" ht="16.2" thickBot="1" x14ac:dyDescent="0.3">
      <c r="A166" s="62"/>
      <c r="B166" s="96" t="s">
        <v>69</v>
      </c>
      <c r="C166" s="88"/>
      <c r="D166" s="93" t="s">
        <v>21</v>
      </c>
      <c r="E166" s="94">
        <v>4</v>
      </c>
      <c r="F166" s="83">
        <f>ROUND(E166*F163,0)</f>
        <v>383</v>
      </c>
      <c r="G166" s="56"/>
      <c r="H166" s="27">
        <f t="shared" si="34"/>
        <v>0</v>
      </c>
      <c r="I166" s="99"/>
      <c r="J166" s="100"/>
      <c r="K166" s="29">
        <f t="shared" si="35"/>
        <v>0</v>
      </c>
      <c r="L166" s="102"/>
    </row>
    <row r="167" spans="1:12" s="22" customFormat="1" ht="16.2" thickBot="1" x14ac:dyDescent="0.3">
      <c r="A167" s="62"/>
      <c r="B167" s="96" t="s">
        <v>22</v>
      </c>
      <c r="C167" s="88"/>
      <c r="D167" s="93" t="s">
        <v>21</v>
      </c>
      <c r="E167" s="94">
        <v>6</v>
      </c>
      <c r="F167" s="83">
        <f>ROUND(E167*F163,0)</f>
        <v>575</v>
      </c>
      <c r="G167" s="56"/>
      <c r="H167" s="27">
        <f t="shared" si="34"/>
        <v>0</v>
      </c>
      <c r="I167" s="99"/>
      <c r="J167" s="100"/>
      <c r="K167" s="29">
        <f t="shared" si="35"/>
        <v>0</v>
      </c>
      <c r="L167" s="102"/>
    </row>
    <row r="168" spans="1:12" s="22" customFormat="1" ht="16.2" thickBot="1" x14ac:dyDescent="0.3">
      <c r="A168" s="62"/>
      <c r="B168" s="96" t="s">
        <v>30</v>
      </c>
      <c r="C168" s="88"/>
      <c r="D168" s="93" t="s">
        <v>17</v>
      </c>
      <c r="E168" s="94">
        <f>0.11</f>
        <v>0.11</v>
      </c>
      <c r="F168" s="95">
        <f>E168*F163</f>
        <v>10.5435</v>
      </c>
      <c r="G168" s="56"/>
      <c r="H168" s="27">
        <f t="shared" si="34"/>
        <v>0</v>
      </c>
      <c r="I168" s="99"/>
      <c r="J168" s="100"/>
      <c r="K168" s="29">
        <f t="shared" si="35"/>
        <v>0</v>
      </c>
      <c r="L168" s="102"/>
    </row>
    <row r="169" spans="1:12" s="22" customFormat="1" ht="15.6" x14ac:dyDescent="0.25">
      <c r="A169" s="62"/>
      <c r="B169" s="96" t="s">
        <v>70</v>
      </c>
      <c r="C169" s="88"/>
      <c r="D169" s="93" t="s">
        <v>19</v>
      </c>
      <c r="E169" s="94">
        <v>1.1000000000000001</v>
      </c>
      <c r="F169" s="95">
        <f>CEILING(E169*F163,0.1)</f>
        <v>105.5</v>
      </c>
      <c r="G169" s="56"/>
      <c r="H169" s="27">
        <f t="shared" si="34"/>
        <v>0</v>
      </c>
      <c r="I169" s="99"/>
      <c r="J169" s="100"/>
      <c r="K169" s="29">
        <f t="shared" si="35"/>
        <v>0</v>
      </c>
      <c r="L169" s="102"/>
    </row>
    <row r="170" spans="1:12" s="22" customFormat="1" ht="28.8" x14ac:dyDescent="0.25">
      <c r="A170" s="61" t="s">
        <v>90</v>
      </c>
      <c r="B170" s="17" t="s">
        <v>75</v>
      </c>
      <c r="C170" s="18" t="s">
        <v>76</v>
      </c>
      <c r="D170" s="19" t="s">
        <v>74</v>
      </c>
      <c r="E170" s="63"/>
      <c r="F170" s="20">
        <v>280.83999999999997</v>
      </c>
      <c r="G170" s="21"/>
      <c r="H170" s="20"/>
      <c r="I170" s="68">
        <v>250</v>
      </c>
      <c r="J170" s="20">
        <f>$F170*I170</f>
        <v>70210</v>
      </c>
      <c r="K170" s="29">
        <f t="shared" ref="K170:K173" si="36">H170+J170</f>
        <v>70210</v>
      </c>
      <c r="L170" s="102"/>
    </row>
    <row r="171" spans="1:12" s="22" customFormat="1" ht="16.2" thickBot="1" x14ac:dyDescent="0.3">
      <c r="A171" s="62"/>
      <c r="B171" s="24" t="s">
        <v>50</v>
      </c>
      <c r="C171" s="65"/>
      <c r="D171" s="25" t="s">
        <v>35</v>
      </c>
      <c r="E171" s="26">
        <f>0.2*0.2</f>
        <v>4.0000000000000008E-2</v>
      </c>
      <c r="F171" s="27">
        <f>F170*E171</f>
        <v>11.233600000000001</v>
      </c>
      <c r="G171" s="56"/>
      <c r="H171" s="27">
        <f t="shared" ref="H171:H173" si="37">$F171*G171</f>
        <v>0</v>
      </c>
      <c r="I171" s="64"/>
      <c r="J171" s="20"/>
      <c r="K171" s="29">
        <f>H171+J171</f>
        <v>0</v>
      </c>
      <c r="L171" s="102"/>
    </row>
    <row r="172" spans="1:12" s="22" customFormat="1" ht="16.2" thickBot="1" x14ac:dyDescent="0.3">
      <c r="A172" s="62"/>
      <c r="B172" s="24" t="s">
        <v>33</v>
      </c>
      <c r="C172" s="18"/>
      <c r="D172" s="25" t="s">
        <v>19</v>
      </c>
      <c r="E172" s="26">
        <f>2.2/2*0.2</f>
        <v>0.22000000000000003</v>
      </c>
      <c r="F172" s="27">
        <f>E172*F170</f>
        <v>61.784800000000004</v>
      </c>
      <c r="G172" s="56"/>
      <c r="H172" s="27">
        <f t="shared" si="37"/>
        <v>0</v>
      </c>
      <c r="I172" s="28"/>
      <c r="J172" s="20"/>
      <c r="K172" s="29">
        <f t="shared" ref="K172" si="38">H172+J172</f>
        <v>0</v>
      </c>
      <c r="L172" s="102"/>
    </row>
    <row r="173" spans="1:12" s="22" customFormat="1" ht="16.2" thickBot="1" x14ac:dyDescent="0.3">
      <c r="A173" s="62"/>
      <c r="B173" s="24" t="s">
        <v>51</v>
      </c>
      <c r="C173" s="65"/>
      <c r="D173" s="25" t="s">
        <v>28</v>
      </c>
      <c r="E173" s="26">
        <f>1*2*0.2+0.3*0.2</f>
        <v>0.46</v>
      </c>
      <c r="F173" s="27">
        <f>F170*E173</f>
        <v>129.18639999999999</v>
      </c>
      <c r="G173" s="56"/>
      <c r="H173" s="27">
        <f t="shared" si="37"/>
        <v>0</v>
      </c>
      <c r="I173" s="64"/>
      <c r="J173" s="20"/>
      <c r="K173" s="29">
        <f t="shared" si="36"/>
        <v>0</v>
      </c>
      <c r="L173" s="102"/>
    </row>
    <row r="174" spans="1:12" s="22" customFormat="1" ht="29.4" thickBot="1" x14ac:dyDescent="0.3">
      <c r="A174" s="61" t="s">
        <v>94</v>
      </c>
      <c r="B174" s="17" t="s">
        <v>77</v>
      </c>
      <c r="C174" s="18" t="s">
        <v>76</v>
      </c>
      <c r="D174" s="19" t="s">
        <v>74</v>
      </c>
      <c r="E174" s="63"/>
      <c r="F174" s="20">
        <v>280.83999999999997</v>
      </c>
      <c r="G174" s="21"/>
      <c r="H174" s="20"/>
      <c r="I174" s="68">
        <v>250</v>
      </c>
      <c r="J174" s="20">
        <f>$F174*I174</f>
        <v>70210</v>
      </c>
      <c r="K174" s="29">
        <f t="shared" ref="K174" si="39">H174+J174</f>
        <v>70210</v>
      </c>
      <c r="L174" s="102"/>
    </row>
    <row r="175" spans="1:12" s="22" customFormat="1" ht="16.2" thickBot="1" x14ac:dyDescent="0.3">
      <c r="A175" s="62"/>
      <c r="B175" s="24" t="s">
        <v>50</v>
      </c>
      <c r="C175" s="65"/>
      <c r="D175" s="25" t="s">
        <v>35</v>
      </c>
      <c r="E175" s="26">
        <f>0.2*0.1</f>
        <v>2.0000000000000004E-2</v>
      </c>
      <c r="F175" s="27">
        <f>F174*E175</f>
        <v>5.6168000000000005</v>
      </c>
      <c r="G175" s="56"/>
      <c r="H175" s="27">
        <f>$F175*G175</f>
        <v>0</v>
      </c>
      <c r="I175" s="64"/>
      <c r="J175" s="20"/>
      <c r="K175" s="29">
        <f>H175+J175</f>
        <v>0</v>
      </c>
      <c r="L175" s="102"/>
    </row>
    <row r="176" spans="1:12" s="22" customFormat="1" ht="16.2" thickBot="1" x14ac:dyDescent="0.3">
      <c r="A176" s="62"/>
      <c r="B176" s="24" t="s">
        <v>33</v>
      </c>
      <c r="C176" s="18"/>
      <c r="D176" s="25" t="s">
        <v>19</v>
      </c>
      <c r="E176" s="26">
        <f>2.2/2*0.1</f>
        <v>0.11000000000000001</v>
      </c>
      <c r="F176" s="27">
        <f>E176*F174</f>
        <v>30.892400000000002</v>
      </c>
      <c r="G176" s="56"/>
      <c r="H176" s="27">
        <f t="shared" ref="H176" si="40">$F176*G176</f>
        <v>0</v>
      </c>
      <c r="I176" s="28"/>
      <c r="J176" s="20"/>
      <c r="K176" s="29">
        <f t="shared" ref="K176:K179" si="41">H176+J176</f>
        <v>0</v>
      </c>
      <c r="L176" s="102"/>
    </row>
    <row r="177" spans="1:13" s="22" customFormat="1" ht="16.2" thickBot="1" x14ac:dyDescent="0.3">
      <c r="A177" s="62"/>
      <c r="B177" s="24" t="s">
        <v>51</v>
      </c>
      <c r="C177" s="65"/>
      <c r="D177" s="25" t="s">
        <v>28</v>
      </c>
      <c r="E177" s="26">
        <f>1*2*0.1+0.3*0.1</f>
        <v>0.23</v>
      </c>
      <c r="F177" s="27">
        <f>F174*E177</f>
        <v>64.593199999999996</v>
      </c>
      <c r="G177" s="56"/>
      <c r="H177" s="27">
        <f>$F177*G177</f>
        <v>0</v>
      </c>
      <c r="I177" s="64"/>
      <c r="J177" s="20"/>
      <c r="K177" s="29">
        <f t="shared" si="41"/>
        <v>0</v>
      </c>
      <c r="L177" s="102"/>
    </row>
    <row r="178" spans="1:13" s="22" customFormat="1" ht="29.4" thickBot="1" x14ac:dyDescent="0.3">
      <c r="A178" s="86" t="s">
        <v>93</v>
      </c>
      <c r="B178" s="69" t="s">
        <v>78</v>
      </c>
      <c r="C178" s="70" t="s">
        <v>76</v>
      </c>
      <c r="D178" s="71" t="s">
        <v>19</v>
      </c>
      <c r="E178" s="72"/>
      <c r="F178" s="74">
        <f>F170+F174</f>
        <v>561.67999999999995</v>
      </c>
      <c r="G178" s="73"/>
      <c r="H178" s="74"/>
      <c r="I178" s="75">
        <v>80</v>
      </c>
      <c r="J178" s="74">
        <f>$F178*I178</f>
        <v>44934.399999999994</v>
      </c>
      <c r="K178" s="76">
        <f t="shared" si="41"/>
        <v>44934.399999999994</v>
      </c>
      <c r="L178" s="102"/>
    </row>
    <row r="179" spans="1:13" s="22" customFormat="1" x14ac:dyDescent="0.25">
      <c r="A179" s="87"/>
      <c r="B179" s="77" t="s">
        <v>79</v>
      </c>
      <c r="C179" s="78" t="s">
        <v>80</v>
      </c>
      <c r="D179" s="79" t="s">
        <v>19</v>
      </c>
      <c r="E179" s="80">
        <v>1.05</v>
      </c>
      <c r="F179" s="81">
        <f>F178*E179</f>
        <v>589.76400000000001</v>
      </c>
      <c r="G179" s="82"/>
      <c r="H179" s="83">
        <f>$F179*G179</f>
        <v>0</v>
      </c>
      <c r="I179" s="84"/>
      <c r="J179" s="85"/>
      <c r="K179" s="76">
        <f t="shared" si="41"/>
        <v>0</v>
      </c>
      <c r="L179" s="102"/>
    </row>
    <row r="180" spans="1:13" s="22" customFormat="1" ht="15.6" x14ac:dyDescent="0.25">
      <c r="A180" s="87"/>
      <c r="B180" s="24" t="s">
        <v>51</v>
      </c>
      <c r="C180" s="18"/>
      <c r="D180" s="25" t="s">
        <v>28</v>
      </c>
      <c r="E180" s="26">
        <v>0.2</v>
      </c>
      <c r="F180" s="27">
        <f>E180*F179</f>
        <v>117.95280000000001</v>
      </c>
      <c r="G180" s="56"/>
      <c r="H180" s="27">
        <f t="shared" ref="H180" si="42">$F180*G180</f>
        <v>0</v>
      </c>
      <c r="I180" s="28"/>
      <c r="J180" s="20"/>
      <c r="K180" s="29">
        <f t="shared" ref="K180:K181" si="43">H180+J180</f>
        <v>0</v>
      </c>
      <c r="L180" s="102"/>
    </row>
    <row r="181" spans="1:13" s="22" customFormat="1" ht="28.8" x14ac:dyDescent="0.25">
      <c r="A181" s="61" t="s">
        <v>95</v>
      </c>
      <c r="B181" s="17" t="s">
        <v>81</v>
      </c>
      <c r="C181" s="18" t="s">
        <v>76</v>
      </c>
      <c r="D181" s="19" t="s">
        <v>74</v>
      </c>
      <c r="E181" s="63"/>
      <c r="F181" s="20">
        <v>95.85</v>
      </c>
      <c r="G181" s="21"/>
      <c r="H181" s="20"/>
      <c r="I181" s="68">
        <v>320</v>
      </c>
      <c r="J181" s="20">
        <f>$F181*I181</f>
        <v>30672</v>
      </c>
      <c r="K181" s="29">
        <f t="shared" si="43"/>
        <v>30672</v>
      </c>
      <c r="L181" s="102"/>
    </row>
    <row r="182" spans="1:13" s="22" customFormat="1" ht="15.6" x14ac:dyDescent="0.25">
      <c r="A182" s="62"/>
      <c r="B182" s="24" t="s">
        <v>50</v>
      </c>
      <c r="C182" s="65"/>
      <c r="D182" s="25" t="s">
        <v>35</v>
      </c>
      <c r="E182" s="26">
        <f>0.2*0.2</f>
        <v>4.0000000000000008E-2</v>
      </c>
      <c r="F182" s="27">
        <f>F181*E182</f>
        <v>3.8340000000000005</v>
      </c>
      <c r="G182" s="28"/>
      <c r="H182" s="27">
        <f t="shared" ref="H182:H183" si="44">$F182*G182</f>
        <v>0</v>
      </c>
      <c r="I182" s="64"/>
      <c r="J182" s="20"/>
      <c r="K182" s="29">
        <f>H182+J182</f>
        <v>0</v>
      </c>
      <c r="L182" s="102"/>
    </row>
    <row r="183" spans="1:13" s="22" customFormat="1" ht="15.6" x14ac:dyDescent="0.25">
      <c r="A183" s="62"/>
      <c r="B183" s="24" t="s">
        <v>33</v>
      </c>
      <c r="C183" s="18"/>
      <c r="D183" s="25" t="s">
        <v>19</v>
      </c>
      <c r="E183" s="26">
        <f>2.2/2*0.2</f>
        <v>0.22000000000000003</v>
      </c>
      <c r="F183" s="27">
        <f>E183*F181</f>
        <v>21.087</v>
      </c>
      <c r="G183" s="56"/>
      <c r="H183" s="27">
        <f t="shared" si="44"/>
        <v>0</v>
      </c>
      <c r="I183" s="28"/>
      <c r="J183" s="20"/>
      <c r="K183" s="29">
        <f t="shared" ref="K183:K185" si="45">H183+J183</f>
        <v>0</v>
      </c>
      <c r="L183" s="102"/>
    </row>
    <row r="184" spans="1:13" s="22" customFormat="1" ht="15.6" x14ac:dyDescent="0.25">
      <c r="A184" s="62"/>
      <c r="B184" s="24" t="s">
        <v>51</v>
      </c>
      <c r="C184" s="65"/>
      <c r="D184" s="25" t="s">
        <v>28</v>
      </c>
      <c r="E184" s="26">
        <f>1*2*0.2+0.3*0.2</f>
        <v>0.46</v>
      </c>
      <c r="F184" s="27">
        <f>F181*E184</f>
        <v>44.091000000000001</v>
      </c>
      <c r="G184" s="28"/>
      <c r="H184" s="27">
        <f>$F184*G184</f>
        <v>0</v>
      </c>
      <c r="I184" s="64"/>
      <c r="J184" s="20"/>
      <c r="K184" s="29">
        <f t="shared" si="45"/>
        <v>0</v>
      </c>
      <c r="L184" s="102"/>
      <c r="M184" s="54"/>
    </row>
    <row r="185" spans="1:13" s="22" customFormat="1" ht="28.8" x14ac:dyDescent="0.25">
      <c r="A185" s="61" t="s">
        <v>96</v>
      </c>
      <c r="B185" s="17" t="s">
        <v>77</v>
      </c>
      <c r="C185" s="18" t="s">
        <v>76</v>
      </c>
      <c r="D185" s="19" t="s">
        <v>74</v>
      </c>
      <c r="E185" s="63"/>
      <c r="F185" s="20">
        <v>98.85</v>
      </c>
      <c r="G185" s="21"/>
      <c r="H185" s="20"/>
      <c r="I185" s="68">
        <v>250</v>
      </c>
      <c r="J185" s="20">
        <f>$F185*I185</f>
        <v>24712.5</v>
      </c>
      <c r="K185" s="29">
        <f t="shared" si="45"/>
        <v>24712.5</v>
      </c>
      <c r="L185" s="102"/>
    </row>
    <row r="186" spans="1:13" s="22" customFormat="1" ht="15.6" x14ac:dyDescent="0.25">
      <c r="A186" s="62"/>
      <c r="B186" s="24" t="s">
        <v>50</v>
      </c>
      <c r="C186" s="65"/>
      <c r="D186" s="25" t="s">
        <v>35</v>
      </c>
      <c r="E186" s="26">
        <f>0.2*0.1</f>
        <v>2.0000000000000004E-2</v>
      </c>
      <c r="F186" s="27">
        <f>F185*E186</f>
        <v>1.9770000000000003</v>
      </c>
      <c r="G186" s="28"/>
      <c r="H186" s="27">
        <f t="shared" ref="H186:H187" si="46">$F186*G186</f>
        <v>0</v>
      </c>
      <c r="I186" s="64"/>
      <c r="J186" s="20"/>
      <c r="K186" s="29">
        <f>H186+J186</f>
        <v>0</v>
      </c>
      <c r="L186" s="102"/>
    </row>
    <row r="187" spans="1:13" s="22" customFormat="1" ht="15.6" x14ac:dyDescent="0.25">
      <c r="A187" s="62"/>
      <c r="B187" s="24" t="s">
        <v>33</v>
      </c>
      <c r="C187" s="18"/>
      <c r="D187" s="25" t="s">
        <v>19</v>
      </c>
      <c r="E187" s="26">
        <f>2.2/2*0.1</f>
        <v>0.11000000000000001</v>
      </c>
      <c r="F187" s="27">
        <f>E187*F185</f>
        <v>10.8735</v>
      </c>
      <c r="G187" s="56"/>
      <c r="H187" s="27">
        <f t="shared" si="46"/>
        <v>0</v>
      </c>
      <c r="I187" s="28"/>
      <c r="J187" s="20"/>
      <c r="K187" s="29">
        <f t="shared" ref="K187:K194" si="47">H187+J187</f>
        <v>0</v>
      </c>
      <c r="L187" s="102"/>
    </row>
    <row r="188" spans="1:13" s="22" customFormat="1" ht="15.6" x14ac:dyDescent="0.25">
      <c r="A188" s="62"/>
      <c r="B188" s="24" t="s">
        <v>51</v>
      </c>
      <c r="C188" s="65"/>
      <c r="D188" s="25" t="s">
        <v>28</v>
      </c>
      <c r="E188" s="26">
        <f>1*2*0.1+0.3*0.1</f>
        <v>0.23</v>
      </c>
      <c r="F188" s="27">
        <f>F185*E188</f>
        <v>22.735499999999998</v>
      </c>
      <c r="G188" s="28"/>
      <c r="H188" s="27">
        <f>$F188*G188</f>
        <v>0</v>
      </c>
      <c r="I188" s="64"/>
      <c r="J188" s="20"/>
      <c r="K188" s="29">
        <f t="shared" si="47"/>
        <v>0</v>
      </c>
      <c r="L188" s="102"/>
    </row>
    <row r="189" spans="1:13" ht="28.8" x14ac:dyDescent="0.25">
      <c r="A189" s="86" t="s">
        <v>97</v>
      </c>
      <c r="B189" s="69" t="s">
        <v>82</v>
      </c>
      <c r="C189" s="70" t="s">
        <v>76</v>
      </c>
      <c r="D189" s="71" t="s">
        <v>19</v>
      </c>
      <c r="E189" s="72"/>
      <c r="F189" s="74">
        <f>F181+F185</f>
        <v>194.7</v>
      </c>
      <c r="G189" s="73"/>
      <c r="H189" s="74"/>
      <c r="I189" s="75">
        <v>80</v>
      </c>
      <c r="J189" s="74">
        <f>$F189*I189</f>
        <v>15576</v>
      </c>
      <c r="K189" s="76">
        <f t="shared" si="47"/>
        <v>15576</v>
      </c>
      <c r="L189" s="102"/>
      <c r="M189" s="102"/>
    </row>
    <row r="190" spans="1:13" x14ac:dyDescent="0.25">
      <c r="A190" s="87"/>
      <c r="B190" s="77" t="s">
        <v>79</v>
      </c>
      <c r="C190" s="78" t="s">
        <v>80</v>
      </c>
      <c r="D190" s="79" t="s">
        <v>19</v>
      </c>
      <c r="E190" s="80">
        <v>1.05</v>
      </c>
      <c r="F190" s="81">
        <f>F189*E190</f>
        <v>204.435</v>
      </c>
      <c r="G190" s="82"/>
      <c r="H190" s="83">
        <f>$F190*G190</f>
        <v>0</v>
      </c>
      <c r="I190" s="84"/>
      <c r="J190" s="85"/>
      <c r="K190" s="76">
        <f t="shared" si="47"/>
        <v>0</v>
      </c>
      <c r="L190" s="102"/>
      <c r="M190" s="102"/>
    </row>
    <row r="191" spans="1:13" ht="15.6" x14ac:dyDescent="0.25">
      <c r="A191" s="87"/>
      <c r="B191" s="24" t="s">
        <v>51</v>
      </c>
      <c r="C191" s="18"/>
      <c r="D191" s="25" t="s">
        <v>28</v>
      </c>
      <c r="E191" s="26">
        <v>0.2</v>
      </c>
      <c r="F191" s="27">
        <f>E191*F190</f>
        <v>40.887</v>
      </c>
      <c r="G191" s="56"/>
      <c r="H191" s="27">
        <f>$F191*G191</f>
        <v>0</v>
      </c>
      <c r="I191" s="28"/>
      <c r="J191" s="20"/>
      <c r="K191" s="29">
        <f t="shared" si="47"/>
        <v>0</v>
      </c>
      <c r="L191" s="102"/>
      <c r="M191" s="102"/>
    </row>
    <row r="192" spans="1:13" ht="28.8" x14ac:dyDescent="0.25">
      <c r="A192" s="61" t="s">
        <v>98</v>
      </c>
      <c r="B192" s="17" t="s">
        <v>83</v>
      </c>
      <c r="C192" s="18" t="s">
        <v>76</v>
      </c>
      <c r="D192" s="19" t="s">
        <v>19</v>
      </c>
      <c r="E192" s="63"/>
      <c r="F192" s="20">
        <f>F181+F185+F174+F170</f>
        <v>756.37999999999988</v>
      </c>
      <c r="G192" s="21"/>
      <c r="H192" s="20"/>
      <c r="I192" s="68">
        <v>170</v>
      </c>
      <c r="J192" s="20">
        <f t="shared" ref="J192" si="48">$F192*I192</f>
        <v>128584.59999999998</v>
      </c>
      <c r="K192" s="29">
        <f t="shared" si="47"/>
        <v>128584.59999999998</v>
      </c>
      <c r="L192" s="102"/>
      <c r="M192" s="102"/>
    </row>
    <row r="193" spans="1:13" ht="15.6" x14ac:dyDescent="0.25">
      <c r="A193" s="62"/>
      <c r="B193" s="24" t="s">
        <v>50</v>
      </c>
      <c r="C193" s="65"/>
      <c r="D193" s="25" t="s">
        <v>35</v>
      </c>
      <c r="E193" s="26">
        <f>0.2*0.2</f>
        <v>4.0000000000000008E-2</v>
      </c>
      <c r="F193" s="27">
        <f>F192*E193</f>
        <v>30.255200000000002</v>
      </c>
      <c r="G193" s="28"/>
      <c r="H193" s="27">
        <f t="shared" ref="H193" si="49">$F193*G193</f>
        <v>0</v>
      </c>
      <c r="I193" s="64"/>
      <c r="J193" s="20"/>
      <c r="K193" s="29">
        <f t="shared" si="47"/>
        <v>0</v>
      </c>
      <c r="L193" s="102"/>
      <c r="M193" s="102"/>
    </row>
    <row r="194" spans="1:13" ht="28.8" x14ac:dyDescent="0.25">
      <c r="A194" s="62"/>
      <c r="B194" s="24" t="s">
        <v>84</v>
      </c>
      <c r="C194" s="65"/>
      <c r="D194" s="25" t="s">
        <v>35</v>
      </c>
      <c r="E194" s="26">
        <f>0.25*0.2</f>
        <v>0.05</v>
      </c>
      <c r="F194" s="27">
        <f>F192*E194</f>
        <v>37.818999999999996</v>
      </c>
      <c r="G194" s="28"/>
      <c r="H194" s="27">
        <f>$F194*G194</f>
        <v>0</v>
      </c>
      <c r="I194" s="64"/>
      <c r="J194" s="20"/>
      <c r="K194" s="29">
        <f t="shared" si="47"/>
        <v>0</v>
      </c>
      <c r="L194" s="102"/>
      <c r="M194" s="102"/>
    </row>
    <row r="195" spans="1:13" s="66" customFormat="1" ht="15.6" x14ac:dyDescent="0.25">
      <c r="A195" s="57"/>
      <c r="B195" s="57" t="s">
        <v>85</v>
      </c>
      <c r="C195" s="30"/>
      <c r="D195" s="59"/>
      <c r="E195" s="31"/>
      <c r="F195" s="32"/>
      <c r="G195" s="33"/>
      <c r="H195" s="103">
        <f>ROUND(H9+H141,2)</f>
        <v>0</v>
      </c>
      <c r="I195" s="34"/>
      <c r="J195" s="103">
        <f>ROUND(J9+J141,2)</f>
        <v>930080.3</v>
      </c>
      <c r="K195" s="35">
        <f>H195+J195</f>
        <v>930080.3</v>
      </c>
      <c r="L195" s="102"/>
      <c r="M195" s="102"/>
    </row>
    <row r="196" spans="1:13" s="66" customFormat="1" ht="15.6" x14ac:dyDescent="0.25">
      <c r="A196" s="58"/>
      <c r="B196" s="58" t="s">
        <v>86</v>
      </c>
      <c r="C196" s="36"/>
      <c r="D196" s="60"/>
      <c r="E196" s="37"/>
      <c r="F196" s="38"/>
      <c r="G196" s="39"/>
      <c r="H196" s="38">
        <f>H197-H195</f>
        <v>0</v>
      </c>
      <c r="I196" s="40"/>
      <c r="J196" s="41">
        <f>J197-J195</f>
        <v>186016.06000000006</v>
      </c>
      <c r="K196" s="42">
        <f>K195*0.2</f>
        <v>186016.06000000003</v>
      </c>
      <c r="L196" s="102"/>
      <c r="M196" s="102"/>
    </row>
    <row r="197" spans="1:13" s="66" customFormat="1" ht="15.6" x14ac:dyDescent="0.25">
      <c r="A197" s="43"/>
      <c r="B197" s="44" t="s">
        <v>87</v>
      </c>
      <c r="C197" s="45"/>
      <c r="D197" s="46"/>
      <c r="E197" s="47"/>
      <c r="F197" s="48"/>
      <c r="G197" s="49"/>
      <c r="H197" s="48">
        <f>H195*1.2</f>
        <v>0</v>
      </c>
      <c r="I197" s="50"/>
      <c r="J197" s="51">
        <f>J195*1.2</f>
        <v>1116096.3600000001</v>
      </c>
      <c r="K197" s="52">
        <f>SUM(K195:K196)</f>
        <v>1116096.3600000001</v>
      </c>
      <c r="L197" s="102"/>
      <c r="M197" s="102"/>
    </row>
    <row r="198" spans="1:13" s="53" customFormat="1" ht="13.8" x14ac:dyDescent="0.25">
      <c r="L198" s="67"/>
    </row>
  </sheetData>
  <autoFilter ref="A7:K169" xr:uid="{00000000-0009-0000-0000-000000000000}">
    <filterColumn colId="6" showButton="0"/>
    <filterColumn colId="8" showButton="0"/>
  </autoFilter>
  <mergeCells count="14">
    <mergeCell ref="G7:H7"/>
    <mergeCell ref="I7:J7"/>
    <mergeCell ref="K7:K8"/>
    <mergeCell ref="A7:A8"/>
    <mergeCell ref="B7:B8"/>
    <mergeCell ref="C7:C8"/>
    <mergeCell ref="D7:D8"/>
    <mergeCell ref="E7:E8"/>
    <mergeCell ref="F7:F8"/>
    <mergeCell ref="A5:K5"/>
    <mergeCell ref="J6:K6"/>
    <mergeCell ref="A4:K4"/>
    <mergeCell ref="A2:K2"/>
    <mergeCell ref="A3:K3"/>
  </mergeCells>
  <phoneticPr fontId="17" type="noConversion"/>
  <conditionalFormatting sqref="F10:F140">
    <cfRule type="cellIs" dxfId="71" priority="24" operator="equal">
      <formula>0</formula>
    </cfRule>
  </conditionalFormatting>
  <conditionalFormatting sqref="F144:F146">
    <cfRule type="cellIs" dxfId="70" priority="68" operator="equal">
      <formula>0</formula>
    </cfRule>
  </conditionalFormatting>
  <conditionalFormatting sqref="F151:F153">
    <cfRule type="cellIs" dxfId="69" priority="65" operator="equal">
      <formula>0</formula>
    </cfRule>
  </conditionalFormatting>
  <conditionalFormatting sqref="F158:F160">
    <cfRule type="cellIs" dxfId="68" priority="62" operator="equal">
      <formula>0</formula>
    </cfRule>
  </conditionalFormatting>
  <conditionalFormatting sqref="F165:F167">
    <cfRule type="cellIs" dxfId="67" priority="59" operator="equal">
      <formula>0</formula>
    </cfRule>
  </conditionalFormatting>
  <conditionalFormatting sqref="F170:F179">
    <cfRule type="cellIs" dxfId="66" priority="89" operator="equal">
      <formula>0</formula>
    </cfRule>
  </conditionalFormatting>
  <conditionalFormatting sqref="F181:F190">
    <cfRule type="cellIs" dxfId="65" priority="75" operator="equal">
      <formula>0</formula>
    </cfRule>
  </conditionalFormatting>
  <conditionalFormatting sqref="F192:F194">
    <cfRule type="cellIs" dxfId="64" priority="71" operator="equal">
      <formula>0</formula>
    </cfRule>
  </conditionalFormatting>
  <conditionalFormatting sqref="F180:G180">
    <cfRule type="cellIs" dxfId="63" priority="118" operator="equal">
      <formula>0</formula>
    </cfRule>
  </conditionalFormatting>
  <conditionalFormatting sqref="F191:G191">
    <cfRule type="cellIs" dxfId="62" priority="86" operator="equal">
      <formula>0</formula>
    </cfRule>
  </conditionalFormatting>
  <conditionalFormatting sqref="G11:G17">
    <cfRule type="cellIs" dxfId="61" priority="49" operator="equal">
      <formula>0</formula>
    </cfRule>
  </conditionalFormatting>
  <conditionalFormatting sqref="G19:G23">
    <cfRule type="cellIs" dxfId="60" priority="46" operator="equal">
      <formula>0</formula>
    </cfRule>
  </conditionalFormatting>
  <conditionalFormatting sqref="G25:G31">
    <cfRule type="cellIs" dxfId="59" priority="48" operator="equal">
      <formula>0</formula>
    </cfRule>
  </conditionalFormatting>
  <conditionalFormatting sqref="G33:G37">
    <cfRule type="cellIs" dxfId="58" priority="43" operator="equal">
      <formula>0</formula>
    </cfRule>
  </conditionalFormatting>
  <conditionalFormatting sqref="G39:G45">
    <cfRule type="cellIs" dxfId="57" priority="41" operator="equal">
      <formula>0</formula>
    </cfRule>
  </conditionalFormatting>
  <conditionalFormatting sqref="G47:G51">
    <cfRule type="cellIs" dxfId="56" priority="38" operator="equal">
      <formula>0</formula>
    </cfRule>
  </conditionalFormatting>
  <conditionalFormatting sqref="G53:G59">
    <cfRule type="cellIs" dxfId="55" priority="40" operator="equal">
      <formula>0</formula>
    </cfRule>
  </conditionalFormatting>
  <conditionalFormatting sqref="G61:G65 G89:G93">
    <cfRule type="cellIs" dxfId="54" priority="35" operator="equal">
      <formula>0</formula>
    </cfRule>
  </conditionalFormatting>
  <conditionalFormatting sqref="G67:G73">
    <cfRule type="cellIs" dxfId="53" priority="33" operator="equal">
      <formula>0</formula>
    </cfRule>
  </conditionalFormatting>
  <conditionalFormatting sqref="G75:G79">
    <cfRule type="cellIs" dxfId="52" priority="30" operator="equal">
      <formula>0</formula>
    </cfRule>
  </conditionalFormatting>
  <conditionalFormatting sqref="G81:G87">
    <cfRule type="cellIs" dxfId="51" priority="32" operator="equal">
      <formula>0</formula>
    </cfRule>
  </conditionalFormatting>
  <conditionalFormatting sqref="G95:G101">
    <cfRule type="cellIs" dxfId="50" priority="26" operator="equal">
      <formula>0</formula>
    </cfRule>
  </conditionalFormatting>
  <conditionalFormatting sqref="G103:G107">
    <cfRule type="cellIs" dxfId="49" priority="23" operator="equal">
      <formula>0</formula>
    </cfRule>
  </conditionalFormatting>
  <conditionalFormatting sqref="G109:G110">
    <cfRule type="cellIs" dxfId="48" priority="19" operator="equal">
      <formula>0</formula>
    </cfRule>
  </conditionalFormatting>
  <conditionalFormatting sqref="G112:G113">
    <cfRule type="cellIs" dxfId="47" priority="20" operator="equal">
      <formula>0</formula>
    </cfRule>
  </conditionalFormatting>
  <conditionalFormatting sqref="G115:G116">
    <cfRule type="cellIs" dxfId="46" priority="15" operator="equal">
      <formula>0</formula>
    </cfRule>
  </conditionalFormatting>
  <conditionalFormatting sqref="G118:G119">
    <cfRule type="cellIs" dxfId="45" priority="16" operator="equal">
      <formula>0</formula>
    </cfRule>
  </conditionalFormatting>
  <conditionalFormatting sqref="G121:G122">
    <cfRule type="cellIs" dxfId="44" priority="11" operator="equal">
      <formula>0</formula>
    </cfRule>
  </conditionalFormatting>
  <conditionalFormatting sqref="G124:G125">
    <cfRule type="cellIs" dxfId="43" priority="12" operator="equal">
      <formula>0</formula>
    </cfRule>
  </conditionalFormatting>
  <conditionalFormatting sqref="G127:G128">
    <cfRule type="cellIs" dxfId="42" priority="9" operator="equal">
      <formula>0</formula>
    </cfRule>
  </conditionalFormatting>
  <conditionalFormatting sqref="G130:G131">
    <cfRule type="cellIs" dxfId="41" priority="7" operator="equal">
      <formula>0</formula>
    </cfRule>
  </conditionalFormatting>
  <conditionalFormatting sqref="G133:G134">
    <cfRule type="cellIs" dxfId="40" priority="5" operator="equal">
      <formula>0</formula>
    </cfRule>
  </conditionalFormatting>
  <conditionalFormatting sqref="G136:G137">
    <cfRule type="cellIs" dxfId="39" priority="3" operator="equal">
      <formula>0</formula>
    </cfRule>
  </conditionalFormatting>
  <conditionalFormatting sqref="G139:G140">
    <cfRule type="cellIs" dxfId="38" priority="1" operator="equal">
      <formula>0</formula>
    </cfRule>
  </conditionalFormatting>
  <conditionalFormatting sqref="G143:G148">
    <cfRule type="cellIs" dxfId="37" priority="58" operator="equal">
      <formula>0</formula>
    </cfRule>
  </conditionalFormatting>
  <conditionalFormatting sqref="G150:G155">
    <cfRule type="cellIs" dxfId="36" priority="57" operator="equal">
      <formula>0</formula>
    </cfRule>
  </conditionalFormatting>
  <conditionalFormatting sqref="G157:G162">
    <cfRule type="cellIs" dxfId="35" priority="56" operator="equal">
      <formula>0</formula>
    </cfRule>
  </conditionalFormatting>
  <conditionalFormatting sqref="G164:G169">
    <cfRule type="cellIs" dxfId="34" priority="55" operator="equal">
      <formula>0</formula>
    </cfRule>
  </conditionalFormatting>
  <conditionalFormatting sqref="G171:G173">
    <cfRule type="cellIs" dxfId="33" priority="52" operator="equal">
      <formula>0</formula>
    </cfRule>
  </conditionalFormatting>
  <conditionalFormatting sqref="G175:G177">
    <cfRule type="cellIs" dxfId="32" priority="51" operator="equal">
      <formula>0</formula>
    </cfRule>
  </conditionalFormatting>
  <conditionalFormatting sqref="G179">
    <cfRule type="cellIs" dxfId="31" priority="88" operator="equal">
      <formula>0</formula>
    </cfRule>
  </conditionalFormatting>
  <conditionalFormatting sqref="G182:G184">
    <cfRule type="cellIs" dxfId="30" priority="81" operator="equal">
      <formula>0</formula>
    </cfRule>
  </conditionalFormatting>
  <conditionalFormatting sqref="G186:G188">
    <cfRule type="cellIs" dxfId="29" priority="76" operator="equal">
      <formula>0</formula>
    </cfRule>
  </conditionalFormatting>
  <conditionalFormatting sqref="G190">
    <cfRule type="cellIs" dxfId="28" priority="74" operator="equal">
      <formula>0</formula>
    </cfRule>
  </conditionalFormatting>
  <conditionalFormatting sqref="G193:G194">
    <cfRule type="cellIs" dxfId="27" priority="72" operator="equal">
      <formula>0</formula>
    </cfRule>
  </conditionalFormatting>
  <conditionalFormatting sqref="I10">
    <cfRule type="cellIs" dxfId="26" priority="50" operator="equal">
      <formula>0</formula>
    </cfRule>
  </conditionalFormatting>
  <conditionalFormatting sqref="I18">
    <cfRule type="cellIs" dxfId="25" priority="47" operator="equal">
      <formula>0</formula>
    </cfRule>
  </conditionalFormatting>
  <conditionalFormatting sqref="I24">
    <cfRule type="cellIs" dxfId="24" priority="45" operator="equal">
      <formula>0</formula>
    </cfRule>
  </conditionalFormatting>
  <conditionalFormatting sqref="I32">
    <cfRule type="cellIs" dxfId="23" priority="44" operator="equal">
      <formula>0</formula>
    </cfRule>
  </conditionalFormatting>
  <conditionalFormatting sqref="I38">
    <cfRule type="cellIs" dxfId="22" priority="42" operator="equal">
      <formula>0</formula>
    </cfRule>
  </conditionalFormatting>
  <conditionalFormatting sqref="I46">
    <cfRule type="cellIs" dxfId="21" priority="39" operator="equal">
      <formula>0</formula>
    </cfRule>
  </conditionalFormatting>
  <conditionalFormatting sqref="I52">
    <cfRule type="cellIs" dxfId="20" priority="37" operator="equal">
      <formula>0</formula>
    </cfRule>
  </conditionalFormatting>
  <conditionalFormatting sqref="I60">
    <cfRule type="cellIs" dxfId="19" priority="36" operator="equal">
      <formula>0</formula>
    </cfRule>
  </conditionalFormatting>
  <conditionalFormatting sqref="I66">
    <cfRule type="cellIs" dxfId="18" priority="34" operator="equal">
      <formula>0</formula>
    </cfRule>
  </conditionalFormatting>
  <conditionalFormatting sqref="I74">
    <cfRule type="cellIs" dxfId="17" priority="31" operator="equal">
      <formula>0</formula>
    </cfRule>
  </conditionalFormatting>
  <conditionalFormatting sqref="I80">
    <cfRule type="cellIs" dxfId="16" priority="29" operator="equal">
      <formula>0</formula>
    </cfRule>
  </conditionalFormatting>
  <conditionalFormatting sqref="I88">
    <cfRule type="cellIs" dxfId="15" priority="28" operator="equal">
      <formula>0</formula>
    </cfRule>
  </conditionalFormatting>
  <conditionalFormatting sqref="I94">
    <cfRule type="cellIs" dxfId="14" priority="27" operator="equal">
      <formula>0</formula>
    </cfRule>
  </conditionalFormatting>
  <conditionalFormatting sqref="I102">
    <cfRule type="cellIs" dxfId="13" priority="25" operator="equal">
      <formula>0</formula>
    </cfRule>
  </conditionalFormatting>
  <conditionalFormatting sqref="I108">
    <cfRule type="cellIs" dxfId="12" priority="22" operator="equal">
      <formula>0</formula>
    </cfRule>
  </conditionalFormatting>
  <conditionalFormatting sqref="I111">
    <cfRule type="cellIs" dxfId="11" priority="21" operator="equal">
      <formula>0</formula>
    </cfRule>
  </conditionalFormatting>
  <conditionalFormatting sqref="I114">
    <cfRule type="cellIs" dxfId="10" priority="18" operator="equal">
      <formula>0</formula>
    </cfRule>
  </conditionalFormatting>
  <conditionalFormatting sqref="I117">
    <cfRule type="cellIs" dxfId="9" priority="17" operator="equal">
      <formula>0</formula>
    </cfRule>
  </conditionalFormatting>
  <conditionalFormatting sqref="I120">
    <cfRule type="cellIs" dxfId="8" priority="14" operator="equal">
      <formula>0</formula>
    </cfRule>
  </conditionalFormatting>
  <conditionalFormatting sqref="I123">
    <cfRule type="cellIs" dxfId="7" priority="13" operator="equal">
      <formula>0</formula>
    </cfRule>
  </conditionalFormatting>
  <conditionalFormatting sqref="I126">
    <cfRule type="cellIs" dxfId="6" priority="10" operator="equal">
      <formula>0</formula>
    </cfRule>
  </conditionalFormatting>
  <conditionalFormatting sqref="I129">
    <cfRule type="cellIs" dxfId="5" priority="8" operator="equal">
      <formula>0</formula>
    </cfRule>
  </conditionalFormatting>
  <conditionalFormatting sqref="I132">
    <cfRule type="cellIs" dxfId="4" priority="6" operator="equal">
      <formula>0</formula>
    </cfRule>
  </conditionalFormatting>
  <conditionalFormatting sqref="I135">
    <cfRule type="cellIs" dxfId="3" priority="4" operator="equal">
      <formula>0</formula>
    </cfRule>
  </conditionalFormatting>
  <conditionalFormatting sqref="I138">
    <cfRule type="cellIs" dxfId="2" priority="2" operator="equal">
      <formula>0</formula>
    </cfRule>
  </conditionalFormatting>
  <conditionalFormatting sqref="I178">
    <cfRule type="cellIs" dxfId="1" priority="87" operator="equal">
      <formula>0</formula>
    </cfRule>
  </conditionalFormatting>
  <conditionalFormatting sqref="I189">
    <cfRule type="cellIs" dxfId="0" priority="73" operator="equal">
      <formula>0</formula>
    </cfRule>
  </conditionalFormatting>
  <pageMargins left="0.70866141732283472" right="0.51181102362204722" top="0.74803149606299213" bottom="0.74803149606299213" header="0.31496062992125984" footer="0.31496062992125984"/>
  <pageSetup paperSize="9" scale="53" fitToHeight="0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FEDEDF2713684DBB562DF635CA7492" ma:contentTypeVersion="21" ma:contentTypeDescription="Create a new document." ma:contentTypeScope="" ma:versionID="f12ab60b318c5dedbd22ab7a16a5d232">
  <xsd:schema xmlns:xsd="http://www.w3.org/2001/XMLSchema" xmlns:xs="http://www.w3.org/2001/XMLSchema" xmlns:p="http://schemas.microsoft.com/office/2006/metadata/properties" xmlns:ns2="0dff5752-ff18-4084-8703-f6de6e7b121a" xmlns:ns3="1f2061e5-d3d5-4a1c-a34d-e549926875d7" targetNamespace="http://schemas.microsoft.com/office/2006/metadata/properties" ma:root="true" ma:fieldsID="9300b7acb57a4c827531ad90155eb23b" ns2:_="" ns3:_="">
    <xsd:import namespace="0dff5752-ff18-4084-8703-f6de6e7b121a"/>
    <xsd:import namespace="1f2061e5-d3d5-4a1c-a34d-e549926875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x0070_nj6" minOccurs="0"/>
                <xsd:element ref="ns3:MediaLengthInSeconds" minOccurs="0"/>
                <xsd:element ref="ns3:_x0412__x0440__x0435__x043c__x044f_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f5752-ff18-4084-8703-f6de6e7b12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f3c92d3-1a02-4e10-b274-3ee6a5496162}" ma:internalName="TaxCatchAll" ma:showField="CatchAllData" ma:web="0dff5752-ff18-4084-8703-f6de6e7b12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061e5-d3d5-4a1c-a34d-e54992687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0_nj6" ma:index="20" nillable="true" ma:displayName="Пользователь или группа" ma:list="UserInfo" ma:internalName="_x0070_nj6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x0412__x0440__x0435__x043c__x044f_" ma:index="22" nillable="true" ma:displayName="Время" ma:format="DateTime" ma:internalName="_x0412__x0440__x0435__x043c__x044f_">
      <xsd:simpleType>
        <xsd:restriction base="dms:DateTim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7b73211-cf8d-4983-b232-52e3632570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ff5752-ff18-4084-8703-f6de6e7b121a" xsi:nil="true"/>
    <lcf76f155ced4ddcb4097134ff3c332f xmlns="1f2061e5-d3d5-4a1c-a34d-e549926875d7">
      <Terms xmlns="http://schemas.microsoft.com/office/infopath/2007/PartnerControls"/>
    </lcf76f155ced4ddcb4097134ff3c332f>
    <_x0412__x0440__x0435__x043c__x044f_ xmlns="1f2061e5-d3d5-4a1c-a34d-e549926875d7" xsi:nil="true"/>
    <_x0070_nj6 xmlns="1f2061e5-d3d5-4a1c-a34d-e549926875d7">
      <UserInfo>
        <DisplayName/>
        <AccountId xsi:nil="true"/>
        <AccountType/>
      </UserInfo>
    </_x0070_nj6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252AB3-4BBB-447B-90FF-DD826BD251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ff5752-ff18-4084-8703-f6de6e7b121a"/>
    <ds:schemaRef ds:uri="1f2061e5-d3d5-4a1c-a34d-e54992687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41B7F0-DF19-483B-A520-335F50B6CF55}">
  <ds:schemaRefs>
    <ds:schemaRef ds:uri="http://schemas.microsoft.com/office/2006/metadata/properties"/>
    <ds:schemaRef ds:uri="http://schemas.microsoft.com/office/infopath/2007/PartnerControls"/>
    <ds:schemaRef ds:uri="0dff5752-ff18-4084-8703-f6de6e7b121a"/>
    <ds:schemaRef ds:uri="1f2061e5-d3d5-4a1c-a34d-e549926875d7"/>
  </ds:schemaRefs>
</ds:datastoreItem>
</file>

<file path=customXml/itemProps3.xml><?xml version="1.0" encoding="utf-8"?>
<ds:datastoreItem xmlns:ds="http://schemas.openxmlformats.org/officeDocument/2006/customXml" ds:itemID="{8A91A979-8AC5-4659-96E3-69A0356D33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ТЗ</vt:lpstr>
      <vt:lpstr>ТЗ!Область_друку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Lenovo4</dc:creator>
  <cp:keywords/>
  <dc:description/>
  <cp:lastModifiedBy>Устим Усенко</cp:lastModifiedBy>
  <cp:revision/>
  <dcterms:created xsi:type="dcterms:W3CDTF">2020-09-15T05:02:32Z</dcterms:created>
  <dcterms:modified xsi:type="dcterms:W3CDTF">2026-02-23T15:49:25Z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0x0101007DFEDEDF2713684DBB562DF635CA7492</vt:lpwstr>
  </property>
  <property fmtid="{D5CDD505-2E9C-101B-9397-08002B2CF9AE}" pid="3" name="MediaServiceImageTags">
    <vt:lpwstr/>
  </property>
</Properties>
</file>