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robook\Downloads\"/>
    </mc:Choice>
  </mc:AlternateContent>
  <bookViews>
    <workbookView xWindow="-108" yWindow="-108" windowWidth="19428" windowHeight="1102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1" l="1"/>
  <c r="K26" i="1" s="1"/>
  <c r="K42" i="1"/>
  <c r="F41" i="1"/>
  <c r="K40" i="1"/>
  <c r="F40" i="1"/>
  <c r="D37" i="1"/>
  <c r="F37" i="1" s="1"/>
  <c r="I34" i="1"/>
  <c r="K34" i="1" s="1"/>
  <c r="I33" i="1"/>
  <c r="K33" i="1" s="1"/>
  <c r="F33" i="1"/>
  <c r="K32" i="1"/>
  <c r="D32" i="1"/>
  <c r="F32" i="1" s="1"/>
  <c r="I31" i="1"/>
  <c r="K31" i="1" s="1"/>
  <c r="I30" i="1"/>
  <c r="K30" i="1" s="1"/>
  <c r="F30" i="1"/>
  <c r="I29" i="1"/>
  <c r="K29" i="1" s="1"/>
  <c r="I28" i="1"/>
  <c r="K28" i="1" s="1"/>
  <c r="F28" i="1"/>
  <c r="I27" i="1"/>
  <c r="K27" i="1" s="1"/>
  <c r="F26" i="1"/>
  <c r="K25" i="1"/>
  <c r="K23" i="1"/>
  <c r="F22" i="1"/>
  <c r="F21" i="1"/>
  <c r="D20" i="1"/>
  <c r="I19" i="1"/>
  <c r="K19" i="1" s="1"/>
  <c r="I18" i="1"/>
  <c r="K18" i="1" s="1"/>
  <c r="I17" i="1"/>
  <c r="K17" i="1" s="1"/>
  <c r="I16" i="1"/>
  <c r="K16" i="1" s="1"/>
  <c r="I15" i="1"/>
  <c r="K15" i="1" s="1"/>
  <c r="F15" i="1"/>
  <c r="I14" i="1"/>
  <c r="K14" i="1" s="1"/>
  <c r="I13" i="1"/>
  <c r="K13" i="1" s="1"/>
  <c r="I12" i="1"/>
  <c r="K12" i="1" s="1"/>
  <c r="I11" i="1"/>
  <c r="K11" i="1" s="1"/>
  <c r="I10" i="1"/>
  <c r="K10" i="1" s="1"/>
  <c r="F10" i="1"/>
  <c r="I9" i="1"/>
  <c r="K9" i="1" s="1"/>
  <c r="F9" i="1"/>
  <c r="D25" i="1" l="1"/>
  <c r="F25" i="1" s="1"/>
  <c r="D36" i="1"/>
  <c r="D39" i="1" s="1"/>
  <c r="F39" i="1" s="1"/>
  <c r="I20" i="1"/>
  <c r="K20" i="1" s="1"/>
  <c r="F20" i="1"/>
  <c r="I39" i="1"/>
  <c r="K39" i="1" s="1"/>
  <c r="D35" i="1"/>
  <c r="I38" i="1"/>
  <c r="K38" i="1" s="1"/>
  <c r="I36" i="1"/>
  <c r="K36" i="1" s="1"/>
  <c r="I37" i="1"/>
  <c r="K37" i="1" s="1"/>
  <c r="F36" i="1" l="1"/>
  <c r="F35" i="1"/>
  <c r="F43" i="1" s="1"/>
  <c r="F44" i="1" s="1"/>
  <c r="I35" i="1"/>
  <c r="K35" i="1" s="1"/>
  <c r="K43" i="1" s="1"/>
  <c r="K44" i="1" l="1"/>
  <c r="K48" i="1" s="1"/>
  <c r="F45" i="1" l="1"/>
  <c r="F47" i="1" s="1"/>
</calcChain>
</file>

<file path=xl/sharedStrings.xml><?xml version="1.0" encoding="utf-8"?>
<sst xmlns="http://schemas.openxmlformats.org/spreadsheetml/2006/main" count="124" uniqueCount="63">
  <si>
    <t>№</t>
  </si>
  <si>
    <t>Назва робіт</t>
  </si>
  <si>
    <t>Од. Вим.</t>
  </si>
  <si>
    <t>К-сть</t>
  </si>
  <si>
    <t>Ціна робіт, грн без ПДВ</t>
  </si>
  <si>
    <t>Сума робіт, грн. без ПДВ</t>
  </si>
  <si>
    <t>Назва матеріалів</t>
  </si>
  <si>
    <t>К-сть матеріалів</t>
  </si>
  <si>
    <t>Ціна матеріалів, грн без ПДВ</t>
  </si>
  <si>
    <t>Сума матеріалів, грн без ПДВ</t>
  </si>
  <si>
    <t>Влаштування утеплювача  Izovat 50мм</t>
  </si>
  <si>
    <t>м2</t>
  </si>
  <si>
    <t>Утеплювач  Izovat 45кг/м3</t>
  </si>
  <si>
    <t>м3</t>
  </si>
  <si>
    <t>Замуровування віконних та дверних проємів розміром до 4м2) товщ. 120мм під розшивку, з анкеруванням на анкерний розчин, заповнюванням швів негорючим пружним матеріалом  Izovat 40кг/м3</t>
  </si>
  <si>
    <t>Цегла М150-жовта</t>
  </si>
  <si>
    <t>шт</t>
  </si>
  <si>
    <t xml:space="preserve">Арматура </t>
  </si>
  <si>
    <t>т.</t>
  </si>
  <si>
    <t>Сітка ВР 50*50 4мм</t>
  </si>
  <si>
    <t>Розчин мурувальний  POLIMIN 
УНІВЕРСАЛ-МІКС ПЛЮС 25кг М100</t>
  </si>
  <si>
    <t>кг</t>
  </si>
  <si>
    <t>Мурування цегляної перегородки зі сторони вул.Московської ,12500*4000*120мм під розшивку, з анкеруванням на анкерний розчин, заповнюванням швів негорючим пружним матеріалом  Izovat 40кг/м3</t>
  </si>
  <si>
    <t>Утеплювач  Izovat 40кг/м3</t>
  </si>
  <si>
    <t xml:space="preserve">Доповнення витрат розчину мурування (стіни) по новій кладці </t>
  </si>
  <si>
    <t>Реставраційна суміш (розчин вапняний, пластифікатор, портландцемент, пігмент жовтий) (з урахуванням доставки)</t>
  </si>
  <si>
    <t xml:space="preserve">Перенесення, підняття матеріалів на 2-й поверх по сходах в стиснених умовах (цегла, розчин, утеплювач) </t>
  </si>
  <si>
    <t>тн</t>
  </si>
  <si>
    <t>Встановлення та демонтаж будівельних риштувань</t>
  </si>
  <si>
    <t>Перевезення цегли з корпусу М1 до корпусу К12 маніпулятором, стропування, розвантаження</t>
  </si>
  <si>
    <t>Оренда маніпулятора 5т</t>
  </si>
  <si>
    <t>змін</t>
  </si>
  <si>
    <t>Реставрація  2-го поверху прибудови</t>
  </si>
  <si>
    <t xml:space="preserve">Демонтаж цегельної кладки окремими місцями до 0,1 м3 без допущення руйнації існуючої кладки з частковим збереженням, для подальшої її заміни </t>
  </si>
  <si>
    <t>Вивезення будівельного сміття самоскидом 5тн (по факту)</t>
  </si>
  <si>
    <t>рейс</t>
  </si>
  <si>
    <t>Відновлення цегляної кладки окремими цеглинами.</t>
  </si>
  <si>
    <t>шт.</t>
  </si>
  <si>
    <t xml:space="preserve">Реставрація лицьової поверхні цегельного мурування (СТІН) при глибині 0,5 цегли </t>
  </si>
  <si>
    <t>Відновлення цегляної кладки сводів, після демонтажу повітроводів 47шт. *1м2*75цеглин з виготовленням арочної опалубки своду, з урахуванням витратних матеріалів.</t>
  </si>
  <si>
    <t xml:space="preserve"> Виготовлення та монтаж арочної опалубки своду, з урахуванням витратних матеріалів.</t>
  </si>
  <si>
    <t>Фанера ламінована 21 мм</t>
  </si>
  <si>
    <t>Кладка чорнова (забутовка)</t>
  </si>
  <si>
    <t>Різання (калібрування) цегли за допомогою стаціонарного станка мокрого різу під розміри історичної кладки, за-для дотримання порядовки існуючої кладки 70 %</t>
  </si>
  <si>
    <t>Круг алмазний відрізний сегментного типу 400х3,5/2,5х25,4</t>
  </si>
  <si>
    <t>Доповнення втрат розчину мурування (розшивання швів+затирання швів)</t>
  </si>
  <si>
    <t>Відновлення цегляної кладки окремими цеглинами. Віконні арки, четверті і т.д.</t>
  </si>
  <si>
    <t>Цегла автентична б/у (матеріал Генпідрядника)</t>
  </si>
  <si>
    <t xml:space="preserve">Гідрофобізація цегляних поверхонь стін та сводів </t>
  </si>
  <si>
    <t>Грунт СТ-17+</t>
  </si>
  <si>
    <t>л</t>
  </si>
  <si>
    <t>Оренда будівельних риштувань  1,58/м2 на 100днів без ПДВ/м2</t>
  </si>
  <si>
    <t>т</t>
  </si>
  <si>
    <t>Всього по роботам</t>
  </si>
  <si>
    <t>грн</t>
  </si>
  <si>
    <t>Всього матеріально-технічні ресурси</t>
  </si>
  <si>
    <t>Загальновиробничі витрати</t>
  </si>
  <si>
    <t>Транспортно-заготівельні витрати</t>
  </si>
  <si>
    <t>грн.</t>
  </si>
  <si>
    <t>Всього по кошторису без ПДВ</t>
  </si>
  <si>
    <t xml:space="preserve"> </t>
  </si>
  <si>
    <t>ПДВ 20%</t>
  </si>
  <si>
    <t>Всього по кошторису з ПДВ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</si>
</sst>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_₽"/>
    <numFmt numFmtId="165" formatCode="#,##0_р_."/>
    <numFmt numFmtId="166" formatCode="0.000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color theme="1"/>
      <name val="Arial Cyr"/>
      <family val="2"/>
      <charset val="204"/>
    </font>
    <font>
      <b/>
      <sz val="14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76">
    <xf numFmtId="0" fontId="0" fillId="0" borderId="0" xfId="0"/>
    <xf numFmtId="0" fontId="2" fillId="0" borderId="0" xfId="1" applyFont="1" applyAlignment="1">
      <alignment horizontal="center" vertical="center"/>
    </xf>
    <xf numFmtId="0" fontId="2" fillId="0" borderId="0" xfId="1" applyFont="1"/>
    <xf numFmtId="0" fontId="2" fillId="0" borderId="0" xfId="1" applyFont="1" applyAlignment="1">
      <alignment wrapText="1"/>
    </xf>
    <xf numFmtId="0" fontId="4" fillId="0" borderId="0" xfId="1" applyFont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4" fontId="4" fillId="0" borderId="1" xfId="1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horizontal="left" vertical="center" wrapText="1"/>
    </xf>
    <xf numFmtId="4" fontId="4" fillId="0" borderId="1" xfId="2" applyNumberFormat="1" applyFont="1" applyBorder="1" applyAlignment="1">
      <alignment horizontal="center" vertical="center" wrapText="1"/>
    </xf>
    <xf numFmtId="164" fontId="6" fillId="0" borderId="1" xfId="2" applyNumberFormat="1" applyFont="1" applyBorder="1" applyAlignment="1">
      <alignment horizontal="center" vertical="center" wrapText="1"/>
    </xf>
    <xf numFmtId="164" fontId="4" fillId="0" borderId="1" xfId="2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vertical="center" wrapText="1"/>
    </xf>
    <xf numFmtId="4" fontId="6" fillId="0" borderId="1" xfId="1" applyNumberFormat="1" applyFont="1" applyBorder="1" applyAlignment="1">
      <alignment horizontal="center" vertical="center" wrapText="1"/>
    </xf>
    <xf numFmtId="2" fontId="4" fillId="0" borderId="1" xfId="1" applyNumberFormat="1" applyFont="1" applyBorder="1" applyAlignment="1">
      <alignment horizontal="center" vertical="center" wrapText="1"/>
    </xf>
    <xf numFmtId="164" fontId="7" fillId="0" borderId="1" xfId="1" applyNumberFormat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left" vertical="center" wrapText="1"/>
    </xf>
    <xf numFmtId="4" fontId="4" fillId="0" borderId="3" xfId="1" applyNumberFormat="1" applyFont="1" applyBorder="1" applyAlignment="1">
      <alignment horizontal="center" vertical="center" wrapText="1"/>
    </xf>
    <xf numFmtId="164" fontId="7" fillId="0" borderId="3" xfId="1" applyNumberFormat="1" applyFont="1" applyBorder="1" applyAlignment="1">
      <alignment horizontal="center" vertical="center" wrapText="1"/>
    </xf>
    <xf numFmtId="164" fontId="4" fillId="0" borderId="3" xfId="1" applyNumberFormat="1" applyFont="1" applyBorder="1" applyAlignment="1">
      <alignment horizontal="center" vertical="center" wrapText="1"/>
    </xf>
    <xf numFmtId="3" fontId="4" fillId="0" borderId="1" xfId="2" applyNumberFormat="1" applyFont="1" applyBorder="1" applyAlignment="1">
      <alignment horizontal="center" vertical="center" wrapText="1"/>
    </xf>
    <xf numFmtId="2" fontId="6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vertical="center" wrapText="1"/>
    </xf>
    <xf numFmtId="165" fontId="4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wrapText="1"/>
    </xf>
    <xf numFmtId="166" fontId="6" fillId="0" borderId="1" xfId="1" applyNumberFormat="1" applyFont="1" applyBorder="1" applyAlignment="1">
      <alignment wrapText="1"/>
    </xf>
    <xf numFmtId="0" fontId="6" fillId="0" borderId="1" xfId="1" applyFont="1" applyBorder="1" applyAlignment="1">
      <alignment horizontal="center" wrapText="1"/>
    </xf>
    <xf numFmtId="0" fontId="4" fillId="0" borderId="0" xfId="1" applyFont="1" applyAlignment="1">
      <alignment vertical="center" wrapText="1"/>
    </xf>
    <xf numFmtId="164" fontId="4" fillId="0" borderId="0" xfId="1" applyNumberFormat="1" applyFont="1" applyAlignment="1">
      <alignment horizontal="center" vertical="center" wrapText="1"/>
    </xf>
    <xf numFmtId="0" fontId="2" fillId="0" borderId="0" xfId="1" applyFont="1" applyAlignment="1"/>
    <xf numFmtId="0" fontId="4" fillId="0" borderId="0" xfId="1" applyFont="1" applyFill="1" applyBorder="1" applyAlignment="1">
      <alignment vertical="center" wrapText="1"/>
    </xf>
    <xf numFmtId="0" fontId="8" fillId="0" borderId="0" xfId="0" applyFont="1"/>
    <xf numFmtId="0" fontId="0" fillId="0" borderId="0" xfId="0" applyAlignment="1">
      <alignment wrapText="1"/>
    </xf>
    <xf numFmtId="164" fontId="4" fillId="0" borderId="1" xfId="1" applyNumberFormat="1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3" xfId="1" applyFont="1" applyBorder="1" applyAlignment="1">
      <alignment horizontal="left" vertical="center" wrapText="1"/>
    </xf>
    <xf numFmtId="0" fontId="6" fillId="0" borderId="4" xfId="1" applyFont="1" applyBorder="1" applyAlignment="1">
      <alignment horizontal="left" vertical="center" wrapText="1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4" fontId="4" fillId="0" borderId="3" xfId="1" applyNumberFormat="1" applyFont="1" applyBorder="1" applyAlignment="1">
      <alignment horizontal="center" vertical="center"/>
    </xf>
    <xf numFmtId="4" fontId="4" fillId="0" borderId="4" xfId="1" applyNumberFormat="1" applyFont="1" applyBorder="1" applyAlignment="1">
      <alignment horizontal="center" vertical="center"/>
    </xf>
    <xf numFmtId="164" fontId="6" fillId="0" borderId="3" xfId="2" applyNumberFormat="1" applyFont="1" applyBorder="1" applyAlignment="1">
      <alignment horizontal="center" vertical="center" wrapText="1"/>
    </xf>
    <xf numFmtId="164" fontId="6" fillId="0" borderId="4" xfId="2" applyNumberFormat="1" applyFont="1" applyBorder="1" applyAlignment="1">
      <alignment horizontal="center" vertical="center" wrapText="1"/>
    </xf>
    <xf numFmtId="164" fontId="4" fillId="0" borderId="3" xfId="1" applyNumberFormat="1" applyFont="1" applyBorder="1" applyAlignment="1">
      <alignment horizontal="center" vertical="center"/>
    </xf>
    <xf numFmtId="164" fontId="4" fillId="0" borderId="4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 wrapText="1"/>
    </xf>
    <xf numFmtId="4" fontId="4" fillId="0" borderId="1" xfId="1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left" vertical="center" wrapText="1"/>
    </xf>
    <xf numFmtId="4" fontId="4" fillId="0" borderId="1" xfId="2" applyNumberFormat="1" applyFont="1" applyBorder="1" applyAlignment="1">
      <alignment horizontal="center" vertical="center" wrapText="1"/>
    </xf>
    <xf numFmtId="164" fontId="6" fillId="0" borderId="1" xfId="2" applyNumberFormat="1" applyFont="1" applyBorder="1" applyAlignment="1">
      <alignment horizontal="center" vertical="center" wrapText="1"/>
    </xf>
    <xf numFmtId="164" fontId="4" fillId="0" borderId="1" xfId="2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/>
    </xf>
  </cellXfs>
  <cellStyles count="3">
    <cellStyle name="Excel Built-in Normal" xfId="2"/>
    <cellStyle name="Excel Built-in Normal 1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abSelected="1" zoomScale="90" zoomScaleNormal="90" workbookViewId="0">
      <selection activeCell="J2" sqref="J2"/>
    </sheetView>
  </sheetViews>
  <sheetFormatPr defaultRowHeight="14.4" x14ac:dyDescent="0.3"/>
  <cols>
    <col min="2" max="2" width="54.5546875" customWidth="1"/>
    <col min="4" max="4" width="10.5546875" customWidth="1"/>
    <col min="5" max="5" width="10.88671875" customWidth="1"/>
    <col min="6" max="6" width="15.6640625" customWidth="1"/>
    <col min="7" max="7" width="49.88671875" customWidth="1"/>
    <col min="10" max="10" width="14.5546875" customWidth="1"/>
    <col min="11" max="11" width="18.88671875" customWidth="1"/>
  </cols>
  <sheetData>
    <row r="1" spans="1:11" ht="26.25" customHeight="1" x14ac:dyDescent="0.3">
      <c r="A1" s="1"/>
      <c r="B1" s="2"/>
      <c r="C1" s="2"/>
      <c r="D1" s="2"/>
      <c r="E1" s="2"/>
      <c r="F1" s="2"/>
      <c r="G1" s="42"/>
      <c r="H1" s="42"/>
      <c r="I1" s="42"/>
      <c r="J1" s="2"/>
      <c r="K1" s="2"/>
    </row>
    <row r="2" spans="1:11" x14ac:dyDescent="0.3">
      <c r="A2" s="1"/>
      <c r="B2" s="2"/>
      <c r="C2" s="2"/>
      <c r="D2" s="2"/>
      <c r="E2" s="2"/>
      <c r="F2" s="2"/>
      <c r="G2" s="3"/>
      <c r="H2" s="2"/>
      <c r="I2" s="2"/>
      <c r="J2" s="2"/>
      <c r="K2" s="2"/>
    </row>
    <row r="3" spans="1:11" x14ac:dyDescent="0.3">
      <c r="A3" s="1"/>
      <c r="B3" s="2"/>
      <c r="C3" s="2"/>
      <c r="D3" s="2"/>
      <c r="E3" s="2"/>
      <c r="F3" s="2"/>
      <c r="G3" s="3"/>
      <c r="H3" s="2"/>
      <c r="I3" s="2"/>
      <c r="J3" s="2"/>
      <c r="K3" s="2"/>
    </row>
    <row r="4" spans="1:11" ht="17.399999999999999" x14ac:dyDescent="0.3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</row>
    <row r="5" spans="1:11" x14ac:dyDescent="0.3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</row>
    <row r="6" spans="1:11" x14ac:dyDescent="0.3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</row>
    <row r="7" spans="1:11" ht="39.6" x14ac:dyDescent="0.3">
      <c r="A7" s="5" t="s">
        <v>0</v>
      </c>
      <c r="B7" s="5" t="s">
        <v>1</v>
      </c>
      <c r="C7" s="5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2</v>
      </c>
      <c r="I7" s="5" t="s">
        <v>7</v>
      </c>
      <c r="J7" s="5" t="s">
        <v>8</v>
      </c>
      <c r="K7" s="5" t="s">
        <v>9</v>
      </c>
    </row>
    <row r="8" spans="1:11" x14ac:dyDescent="0.3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</row>
    <row r="9" spans="1:11" x14ac:dyDescent="0.3">
      <c r="A9" s="6">
        <v>1</v>
      </c>
      <c r="B9" s="7" t="s">
        <v>10</v>
      </c>
      <c r="C9" s="8" t="s">
        <v>11</v>
      </c>
      <c r="D9" s="9">
        <v>148</v>
      </c>
      <c r="E9" s="10">
        <v>180</v>
      </c>
      <c r="F9" s="11">
        <f>D9*E9</f>
        <v>26640</v>
      </c>
      <c r="G9" s="7" t="s">
        <v>12</v>
      </c>
      <c r="H9" s="8" t="s">
        <v>13</v>
      </c>
      <c r="I9" s="9">
        <f>D9*0.05*1.02</f>
        <v>7.5480000000000009</v>
      </c>
      <c r="J9" s="10"/>
      <c r="K9" s="11">
        <f t="shared" ref="K9:K20" si="0">I9*J9</f>
        <v>0</v>
      </c>
    </row>
    <row r="10" spans="1:11" x14ac:dyDescent="0.3">
      <c r="A10" s="59">
        <v>2</v>
      </c>
      <c r="B10" s="60" t="s">
        <v>14</v>
      </c>
      <c r="C10" s="73" t="s">
        <v>11</v>
      </c>
      <c r="D10" s="74">
        <v>148</v>
      </c>
      <c r="E10" s="75">
        <v>310</v>
      </c>
      <c r="F10" s="69">
        <f>D10*E10</f>
        <v>45880</v>
      </c>
      <c r="G10" s="7" t="s">
        <v>15</v>
      </c>
      <c r="H10" s="8" t="s">
        <v>16</v>
      </c>
      <c r="I10" s="12">
        <f>D10*50</f>
        <v>7400</v>
      </c>
      <c r="J10" s="8"/>
      <c r="K10" s="11">
        <f t="shared" si="0"/>
        <v>0</v>
      </c>
    </row>
    <row r="11" spans="1:11" x14ac:dyDescent="0.3">
      <c r="A11" s="59"/>
      <c r="B11" s="60"/>
      <c r="C11" s="73"/>
      <c r="D11" s="74"/>
      <c r="E11" s="75"/>
      <c r="F11" s="69"/>
      <c r="G11" s="7" t="s">
        <v>17</v>
      </c>
      <c r="H11" s="8" t="s">
        <v>18</v>
      </c>
      <c r="I11" s="9">
        <f>0.4/2</f>
        <v>0.2</v>
      </c>
      <c r="J11" s="8"/>
      <c r="K11" s="5">
        <f t="shared" si="0"/>
        <v>0</v>
      </c>
    </row>
    <row r="12" spans="1:11" x14ac:dyDescent="0.3">
      <c r="A12" s="59"/>
      <c r="B12" s="60"/>
      <c r="C12" s="73"/>
      <c r="D12" s="74"/>
      <c r="E12" s="75"/>
      <c r="F12" s="69"/>
      <c r="G12" s="7" t="s">
        <v>12</v>
      </c>
      <c r="H12" s="8" t="s">
        <v>13</v>
      </c>
      <c r="I12" s="9">
        <f>1.5/2</f>
        <v>0.75</v>
      </c>
      <c r="J12" s="10"/>
      <c r="K12" s="5">
        <f t="shared" si="0"/>
        <v>0</v>
      </c>
    </row>
    <row r="13" spans="1:11" x14ac:dyDescent="0.3">
      <c r="A13" s="59"/>
      <c r="B13" s="60"/>
      <c r="C13" s="73"/>
      <c r="D13" s="74"/>
      <c r="E13" s="75"/>
      <c r="F13" s="69"/>
      <c r="G13" s="7" t="s">
        <v>19</v>
      </c>
      <c r="H13" s="8" t="s">
        <v>11</v>
      </c>
      <c r="I13" s="9">
        <f>90/2</f>
        <v>45</v>
      </c>
      <c r="J13" s="10"/>
      <c r="K13" s="11">
        <f t="shared" si="0"/>
        <v>0</v>
      </c>
    </row>
    <row r="14" spans="1:11" ht="26.4" x14ac:dyDescent="0.3">
      <c r="A14" s="59"/>
      <c r="B14" s="60"/>
      <c r="C14" s="73"/>
      <c r="D14" s="74"/>
      <c r="E14" s="75"/>
      <c r="F14" s="69"/>
      <c r="G14" s="7" t="s">
        <v>20</v>
      </c>
      <c r="H14" s="8" t="s">
        <v>21</v>
      </c>
      <c r="I14" s="9">
        <f>D10*44</f>
        <v>6512</v>
      </c>
      <c r="J14" s="10"/>
      <c r="K14" s="11">
        <f t="shared" si="0"/>
        <v>0</v>
      </c>
    </row>
    <row r="15" spans="1:11" x14ac:dyDescent="0.3">
      <c r="A15" s="59">
        <v>3</v>
      </c>
      <c r="B15" s="60" t="s">
        <v>22</v>
      </c>
      <c r="C15" s="73" t="s">
        <v>11</v>
      </c>
      <c r="D15" s="74">
        <v>50</v>
      </c>
      <c r="E15" s="75">
        <v>450</v>
      </c>
      <c r="F15" s="69">
        <f>D15*E15</f>
        <v>22500</v>
      </c>
      <c r="G15" s="7" t="s">
        <v>15</v>
      </c>
      <c r="H15" s="8" t="s">
        <v>16</v>
      </c>
      <c r="I15" s="12">
        <f>D15*50</f>
        <v>2500</v>
      </c>
      <c r="J15" s="8"/>
      <c r="K15" s="11">
        <f t="shared" si="0"/>
        <v>0</v>
      </c>
    </row>
    <row r="16" spans="1:11" x14ac:dyDescent="0.3">
      <c r="A16" s="59"/>
      <c r="B16" s="60"/>
      <c r="C16" s="73"/>
      <c r="D16" s="74"/>
      <c r="E16" s="75"/>
      <c r="F16" s="69"/>
      <c r="G16" s="7" t="s">
        <v>17</v>
      </c>
      <c r="H16" s="8" t="s">
        <v>18</v>
      </c>
      <c r="I16" s="9">
        <f>0.4/2</f>
        <v>0.2</v>
      </c>
      <c r="J16" s="8"/>
      <c r="K16" s="5">
        <f t="shared" si="0"/>
        <v>0</v>
      </c>
    </row>
    <row r="17" spans="1:11" x14ac:dyDescent="0.3">
      <c r="A17" s="59"/>
      <c r="B17" s="60"/>
      <c r="C17" s="73"/>
      <c r="D17" s="74"/>
      <c r="E17" s="75"/>
      <c r="F17" s="69"/>
      <c r="G17" s="7" t="s">
        <v>23</v>
      </c>
      <c r="H17" s="8" t="s">
        <v>13</v>
      </c>
      <c r="I17" s="9">
        <f>D15*0.05*1.02</f>
        <v>2.5499999999999998</v>
      </c>
      <c r="J17" s="10"/>
      <c r="K17" s="5">
        <f t="shared" si="0"/>
        <v>0</v>
      </c>
    </row>
    <row r="18" spans="1:11" x14ac:dyDescent="0.3">
      <c r="A18" s="59"/>
      <c r="B18" s="60"/>
      <c r="C18" s="73"/>
      <c r="D18" s="74"/>
      <c r="E18" s="75"/>
      <c r="F18" s="69"/>
      <c r="G18" s="7" t="s">
        <v>19</v>
      </c>
      <c r="H18" s="8" t="s">
        <v>11</v>
      </c>
      <c r="I18" s="9">
        <f>D15*0.45</f>
        <v>22.5</v>
      </c>
      <c r="J18" s="10"/>
      <c r="K18" s="11">
        <f t="shared" si="0"/>
        <v>0</v>
      </c>
    </row>
    <row r="19" spans="1:11" ht="26.4" x14ac:dyDescent="0.3">
      <c r="A19" s="59"/>
      <c r="B19" s="60"/>
      <c r="C19" s="73"/>
      <c r="D19" s="74"/>
      <c r="E19" s="75"/>
      <c r="F19" s="69"/>
      <c r="G19" s="7" t="s">
        <v>20</v>
      </c>
      <c r="H19" s="8" t="s">
        <v>21</v>
      </c>
      <c r="I19" s="9">
        <f>D15*44</f>
        <v>2200</v>
      </c>
      <c r="J19" s="10"/>
      <c r="K19" s="11">
        <f t="shared" si="0"/>
        <v>0</v>
      </c>
    </row>
    <row r="20" spans="1:11" ht="39.6" x14ac:dyDescent="0.3">
      <c r="A20" s="8">
        <v>4</v>
      </c>
      <c r="B20" s="13" t="s">
        <v>24</v>
      </c>
      <c r="C20" s="6" t="s">
        <v>11</v>
      </c>
      <c r="D20" s="14">
        <f>D15+D10</f>
        <v>198</v>
      </c>
      <c r="E20" s="15">
        <v>90</v>
      </c>
      <c r="F20" s="16">
        <f>D20*E20</f>
        <v>17820</v>
      </c>
      <c r="G20" s="17" t="s">
        <v>25</v>
      </c>
      <c r="H20" s="6" t="s">
        <v>21</v>
      </c>
      <c r="I20" s="14">
        <f>2*D20</f>
        <v>396</v>
      </c>
      <c r="J20" s="15"/>
      <c r="K20" s="16">
        <f t="shared" si="0"/>
        <v>0</v>
      </c>
    </row>
    <row r="21" spans="1:11" ht="26.4" x14ac:dyDescent="0.3">
      <c r="A21" s="8">
        <v>5</v>
      </c>
      <c r="B21" s="18" t="s">
        <v>26</v>
      </c>
      <c r="C21" s="19" t="s">
        <v>27</v>
      </c>
      <c r="D21" s="20">
        <v>40.869999999999997</v>
      </c>
      <c r="E21" s="21">
        <v>1350</v>
      </c>
      <c r="F21" s="22">
        <f>E21*D21</f>
        <v>55174.5</v>
      </c>
      <c r="G21" s="7"/>
      <c r="H21" s="8"/>
      <c r="I21" s="9"/>
      <c r="J21" s="10"/>
      <c r="K21" s="11"/>
    </row>
    <row r="22" spans="1:11" x14ac:dyDescent="0.3">
      <c r="A22" s="8">
        <v>6</v>
      </c>
      <c r="B22" s="23" t="s">
        <v>28</v>
      </c>
      <c r="C22" s="8" t="s">
        <v>11</v>
      </c>
      <c r="D22" s="9">
        <v>48</v>
      </c>
      <c r="E22" s="10">
        <v>70</v>
      </c>
      <c r="F22" s="11">
        <f>D22*E22</f>
        <v>3360</v>
      </c>
      <c r="G22" s="7"/>
      <c r="H22" s="8"/>
      <c r="I22" s="9"/>
      <c r="J22" s="10"/>
      <c r="K22" s="11"/>
    </row>
    <row r="23" spans="1:11" ht="26.4" x14ac:dyDescent="0.3">
      <c r="A23" s="8">
        <v>7</v>
      </c>
      <c r="B23" s="23" t="s">
        <v>29</v>
      </c>
      <c r="C23" s="8"/>
      <c r="D23" s="24"/>
      <c r="E23" s="10"/>
      <c r="F23" s="11"/>
      <c r="G23" s="7" t="s">
        <v>30</v>
      </c>
      <c r="H23" s="8" t="s">
        <v>31</v>
      </c>
      <c r="I23" s="9">
        <v>2</v>
      </c>
      <c r="J23" s="10"/>
      <c r="K23" s="11">
        <f>I23*J23</f>
        <v>0</v>
      </c>
    </row>
    <row r="24" spans="1:11" x14ac:dyDescent="0.3">
      <c r="A24" s="68" t="s">
        <v>32</v>
      </c>
      <c r="B24" s="68"/>
      <c r="C24" s="68"/>
      <c r="D24" s="68"/>
      <c r="E24" s="68"/>
      <c r="F24" s="68"/>
      <c r="G24" s="68"/>
      <c r="H24" s="68"/>
      <c r="I24" s="68"/>
      <c r="J24" s="68"/>
      <c r="K24" s="68"/>
    </row>
    <row r="25" spans="1:11" ht="39.6" x14ac:dyDescent="0.3">
      <c r="A25" s="8">
        <v>1</v>
      </c>
      <c r="B25" s="17" t="s">
        <v>33</v>
      </c>
      <c r="C25" s="8" t="s">
        <v>13</v>
      </c>
      <c r="D25" s="9">
        <f>(I26+I28)/380</f>
        <v>51.973684210526315</v>
      </c>
      <c r="E25" s="10">
        <v>1980</v>
      </c>
      <c r="F25" s="11">
        <f>E25*D25</f>
        <v>102907.89473684211</v>
      </c>
      <c r="G25" s="7" t="s">
        <v>34</v>
      </c>
      <c r="H25" s="8" t="s">
        <v>35</v>
      </c>
      <c r="I25" s="25">
        <v>12</v>
      </c>
      <c r="J25" s="26"/>
      <c r="K25" s="11">
        <f t="shared" ref="K25:K40" si="1">I25*J25</f>
        <v>0</v>
      </c>
    </row>
    <row r="26" spans="1:11" x14ac:dyDescent="0.3">
      <c r="A26" s="59">
        <v>2</v>
      </c>
      <c r="B26" s="60" t="s">
        <v>36</v>
      </c>
      <c r="C26" s="59" t="s">
        <v>37</v>
      </c>
      <c r="D26" s="61">
        <v>16000</v>
      </c>
      <c r="E26" s="62">
        <v>16</v>
      </c>
      <c r="F26" s="46">
        <f>D26*E26</f>
        <v>256000</v>
      </c>
      <c r="G26" s="7" t="s">
        <v>15</v>
      </c>
      <c r="H26" s="8" t="s">
        <v>37</v>
      </c>
      <c r="I26" s="12">
        <f>D26</f>
        <v>16000</v>
      </c>
      <c r="J26" s="8"/>
      <c r="K26" s="11">
        <f t="shared" si="1"/>
        <v>0</v>
      </c>
    </row>
    <row r="27" spans="1:11" ht="26.4" x14ac:dyDescent="0.3">
      <c r="A27" s="59"/>
      <c r="B27" s="60"/>
      <c r="C27" s="59"/>
      <c r="D27" s="61"/>
      <c r="E27" s="62"/>
      <c r="F27" s="46"/>
      <c r="G27" s="7" t="s">
        <v>20</v>
      </c>
      <c r="H27" s="8" t="s">
        <v>21</v>
      </c>
      <c r="I27" s="12">
        <f>D26/75*44</f>
        <v>9386.6666666666679</v>
      </c>
      <c r="J27" s="10"/>
      <c r="K27" s="11">
        <f t="shared" si="1"/>
        <v>0</v>
      </c>
    </row>
    <row r="28" spans="1:11" x14ac:dyDescent="0.3">
      <c r="A28" s="63">
        <v>3</v>
      </c>
      <c r="B28" s="64" t="s">
        <v>38</v>
      </c>
      <c r="C28" s="63" t="s">
        <v>11</v>
      </c>
      <c r="D28" s="65">
        <v>50</v>
      </c>
      <c r="E28" s="66">
        <v>450</v>
      </c>
      <c r="F28" s="67">
        <f>D28*E28</f>
        <v>22500</v>
      </c>
      <c r="G28" s="7" t="s">
        <v>15</v>
      </c>
      <c r="H28" s="8" t="s">
        <v>16</v>
      </c>
      <c r="I28" s="12">
        <f>D28*75</f>
        <v>3750</v>
      </c>
      <c r="J28" s="8"/>
      <c r="K28" s="11">
        <f t="shared" si="1"/>
        <v>0</v>
      </c>
    </row>
    <row r="29" spans="1:11" ht="26.4" x14ac:dyDescent="0.3">
      <c r="A29" s="63"/>
      <c r="B29" s="64"/>
      <c r="C29" s="63"/>
      <c r="D29" s="65"/>
      <c r="E29" s="66"/>
      <c r="F29" s="67"/>
      <c r="G29" s="7" t="s">
        <v>20</v>
      </c>
      <c r="H29" s="8" t="s">
        <v>21</v>
      </c>
      <c r="I29" s="12">
        <f>44*D28</f>
        <v>2200</v>
      </c>
      <c r="J29" s="10"/>
      <c r="K29" s="11">
        <f t="shared" si="1"/>
        <v>0</v>
      </c>
    </row>
    <row r="30" spans="1:11" x14ac:dyDescent="0.3">
      <c r="A30" s="59">
        <v>4</v>
      </c>
      <c r="B30" s="60" t="s">
        <v>39</v>
      </c>
      <c r="C30" s="59" t="s">
        <v>37</v>
      </c>
      <c r="D30" s="61">
        <v>3700</v>
      </c>
      <c r="E30" s="62">
        <v>20</v>
      </c>
      <c r="F30" s="46">
        <f>D30*E30</f>
        <v>74000</v>
      </c>
      <c r="G30" s="7" t="s">
        <v>15</v>
      </c>
      <c r="H30" s="8" t="s">
        <v>37</v>
      </c>
      <c r="I30" s="12">
        <f>D30</f>
        <v>3700</v>
      </c>
      <c r="J30" s="8"/>
      <c r="K30" s="11">
        <f t="shared" si="1"/>
        <v>0</v>
      </c>
    </row>
    <row r="31" spans="1:11" ht="26.4" x14ac:dyDescent="0.3">
      <c r="A31" s="59"/>
      <c r="B31" s="60"/>
      <c r="C31" s="59"/>
      <c r="D31" s="61"/>
      <c r="E31" s="62"/>
      <c r="F31" s="46"/>
      <c r="G31" s="7" t="s">
        <v>20</v>
      </c>
      <c r="H31" s="8" t="s">
        <v>21</v>
      </c>
      <c r="I31" s="12">
        <f>D30/75*44</f>
        <v>2170.666666666667</v>
      </c>
      <c r="J31" s="10"/>
      <c r="K31" s="11">
        <f t="shared" si="1"/>
        <v>0</v>
      </c>
    </row>
    <row r="32" spans="1:11" ht="26.4" x14ac:dyDescent="0.3">
      <c r="A32" s="27"/>
      <c r="B32" s="28" t="s">
        <v>40</v>
      </c>
      <c r="C32" s="27" t="s">
        <v>11</v>
      </c>
      <c r="D32" s="29">
        <f>0.8*0.8*47</f>
        <v>30.080000000000005</v>
      </c>
      <c r="E32" s="30">
        <v>340</v>
      </c>
      <c r="F32" s="31">
        <f>D32*E32</f>
        <v>10227.200000000003</v>
      </c>
      <c r="G32" s="7" t="s">
        <v>41</v>
      </c>
      <c r="H32" s="8" t="s">
        <v>16</v>
      </c>
      <c r="I32" s="12">
        <v>10</v>
      </c>
      <c r="J32" s="10"/>
      <c r="K32" s="11">
        <f t="shared" si="1"/>
        <v>0</v>
      </c>
    </row>
    <row r="33" spans="1:11" x14ac:dyDescent="0.3">
      <c r="A33" s="47">
        <v>5</v>
      </c>
      <c r="B33" s="49" t="s">
        <v>42</v>
      </c>
      <c r="C33" s="51" t="s">
        <v>13</v>
      </c>
      <c r="D33" s="53">
        <v>6</v>
      </c>
      <c r="E33" s="55">
        <v>2340</v>
      </c>
      <c r="F33" s="57">
        <f>E33*D33</f>
        <v>14040</v>
      </c>
      <c r="G33" s="7" t="s">
        <v>15</v>
      </c>
      <c r="H33" s="8" t="s">
        <v>16</v>
      </c>
      <c r="I33" s="12">
        <f>D33*380</f>
        <v>2280</v>
      </c>
      <c r="J33" s="8"/>
      <c r="K33" s="11">
        <f t="shared" si="1"/>
        <v>0</v>
      </c>
    </row>
    <row r="34" spans="1:11" ht="26.4" x14ac:dyDescent="0.3">
      <c r="A34" s="48"/>
      <c r="B34" s="50"/>
      <c r="C34" s="52"/>
      <c r="D34" s="54"/>
      <c r="E34" s="56"/>
      <c r="F34" s="58"/>
      <c r="G34" s="7" t="s">
        <v>20</v>
      </c>
      <c r="H34" s="8" t="s">
        <v>21</v>
      </c>
      <c r="I34" s="12">
        <f>D33*420</f>
        <v>2520</v>
      </c>
      <c r="J34" s="10"/>
      <c r="K34" s="11">
        <f t="shared" si="1"/>
        <v>0</v>
      </c>
    </row>
    <row r="35" spans="1:11" ht="39.6" x14ac:dyDescent="0.3">
      <c r="A35" s="6">
        <v>6</v>
      </c>
      <c r="B35" s="7" t="s">
        <v>43</v>
      </c>
      <c r="C35" s="8" t="s">
        <v>37</v>
      </c>
      <c r="D35" s="9">
        <f>(D26+I28+D30+D37)*0.7</f>
        <v>17479</v>
      </c>
      <c r="E35" s="10">
        <v>18</v>
      </c>
      <c r="F35" s="11">
        <f>D35*E35</f>
        <v>314622</v>
      </c>
      <c r="G35" s="7" t="s">
        <v>44</v>
      </c>
      <c r="H35" s="8" t="s">
        <v>37</v>
      </c>
      <c r="I35" s="12">
        <f>D35/3000</f>
        <v>5.8263333333333334</v>
      </c>
      <c r="J35" s="10"/>
      <c r="K35" s="11">
        <f t="shared" si="1"/>
        <v>0</v>
      </c>
    </row>
    <row r="36" spans="1:11" ht="39.6" x14ac:dyDescent="0.3">
      <c r="A36" s="8">
        <v>7</v>
      </c>
      <c r="B36" s="17" t="s">
        <v>45</v>
      </c>
      <c r="C36" s="6" t="s">
        <v>11</v>
      </c>
      <c r="D36" s="14">
        <f>4360-D20</f>
        <v>4162</v>
      </c>
      <c r="E36" s="15">
        <v>90</v>
      </c>
      <c r="F36" s="16">
        <f>D36*E36</f>
        <v>374580</v>
      </c>
      <c r="G36" s="17" t="s">
        <v>25</v>
      </c>
      <c r="H36" s="6" t="s">
        <v>21</v>
      </c>
      <c r="I36" s="32">
        <f>2*D36</f>
        <v>8324</v>
      </c>
      <c r="J36" s="15"/>
      <c r="K36" s="16">
        <f t="shared" si="1"/>
        <v>0</v>
      </c>
    </row>
    <row r="37" spans="1:11" x14ac:dyDescent="0.3">
      <c r="A37" s="59">
        <v>8</v>
      </c>
      <c r="B37" s="60" t="s">
        <v>46</v>
      </c>
      <c r="C37" s="59" t="s">
        <v>37</v>
      </c>
      <c r="D37" s="61">
        <f>38*40</f>
        <v>1520</v>
      </c>
      <c r="E37" s="62">
        <v>45</v>
      </c>
      <c r="F37" s="46">
        <f>D37*E37</f>
        <v>68400</v>
      </c>
      <c r="G37" s="7" t="s">
        <v>47</v>
      </c>
      <c r="H37" s="8" t="s">
        <v>37</v>
      </c>
      <c r="I37" s="12">
        <f>D37</f>
        <v>1520</v>
      </c>
      <c r="J37" s="10"/>
      <c r="K37" s="11">
        <f t="shared" si="1"/>
        <v>0</v>
      </c>
    </row>
    <row r="38" spans="1:11" ht="26.4" x14ac:dyDescent="0.3">
      <c r="A38" s="59"/>
      <c r="B38" s="60"/>
      <c r="C38" s="59"/>
      <c r="D38" s="61"/>
      <c r="E38" s="62"/>
      <c r="F38" s="46"/>
      <c r="G38" s="7" t="s">
        <v>20</v>
      </c>
      <c r="H38" s="8" t="s">
        <v>21</v>
      </c>
      <c r="I38" s="12">
        <f>D37*0.007/10*1800</f>
        <v>1915.2</v>
      </c>
      <c r="J38" s="10"/>
      <c r="K38" s="11">
        <f t="shared" si="1"/>
        <v>0</v>
      </c>
    </row>
    <row r="39" spans="1:11" x14ac:dyDescent="0.3">
      <c r="A39" s="8">
        <v>9</v>
      </c>
      <c r="B39" s="7" t="s">
        <v>48</v>
      </c>
      <c r="C39" s="8" t="s">
        <v>11</v>
      </c>
      <c r="D39" s="14">
        <f>D36</f>
        <v>4162</v>
      </c>
      <c r="E39" s="10">
        <v>70</v>
      </c>
      <c r="F39" s="11">
        <f>D39*E39</f>
        <v>291340</v>
      </c>
      <c r="G39" s="7" t="s">
        <v>49</v>
      </c>
      <c r="H39" s="8" t="s">
        <v>50</v>
      </c>
      <c r="I39" s="12">
        <f>0.2*D39</f>
        <v>832.40000000000009</v>
      </c>
      <c r="J39" s="10"/>
      <c r="K39" s="11">
        <f t="shared" si="1"/>
        <v>0</v>
      </c>
    </row>
    <row r="40" spans="1:11" ht="26.4" x14ac:dyDescent="0.3">
      <c r="A40" s="8">
        <v>10</v>
      </c>
      <c r="B40" s="23" t="s">
        <v>28</v>
      </c>
      <c r="C40" s="8" t="s">
        <v>11</v>
      </c>
      <c r="D40" s="9">
        <v>1200</v>
      </c>
      <c r="E40" s="10">
        <v>70</v>
      </c>
      <c r="F40" s="11">
        <f>D40*E40</f>
        <v>84000</v>
      </c>
      <c r="G40" s="7" t="s">
        <v>51</v>
      </c>
      <c r="H40" s="8" t="s">
        <v>11</v>
      </c>
      <c r="I40" s="12">
        <v>300</v>
      </c>
      <c r="J40" s="10">
        <v>158</v>
      </c>
      <c r="K40" s="11">
        <f t="shared" si="1"/>
        <v>47400</v>
      </c>
    </row>
    <row r="41" spans="1:11" ht="26.4" x14ac:dyDescent="0.3">
      <c r="A41" s="8">
        <v>11</v>
      </c>
      <c r="B41" s="18" t="s">
        <v>26</v>
      </c>
      <c r="C41" s="19" t="s">
        <v>52</v>
      </c>
      <c r="D41" s="20">
        <v>202.69919999999999</v>
      </c>
      <c r="E41" s="21">
        <v>1350</v>
      </c>
      <c r="F41" s="22">
        <f>E41*D41</f>
        <v>273643.92</v>
      </c>
      <c r="G41" s="7"/>
      <c r="H41" s="8"/>
      <c r="I41" s="12"/>
      <c r="J41" s="10"/>
      <c r="K41" s="11"/>
    </row>
    <row r="42" spans="1:11" ht="26.4" x14ac:dyDescent="0.3">
      <c r="A42" s="8">
        <v>12</v>
      </c>
      <c r="B42" s="23" t="s">
        <v>29</v>
      </c>
      <c r="C42" s="8"/>
      <c r="D42" s="33"/>
      <c r="E42" s="10"/>
      <c r="F42" s="10"/>
      <c r="G42" s="7" t="s">
        <v>30</v>
      </c>
      <c r="H42" s="8" t="s">
        <v>31</v>
      </c>
      <c r="I42" s="12">
        <v>8</v>
      </c>
      <c r="J42" s="10"/>
      <c r="K42" s="11">
        <f>I42*J42</f>
        <v>0</v>
      </c>
    </row>
    <row r="43" spans="1:11" x14ac:dyDescent="0.3">
      <c r="A43" s="5"/>
      <c r="B43" s="34" t="s">
        <v>53</v>
      </c>
      <c r="C43" s="5" t="s">
        <v>54</v>
      </c>
      <c r="D43" s="5"/>
      <c r="E43" s="11"/>
      <c r="F43" s="11">
        <f>SUM(F9:F42)</f>
        <v>2057635.5147368419</v>
      </c>
      <c r="G43" s="35" t="s">
        <v>55</v>
      </c>
      <c r="H43" s="36" t="s">
        <v>54</v>
      </c>
      <c r="I43" s="5"/>
      <c r="J43" s="11"/>
      <c r="K43" s="11">
        <f>SUM(K9:K42)</f>
        <v>47400</v>
      </c>
    </row>
    <row r="44" spans="1:11" x14ac:dyDescent="0.3">
      <c r="A44" s="8"/>
      <c r="B44" s="7" t="s">
        <v>56</v>
      </c>
      <c r="C44" s="8" t="s">
        <v>54</v>
      </c>
      <c r="D44" s="8"/>
      <c r="E44" s="10"/>
      <c r="F44" s="10">
        <f>F43*0.18</f>
        <v>370374.3926526315</v>
      </c>
      <c r="G44" s="37" t="s">
        <v>57</v>
      </c>
      <c r="H44" s="8" t="s">
        <v>58</v>
      </c>
      <c r="I44" s="38"/>
      <c r="J44" s="10"/>
      <c r="K44" s="10">
        <f>((K43-K40-K33-K36-K30-K28-K26-K23-K20-K11-K10-K15-K16-K42)*0.05)</f>
        <v>0</v>
      </c>
    </row>
    <row r="45" spans="1:11" x14ac:dyDescent="0.3">
      <c r="A45" s="5"/>
      <c r="B45" s="35" t="s">
        <v>59</v>
      </c>
      <c r="C45" s="5" t="s">
        <v>54</v>
      </c>
      <c r="D45" s="5"/>
      <c r="E45" s="11"/>
      <c r="F45" s="11">
        <f>F43+K43+F44+K44</f>
        <v>2475409.9073894732</v>
      </c>
      <c r="G45" s="5" t="s">
        <v>60</v>
      </c>
      <c r="H45" s="5"/>
      <c r="I45" s="5"/>
      <c r="J45" s="11"/>
      <c r="K45" s="11"/>
    </row>
    <row r="46" spans="1:11" x14ac:dyDescent="0.3">
      <c r="A46" s="8"/>
      <c r="B46" s="7" t="s">
        <v>61</v>
      </c>
      <c r="C46" s="8"/>
      <c r="D46" s="8"/>
      <c r="E46" s="10"/>
      <c r="F46" s="10">
        <v>0</v>
      </c>
      <c r="G46" s="37"/>
      <c r="H46" s="39"/>
      <c r="I46" s="37"/>
      <c r="J46" s="10"/>
      <c r="K46" s="10"/>
    </row>
    <row r="47" spans="1:11" x14ac:dyDescent="0.3">
      <c r="A47" s="5"/>
      <c r="B47" s="35" t="s">
        <v>62</v>
      </c>
      <c r="C47" s="5" t="s">
        <v>54</v>
      </c>
      <c r="D47" s="5"/>
      <c r="E47" s="11"/>
      <c r="F47" s="11">
        <f>SUM(F45:F46)</f>
        <v>2475409.9073894732</v>
      </c>
      <c r="G47" s="5"/>
      <c r="H47" s="5"/>
      <c r="I47" s="5"/>
      <c r="J47" s="11"/>
      <c r="K47" s="11"/>
    </row>
    <row r="48" spans="1:11" x14ac:dyDescent="0.3">
      <c r="A48" s="4"/>
      <c r="B48" s="40"/>
      <c r="C48" s="4"/>
      <c r="D48" s="4"/>
      <c r="E48" s="41"/>
      <c r="F48" s="41"/>
      <c r="G48" s="4"/>
      <c r="H48" s="4"/>
      <c r="I48" s="4"/>
      <c r="J48" s="41"/>
      <c r="K48" s="41">
        <f>(K43+K44)*1.2</f>
        <v>56880</v>
      </c>
    </row>
    <row r="49" spans="2:7" x14ac:dyDescent="0.3">
      <c r="B49" s="43"/>
      <c r="G49" s="44"/>
    </row>
    <row r="51" spans="2:7" x14ac:dyDescent="0.3">
      <c r="B51" s="45"/>
    </row>
  </sheetData>
  <mergeCells count="47">
    <mergeCell ref="F15:F19"/>
    <mergeCell ref="A4:K4"/>
    <mergeCell ref="A5:K5"/>
    <mergeCell ref="A6:K6"/>
    <mergeCell ref="A8:K8"/>
    <mergeCell ref="A10:A14"/>
    <mergeCell ref="B10:B14"/>
    <mergeCell ref="C10:C14"/>
    <mergeCell ref="D10:D14"/>
    <mergeCell ref="E10:E14"/>
    <mergeCell ref="F10:F14"/>
    <mergeCell ref="A15:A19"/>
    <mergeCell ref="B15:B19"/>
    <mergeCell ref="C15:C19"/>
    <mergeCell ref="D15:D19"/>
    <mergeCell ref="E15:E19"/>
    <mergeCell ref="A24:K24"/>
    <mergeCell ref="A26:A27"/>
    <mergeCell ref="B26:B27"/>
    <mergeCell ref="C26:C27"/>
    <mergeCell ref="D26:D27"/>
    <mergeCell ref="E26:E27"/>
    <mergeCell ref="F26:F27"/>
    <mergeCell ref="F30:F31"/>
    <mergeCell ref="A28:A29"/>
    <mergeCell ref="B28:B29"/>
    <mergeCell ref="C28:C29"/>
    <mergeCell ref="D28:D29"/>
    <mergeCell ref="E28:E29"/>
    <mergeCell ref="F28:F29"/>
    <mergeCell ref="A30:A31"/>
    <mergeCell ref="B30:B31"/>
    <mergeCell ref="C30:C31"/>
    <mergeCell ref="D30:D31"/>
    <mergeCell ref="E30:E31"/>
    <mergeCell ref="F37:F38"/>
    <mergeCell ref="A33:A34"/>
    <mergeCell ref="B33:B34"/>
    <mergeCell ref="C33:C34"/>
    <mergeCell ref="D33:D34"/>
    <mergeCell ref="E33:E34"/>
    <mergeCell ref="F33:F34"/>
    <mergeCell ref="A37:A38"/>
    <mergeCell ref="B37:B38"/>
    <mergeCell ref="C37:C38"/>
    <mergeCell ref="D37:D38"/>
    <mergeCell ref="E37:E3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FEDEDF2713684DBB562DF635CA7492" ma:contentTypeVersion="21" ma:contentTypeDescription="Create a new document." ma:contentTypeScope="" ma:versionID="15b54edd1157fcba8da2fcefe8e7fe61">
  <xsd:schema xmlns:xsd="http://www.w3.org/2001/XMLSchema" xmlns:xs="http://www.w3.org/2001/XMLSchema" xmlns:p="http://schemas.microsoft.com/office/2006/metadata/properties" xmlns:ns2="0dff5752-ff18-4084-8703-f6de6e7b121a" xmlns:ns3="1f2061e5-d3d5-4a1c-a34d-e549926875d7" targetNamespace="http://schemas.microsoft.com/office/2006/metadata/properties" ma:root="true" ma:fieldsID="84fb76337e6c5c0a15ef2497429d565b" ns2:_="" ns3:_="">
    <xsd:import namespace="0dff5752-ff18-4084-8703-f6de6e7b121a"/>
    <xsd:import namespace="1f2061e5-d3d5-4a1c-a34d-e549926875d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_x0070_nj6" minOccurs="0"/>
                <xsd:element ref="ns3:MediaLengthInSeconds" minOccurs="0"/>
                <xsd:element ref="ns3:_x0412__x0440__x0435__x043c__x044f_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ff5752-ff18-4084-8703-f6de6e7b121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9f3c92d3-1a02-4e10-b274-3ee6a5496162}" ma:internalName="TaxCatchAll" ma:showField="CatchAllData" ma:web="0dff5752-ff18-4084-8703-f6de6e7b12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061e5-d3d5-4a1c-a34d-e549926875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x0070_nj6" ma:index="20" nillable="true" ma:displayName="Пользователь или группа" ma:list="UserInfo" ma:internalName="_x0070_nj6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x0412__x0440__x0435__x043c__x044f_" ma:index="22" nillable="true" ma:displayName="Время" ma:format="DateTime" ma:internalName="_x0412__x0440__x0435__x043c__x044f_">
      <xsd:simpleType>
        <xsd:restriction base="dms:DateTime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97b73211-cf8d-4983-b232-52e3632570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dff5752-ff18-4084-8703-f6de6e7b121a" xsi:nil="true"/>
    <lcf76f155ced4ddcb4097134ff3c332f xmlns="1f2061e5-d3d5-4a1c-a34d-e549926875d7">
      <Terms xmlns="http://schemas.microsoft.com/office/infopath/2007/PartnerControls"/>
    </lcf76f155ced4ddcb4097134ff3c332f>
    <_x0412__x0440__x0435__x043c__x044f_ xmlns="1f2061e5-d3d5-4a1c-a34d-e549926875d7" xsi:nil="true"/>
    <_x0070_nj6 xmlns="1f2061e5-d3d5-4a1c-a34d-e549926875d7">
      <UserInfo>
        <DisplayName/>
        <AccountId xsi:nil="true"/>
        <AccountType/>
      </UserInfo>
    </_x0070_nj6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D4A0DA-351D-40A6-B5E7-7E01785C6E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ff5752-ff18-4084-8703-f6de6e7b121a"/>
    <ds:schemaRef ds:uri="1f2061e5-d3d5-4a1c-a34d-e549926875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F0D7BF2-78AA-431C-B301-153009246E90}">
  <ds:schemaRefs>
    <ds:schemaRef ds:uri="1f2061e5-d3d5-4a1c-a34d-e549926875d7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0dff5752-ff18-4084-8703-f6de6e7b121a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DC58904-4F14-4ED2-83DF-268446DBF2A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 Белоусов</dc:creator>
  <cp:lastModifiedBy>Probook</cp:lastModifiedBy>
  <cp:revision/>
  <dcterms:created xsi:type="dcterms:W3CDTF">2025-02-07T11:35:49Z</dcterms:created>
  <dcterms:modified xsi:type="dcterms:W3CDTF">2026-04-17T08:17:49Z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0x0101007DFEDEDF2713684DBB562DF635CA7492</vt:lpwstr>
  </property>
  <property fmtid="{D5CDD505-2E9C-101B-9397-08002B2CF9AE}" pid="3" name="MediaServiceImageTags">
    <vt:lpwstr/>
  </property>
</Properties>
</file>