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ВС Обьекти\ВС500 Васильківська\"/>
    </mc:Choice>
  </mc:AlternateContent>
  <xr:revisionPtr revIDLastSave="0" documentId="8_{59FC44CE-C817-449B-BA7E-8BF13DFF15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М-ДЦ1" sheetId="30" r:id="rId1"/>
    <sheet name="М-ДЦ1 повна" sheetId="29" r:id="rId2"/>
  </sheets>
  <externalReferences>
    <externalReference r:id="rId3"/>
  </externalReferences>
  <definedNames>
    <definedName name="_xlnm._FilterDatabase" localSheetId="0" hidden="1">'М-ДЦ1'!$A$3:$R$136</definedName>
    <definedName name="_xlnm._FilterDatabase" localSheetId="1" hidden="1">'М-ДЦ1 повна'!$A$3:$S$135</definedName>
    <definedName name="configration_form_InsertLine" localSheetId="0">#REF!</definedName>
    <definedName name="configration_form_InsertLine">#REF!</definedName>
    <definedName name="configuration_form_comment" localSheetId="0">#REF!</definedName>
    <definedName name="configuration_form_comment">#REF!</definedName>
    <definedName name="configuration_form_comment11" localSheetId="0">#REF!</definedName>
    <definedName name="configuration_form_comment11">#REF!</definedName>
    <definedName name="configuration_form_end" localSheetId="0">#REF!</definedName>
    <definedName name="configuration_form_end">#REF!</definedName>
    <definedName name="control_form_End" localSheetId="0">#REF!</definedName>
    <definedName name="control_form_End">#REF!</definedName>
    <definedName name="control_form_InsertLine" localSheetId="0">#REF!</definedName>
    <definedName name="control_form_InsertLine">#REF!</definedName>
    <definedName name="cover_comment" localSheetId="0">#REF!</definedName>
    <definedName name="cover_comment">#REF!</definedName>
    <definedName name="cover_ContNo" localSheetId="0">#REF!</definedName>
    <definedName name="cover_ContNo">#REF!</definedName>
    <definedName name="cover_Customer1" localSheetId="0">#REF!</definedName>
    <definedName name="cover_Customer1">#REF!</definedName>
    <definedName name="cover_Customer2" localSheetId="0">#REF!</definedName>
    <definedName name="cover_Customer2">#REF!</definedName>
    <definedName name="cover_Introducer" localSheetId="0">#REF!</definedName>
    <definedName name="cover_Introducer">#REF!</definedName>
    <definedName name="cover_PreparedOn" localSheetId="0">#REF!</definedName>
    <definedName name="cover_PreparedOn">#REF!</definedName>
    <definedName name="electric_InsertCol" localSheetId="0">#REF!</definedName>
    <definedName name="electric_InsertCol">#REF!</definedName>
    <definedName name="electrical_comment5" localSheetId="0">#REF!</definedName>
    <definedName name="electrical_comment5">#REF!</definedName>
    <definedName name="electrical_comment6" localSheetId="0">#REF!</definedName>
    <definedName name="electrical_comment6">#REF!</definedName>
    <definedName name="electrical_comment7" localSheetId="0">#REF!</definedName>
    <definedName name="electrical_comment7">#REF!</definedName>
    <definedName name="electrical_comment8" localSheetId="0">#REF!</definedName>
    <definedName name="electrical_comment8">#REF!</definedName>
    <definedName name="electrical_comments1" localSheetId="0">#REF!</definedName>
    <definedName name="electrical_comments1">#REF!</definedName>
    <definedName name="electrical_comments2" localSheetId="0">#REF!</definedName>
    <definedName name="electrical_comments2">#REF!</definedName>
    <definedName name="electrical_comments3" localSheetId="0">#REF!</definedName>
    <definedName name="electrical_comments3">#REF!</definedName>
    <definedName name="electrical_comments4" localSheetId="0">#REF!</definedName>
    <definedName name="electrical_comments4">#REF!</definedName>
    <definedName name="electrical_End" localSheetId="0">#REF!</definedName>
    <definedName name="electrical_End">#REF!</definedName>
    <definedName name="electrical_InsertLine" localSheetId="0">#REF!</definedName>
    <definedName name="electrical_InsertLine">#REF!</definedName>
    <definedName name="feature_End" localSheetId="0">[1]productfeatures!#REF!</definedName>
    <definedName name="feature_End">[1]productfeatures!#REF!</definedName>
    <definedName name="pipingdesign_End" localSheetId="0">#REF!</definedName>
    <definedName name="pipingdesign_End">#REF!</definedName>
    <definedName name="pipingdesign_image_BLeft" localSheetId="0">#REF!</definedName>
    <definedName name="pipingdesign_image_BLeft">#REF!</definedName>
    <definedName name="pipingdesign_image_BRight" localSheetId="0">#REF!</definedName>
    <definedName name="pipingdesign_image_BRight">#REF!</definedName>
    <definedName name="pipingdesign_image_System" localSheetId="0">#REF!</definedName>
    <definedName name="pipingdesign_image_System">#REF!</definedName>
    <definedName name="pipingdesign_image_TLeft" localSheetId="0">#REF!</definedName>
    <definedName name="pipingdesign_image_TLeft">#REF!</definedName>
    <definedName name="pipingdesign_image_TRight" localSheetId="0">#REF!</definedName>
    <definedName name="pipingdesign_image_TRight">#REF!</definedName>
    <definedName name="pipingdesign_InsertLine" localSheetId="0">#REF!</definedName>
    <definedName name="pipingdesign_InsertLine">#REF!</definedName>
    <definedName name="productinfo_comments1" localSheetId="0">#REF!</definedName>
    <definedName name="productinfo_comments1">#REF!</definedName>
    <definedName name="productinfo_comments2" localSheetId="0">#REF!</definedName>
    <definedName name="productinfo_comments2">#REF!</definedName>
    <definedName name="productinfo_comments3" localSheetId="0">#REF!</definedName>
    <definedName name="productinfo_comments3">#REF!</definedName>
    <definedName name="productinfo_comments4" localSheetId="0">#REF!</definedName>
    <definedName name="productinfo_comments4">#REF!</definedName>
    <definedName name="productinfo_comments5" localSheetId="0">#REF!</definedName>
    <definedName name="productinfo_comments5">#REF!</definedName>
    <definedName name="productinfo_comments6" localSheetId="0">#REF!</definedName>
    <definedName name="productinfo_comments6">#REF!</definedName>
    <definedName name="productinfo_comments7" localSheetId="0">#REF!</definedName>
    <definedName name="productinfo_comments7">#REF!</definedName>
    <definedName name="productinfo_form_End" localSheetId="0">#REF!</definedName>
    <definedName name="productinfo_form_End">#REF!</definedName>
    <definedName name="productinfo_form_InsertLine" localSheetId="0">#REF!</definedName>
    <definedName name="productinfo_form_InsertLine">#REF!</definedName>
    <definedName name="productinfo_form_Keito" localSheetId="0">#REF!</definedName>
    <definedName name="productinfo_form_Keito">#REF!</definedName>
    <definedName name="QWERTY" localSheetId="0">#REF!</definedName>
    <definedName name="QWERTY">#REF!</definedName>
    <definedName name="summary_End" localSheetId="0">#REF!</definedName>
    <definedName name="summary_End">#REF!</definedName>
    <definedName name="summary_Field_End" localSheetId="0">#REF!</definedName>
    <definedName name="summary_Field_End">#REF!</definedName>
    <definedName name="summary_Field_InsertLine" localSheetId="0">#REF!</definedName>
    <definedName name="summary_Field_InsertLine">#REF!</definedName>
    <definedName name="summary_InsertLine" localSheetId="0">#REF!</definedName>
    <definedName name="summary_InsertLine">#REF!</definedName>
    <definedName name="Валюта" localSheetId="0">#REF!</definedName>
    <definedName name="Валюта">#REF!</definedName>
    <definedName name="Еденица" localSheetId="0">#REF!</definedName>
    <definedName name="Еденица">#REF!</definedName>
    <definedName name="еденицы_измерения" localSheetId="0">#REF!</definedName>
    <definedName name="еденицы_измерения">#REF!</definedName>
    <definedName name="матеріали" localSheetId="0">#REF!</definedName>
    <definedName name="матеріали">#REF!</definedName>
    <definedName name="Монтаж_вентиляции" localSheetId="0">#REF!</definedName>
    <definedName name="Монтаж_вентиляции">#REF!</definedName>
    <definedName name="Монтаж_отопления" localSheetId="0">#REF!</definedName>
    <definedName name="Монтаж_отопления">#REF!</definedName>
    <definedName name="_xlnm.Print_Area" localSheetId="0">'М-ДЦ1'!$A$1:$H$136</definedName>
    <definedName name="_xlnm.Print_Area" localSheetId="1">'М-ДЦ1 повна'!$A$1:$I$135</definedName>
    <definedName name="ПДВ" localSheetId="0">#REF!</definedName>
    <definedName name="ПДВ">#REF!</definedName>
    <definedName name="Список" localSheetId="0">#REF!</definedName>
    <definedName name="Список">#REF!</definedName>
    <definedName name="Участники_ср" localSheetId="0">#REF!</definedName>
    <definedName name="Участники_ср">#REF!</definedName>
    <definedName name="ЦЕНА" localSheetId="0">#REF!</definedName>
    <definedName name="ЦЕНА">#REF!</definedName>
    <definedName name="цены_вентиляция" localSheetId="0">#REF!</definedName>
    <definedName name="цены_вентиляция">#REF!</definedName>
    <definedName name="цены_отопления" localSheetId="0">#REF!</definedName>
    <definedName name="цены_отопления">#REF!</definedName>
    <definedName name="цуц" localSheetId="0">#REF!</definedName>
    <definedName name="цуц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29" l="1"/>
  <c r="H136" i="29"/>
  <c r="F7" i="29"/>
  <c r="F7" i="30"/>
  <c r="G135" i="30"/>
  <c r="D132" i="30"/>
  <c r="E130" i="30"/>
  <c r="E134" i="30" s="1"/>
  <c r="E129" i="30"/>
  <c r="G129" i="30" s="1"/>
  <c r="D127" i="30"/>
  <c r="D125" i="30"/>
  <c r="D122" i="30"/>
  <c r="D121" i="30"/>
  <c r="E120" i="30"/>
  <c r="D119" i="30"/>
  <c r="E119" i="30" s="1"/>
  <c r="D118" i="30"/>
  <c r="E118" i="30" s="1"/>
  <c r="G117" i="30"/>
  <c r="C116" i="30"/>
  <c r="D107" i="30"/>
  <c r="E103" i="30"/>
  <c r="E108" i="30" s="1"/>
  <c r="D101" i="30"/>
  <c r="E101" i="30" s="1"/>
  <c r="D99" i="30"/>
  <c r="E99" i="30" s="1"/>
  <c r="D97" i="30"/>
  <c r="E97" i="30" s="1"/>
  <c r="D96" i="30"/>
  <c r="E96" i="30" s="1"/>
  <c r="D95" i="30"/>
  <c r="E95" i="30" s="1"/>
  <c r="D93" i="30"/>
  <c r="E93" i="30" s="1"/>
  <c r="D92" i="30"/>
  <c r="E92" i="30" s="1"/>
  <c r="D91" i="30"/>
  <c r="E91" i="30" s="1"/>
  <c r="D89" i="30"/>
  <c r="E89" i="30" s="1"/>
  <c r="E88" i="30"/>
  <c r="E94" i="30" s="1"/>
  <c r="E98" i="30" s="1"/>
  <c r="E100" i="30" s="1"/>
  <c r="G100" i="30" s="1"/>
  <c r="D86" i="30"/>
  <c r="E86" i="30" s="1"/>
  <c r="D84" i="30"/>
  <c r="E84" i="30" s="1"/>
  <c r="D82" i="30"/>
  <c r="E82" i="30" s="1"/>
  <c r="D81" i="30"/>
  <c r="E81" i="30" s="1"/>
  <c r="D80" i="30"/>
  <c r="E80" i="30" s="1"/>
  <c r="E78" i="30"/>
  <c r="D77" i="30"/>
  <c r="E77" i="30" s="1"/>
  <c r="D76" i="30"/>
  <c r="E76" i="30" s="1"/>
  <c r="D74" i="30"/>
  <c r="E74" i="30" s="1"/>
  <c r="D71" i="30"/>
  <c r="E71" i="30" s="1"/>
  <c r="D69" i="30"/>
  <c r="E69" i="30" s="1"/>
  <c r="D67" i="30"/>
  <c r="E67" i="30" s="1"/>
  <c r="D66" i="30"/>
  <c r="E66" i="30" s="1"/>
  <c r="D65" i="30"/>
  <c r="E65" i="30" s="1"/>
  <c r="E63" i="30"/>
  <c r="D62" i="30"/>
  <c r="E62" i="30" s="1"/>
  <c r="D61" i="30"/>
  <c r="E61" i="30" s="1"/>
  <c r="D59" i="30"/>
  <c r="E59" i="30" s="1"/>
  <c r="D56" i="30"/>
  <c r="E56" i="30" s="1"/>
  <c r="D54" i="30"/>
  <c r="E54" i="30" s="1"/>
  <c r="D52" i="30"/>
  <c r="E52" i="30" s="1"/>
  <c r="D51" i="30"/>
  <c r="E51" i="30" s="1"/>
  <c r="D50" i="30"/>
  <c r="E50" i="30" s="1"/>
  <c r="E48" i="30"/>
  <c r="D47" i="30"/>
  <c r="E47" i="30" s="1"/>
  <c r="D46" i="30"/>
  <c r="E46" i="30" s="1"/>
  <c r="D44" i="30"/>
  <c r="E44" i="30" s="1"/>
  <c r="D41" i="30"/>
  <c r="D39" i="30"/>
  <c r="D36" i="30"/>
  <c r="Q35" i="30"/>
  <c r="P35" i="30"/>
  <c r="D35" i="30"/>
  <c r="Q34" i="30"/>
  <c r="P34" i="30"/>
  <c r="E72" i="30" s="1"/>
  <c r="E73" i="30" s="1"/>
  <c r="Q33" i="30"/>
  <c r="P33" i="30"/>
  <c r="E57" i="30" s="1"/>
  <c r="E58" i="30" s="1"/>
  <c r="Q32" i="30"/>
  <c r="P32" i="30"/>
  <c r="E42" i="30" s="1"/>
  <c r="D32" i="30"/>
  <c r="Q31" i="30"/>
  <c r="P31" i="30"/>
  <c r="D31" i="30"/>
  <c r="D29" i="30"/>
  <c r="E28" i="30"/>
  <c r="E34" i="30" s="1"/>
  <c r="E38" i="30" s="1"/>
  <c r="E17" i="30"/>
  <c r="D16" i="30"/>
  <c r="E14" i="30"/>
  <c r="G14" i="30" s="1"/>
  <c r="D12" i="30"/>
  <c r="H8" i="30"/>
  <c r="E7" i="30"/>
  <c r="E8" i="30" s="1"/>
  <c r="E4" i="30"/>
  <c r="G4" i="30" s="1"/>
  <c r="C3" i="30"/>
  <c r="F4" i="29"/>
  <c r="H117" i="29"/>
  <c r="R35" i="30" l="1"/>
  <c r="E106" i="30"/>
  <c r="E107" i="30"/>
  <c r="E109" i="30"/>
  <c r="E111" i="30" s="1"/>
  <c r="G94" i="30"/>
  <c r="G103" i="30"/>
  <c r="G88" i="30"/>
  <c r="E105" i="30"/>
  <c r="G105" i="30" s="1"/>
  <c r="E75" i="30"/>
  <c r="G75" i="30" s="1"/>
  <c r="E79" i="30"/>
  <c r="G79" i="30" s="1"/>
  <c r="E16" i="30"/>
  <c r="P36" i="30"/>
  <c r="R31" i="30"/>
  <c r="E37" i="30" s="1"/>
  <c r="R34" i="30"/>
  <c r="G130" i="30"/>
  <c r="G128" i="30" s="1"/>
  <c r="F128" i="30" s="1"/>
  <c r="E133" i="30"/>
  <c r="G28" i="30"/>
  <c r="E18" i="30"/>
  <c r="E12" i="30"/>
  <c r="E11" i="30"/>
  <c r="E9" i="30"/>
  <c r="E13" i="30"/>
  <c r="E10" i="30"/>
  <c r="G10" i="30" s="1"/>
  <c r="G8" i="30"/>
  <c r="G38" i="30"/>
  <c r="E40" i="30"/>
  <c r="G40" i="30" s="1"/>
  <c r="E43" i="30"/>
  <c r="E26" i="30"/>
  <c r="H10" i="30" s="1"/>
  <c r="E60" i="30"/>
  <c r="G60" i="30" s="1"/>
  <c r="E64" i="30"/>
  <c r="G58" i="30"/>
  <c r="E5" i="30"/>
  <c r="R33" i="30"/>
  <c r="E83" i="30"/>
  <c r="E124" i="30"/>
  <c r="E122" i="30"/>
  <c r="E121" i="30"/>
  <c r="G120" i="30"/>
  <c r="E3" i="30"/>
  <c r="R32" i="30"/>
  <c r="G34" i="30"/>
  <c r="E36" i="30"/>
  <c r="G73" i="30"/>
  <c r="G98" i="30"/>
  <c r="E123" i="30"/>
  <c r="E15" i="30"/>
  <c r="E30" i="30"/>
  <c r="G30" i="30" s="1"/>
  <c r="E90" i="30"/>
  <c r="G90" i="30" s="1"/>
  <c r="E104" i="30"/>
  <c r="E131" i="30"/>
  <c r="E132" i="30"/>
  <c r="I8" i="29"/>
  <c r="E110" i="30" l="1"/>
  <c r="E112" i="30"/>
  <c r="E32" i="30"/>
  <c r="G109" i="30"/>
  <c r="E33" i="30"/>
  <c r="E35" i="30"/>
  <c r="E41" i="30"/>
  <c r="G27" i="30"/>
  <c r="E31" i="30"/>
  <c r="E29" i="30"/>
  <c r="E39" i="30"/>
  <c r="R36" i="30"/>
  <c r="E114" i="30"/>
  <c r="G112" i="30"/>
  <c r="E113" i="30"/>
  <c r="E45" i="30"/>
  <c r="G45" i="30" s="1"/>
  <c r="G43" i="30"/>
  <c r="E49" i="30"/>
  <c r="G87" i="30"/>
  <c r="E126" i="30"/>
  <c r="E125" i="30"/>
  <c r="G124" i="30"/>
  <c r="G83" i="30"/>
  <c r="E85" i="30"/>
  <c r="G85" i="30" s="1"/>
  <c r="G5" i="30"/>
  <c r="G3" i="30" s="1"/>
  <c r="E6" i="30"/>
  <c r="G64" i="30"/>
  <c r="E68" i="30"/>
  <c r="E22" i="30"/>
  <c r="E19" i="30"/>
  <c r="E20" i="30"/>
  <c r="G18" i="30"/>
  <c r="F14" i="29"/>
  <c r="H4" i="29"/>
  <c r="E132" i="29"/>
  <c r="F130" i="29"/>
  <c r="H130" i="29" s="1"/>
  <c r="F129" i="29"/>
  <c r="H129" i="29" s="1"/>
  <c r="E127" i="29"/>
  <c r="E125" i="29"/>
  <c r="E122" i="29"/>
  <c r="E121" i="29"/>
  <c r="F120" i="29"/>
  <c r="H120" i="29" s="1"/>
  <c r="E119" i="29"/>
  <c r="F119" i="29" s="1"/>
  <c r="E118" i="29"/>
  <c r="F118" i="29" s="1"/>
  <c r="D116" i="29"/>
  <c r="E107" i="29"/>
  <c r="F103" i="29"/>
  <c r="H103" i="29" s="1"/>
  <c r="E101" i="29"/>
  <c r="F101" i="29" s="1"/>
  <c r="E99" i="29"/>
  <c r="F99" i="29" s="1"/>
  <c r="E97" i="29"/>
  <c r="F97" i="29" s="1"/>
  <c r="E96" i="29"/>
  <c r="F96" i="29" s="1"/>
  <c r="E95" i="29"/>
  <c r="F95" i="29" s="1"/>
  <c r="E93" i="29"/>
  <c r="F93" i="29" s="1"/>
  <c r="E92" i="29"/>
  <c r="F92" i="29" s="1"/>
  <c r="E91" i="29"/>
  <c r="F91" i="29" s="1"/>
  <c r="E89" i="29"/>
  <c r="F89" i="29" s="1"/>
  <c r="F88" i="29"/>
  <c r="H88" i="29" s="1"/>
  <c r="E86" i="29"/>
  <c r="F86" i="29" s="1"/>
  <c r="E84" i="29"/>
  <c r="F84" i="29" s="1"/>
  <c r="E82" i="29"/>
  <c r="F82" i="29" s="1"/>
  <c r="E81" i="29"/>
  <c r="F81" i="29" s="1"/>
  <c r="E80" i="29"/>
  <c r="F80" i="29" s="1"/>
  <c r="F78" i="29"/>
  <c r="E77" i="29"/>
  <c r="F77" i="29" s="1"/>
  <c r="E76" i="29"/>
  <c r="F76" i="29" s="1"/>
  <c r="E74" i="29"/>
  <c r="F74" i="29" s="1"/>
  <c r="E71" i="29"/>
  <c r="F71" i="29" s="1"/>
  <c r="E69" i="29"/>
  <c r="F69" i="29" s="1"/>
  <c r="E67" i="29"/>
  <c r="F67" i="29" s="1"/>
  <c r="E66" i="29"/>
  <c r="F66" i="29" s="1"/>
  <c r="E65" i="29"/>
  <c r="F65" i="29" s="1"/>
  <c r="F63" i="29"/>
  <c r="E62" i="29"/>
  <c r="F62" i="29" s="1"/>
  <c r="E61" i="29"/>
  <c r="F61" i="29" s="1"/>
  <c r="E59" i="29"/>
  <c r="F59" i="29" s="1"/>
  <c r="E56" i="29"/>
  <c r="F56" i="29" s="1"/>
  <c r="E54" i="29"/>
  <c r="F54" i="29" s="1"/>
  <c r="E52" i="29"/>
  <c r="F52" i="29" s="1"/>
  <c r="E51" i="29"/>
  <c r="F51" i="29" s="1"/>
  <c r="E50" i="29"/>
  <c r="F50" i="29" s="1"/>
  <c r="F48" i="29"/>
  <c r="E47" i="29"/>
  <c r="F47" i="29" s="1"/>
  <c r="E46" i="29"/>
  <c r="F46" i="29" s="1"/>
  <c r="E44" i="29"/>
  <c r="F44" i="29" s="1"/>
  <c r="E41" i="29"/>
  <c r="E39" i="29"/>
  <c r="E36" i="29"/>
  <c r="R35" i="29"/>
  <c r="Q35" i="29"/>
  <c r="E35" i="29"/>
  <c r="R34" i="29"/>
  <c r="Q34" i="29"/>
  <c r="F72" i="29" s="1"/>
  <c r="F73" i="29" s="1"/>
  <c r="R33" i="29"/>
  <c r="Q33" i="29"/>
  <c r="F57" i="29" s="1"/>
  <c r="F58" i="29" s="1"/>
  <c r="R32" i="29"/>
  <c r="Q32" i="29"/>
  <c r="F42" i="29" s="1"/>
  <c r="E32" i="29"/>
  <c r="R31" i="29"/>
  <c r="Q31" i="29"/>
  <c r="E31" i="29"/>
  <c r="E29" i="29"/>
  <c r="F28" i="29"/>
  <c r="E16" i="29"/>
  <c r="E12" i="29"/>
  <c r="D3" i="29"/>
  <c r="G72" i="30" l="1"/>
  <c r="F72" i="30" s="1"/>
  <c r="E23" i="30"/>
  <c r="E24" i="30"/>
  <c r="G22" i="30"/>
  <c r="G68" i="30"/>
  <c r="E70" i="30"/>
  <c r="G70" i="30" s="1"/>
  <c r="E127" i="30"/>
  <c r="G126" i="30"/>
  <c r="G116" i="30" s="1"/>
  <c r="F116" i="30" s="1"/>
  <c r="F3" i="30"/>
  <c r="G49" i="30"/>
  <c r="E53" i="30"/>
  <c r="E115" i="30"/>
  <c r="G114" i="30"/>
  <c r="G102" i="30" s="1"/>
  <c r="F102" i="30" s="1"/>
  <c r="F30" i="29"/>
  <c r="H30" i="29" s="1"/>
  <c r="H28" i="29"/>
  <c r="H58" i="29"/>
  <c r="H73" i="29"/>
  <c r="H128" i="29"/>
  <c r="G128" i="29" s="1"/>
  <c r="H14" i="29"/>
  <c r="S33" i="29"/>
  <c r="F124" i="29"/>
  <c r="F131" i="29"/>
  <c r="F8" i="29"/>
  <c r="F12" i="29" s="1"/>
  <c r="I7" i="29"/>
  <c r="F109" i="29"/>
  <c r="F110" i="29" s="1"/>
  <c r="F3" i="29"/>
  <c r="Q36" i="29"/>
  <c r="S32" i="29"/>
  <c r="S31" i="29"/>
  <c r="F31" i="29" s="1"/>
  <c r="S34" i="29"/>
  <c r="F34" i="29"/>
  <c r="S35" i="29"/>
  <c r="F132" i="29"/>
  <c r="F134" i="29"/>
  <c r="F107" i="29"/>
  <c r="F16" i="29"/>
  <c r="F17" i="29"/>
  <c r="F15" i="29"/>
  <c r="F26" i="29"/>
  <c r="I10" i="29" s="1"/>
  <c r="F43" i="29"/>
  <c r="F94" i="29"/>
  <c r="H94" i="29" s="1"/>
  <c r="F90" i="29"/>
  <c r="F60" i="29"/>
  <c r="H60" i="29" s="1"/>
  <c r="F64" i="29"/>
  <c r="F75" i="29"/>
  <c r="H75" i="29" s="1"/>
  <c r="F79" i="29"/>
  <c r="F105" i="29"/>
  <c r="H105" i="29" s="1"/>
  <c r="F122" i="29"/>
  <c r="F5" i="29"/>
  <c r="F108" i="29"/>
  <c r="F106" i="29"/>
  <c r="F123" i="29"/>
  <c r="F121" i="29"/>
  <c r="F133" i="29"/>
  <c r="F104" i="29"/>
  <c r="F11" i="29" l="1"/>
  <c r="G57" i="30"/>
  <c r="F57" i="30" s="1"/>
  <c r="G24" i="30"/>
  <c r="G7" i="30" s="1"/>
  <c r="E25" i="30"/>
  <c r="G53" i="30"/>
  <c r="E55" i="30"/>
  <c r="G55" i="30" s="1"/>
  <c r="F35" i="29"/>
  <c r="H79" i="29"/>
  <c r="H64" i="29"/>
  <c r="H90" i="29"/>
  <c r="H109" i="29"/>
  <c r="H5" i="29"/>
  <c r="H3" i="29" s="1"/>
  <c r="H43" i="29"/>
  <c r="F111" i="29"/>
  <c r="F112" i="29"/>
  <c r="F113" i="29" s="1"/>
  <c r="H34" i="29"/>
  <c r="H8" i="29"/>
  <c r="F126" i="29"/>
  <c r="H126" i="29" s="1"/>
  <c r="H124" i="29"/>
  <c r="F36" i="29"/>
  <c r="F18" i="29"/>
  <c r="F20" i="29" s="1"/>
  <c r="F10" i="29"/>
  <c r="F13" i="29"/>
  <c r="F9" i="29"/>
  <c r="S36" i="29"/>
  <c r="F125" i="29"/>
  <c r="F33" i="29"/>
  <c r="F32" i="29"/>
  <c r="F29" i="29"/>
  <c r="F41" i="29"/>
  <c r="F39" i="29"/>
  <c r="F37" i="29"/>
  <c r="F38" i="29"/>
  <c r="H38" i="29" s="1"/>
  <c r="F68" i="29"/>
  <c r="F98" i="29"/>
  <c r="H98" i="29" s="1"/>
  <c r="F83" i="29"/>
  <c r="F6" i="29"/>
  <c r="F49" i="29"/>
  <c r="F45" i="29"/>
  <c r="H45" i="29" s="1"/>
  <c r="G3" i="29" l="1"/>
  <c r="G42" i="30"/>
  <c r="F42" i="30" s="1"/>
  <c r="F127" i="29"/>
  <c r="H83" i="29"/>
  <c r="H68" i="29"/>
  <c r="H18" i="29"/>
  <c r="H116" i="29"/>
  <c r="G116" i="29" s="1"/>
  <c r="H112" i="29"/>
  <c r="H49" i="29"/>
  <c r="F22" i="29"/>
  <c r="F24" i="29" s="1"/>
  <c r="F19" i="29"/>
  <c r="F114" i="29"/>
  <c r="F115" i="29" s="1"/>
  <c r="H10" i="29"/>
  <c r="F40" i="29"/>
  <c r="F100" i="29"/>
  <c r="F85" i="29"/>
  <c r="H85" i="29" s="1"/>
  <c r="F70" i="29"/>
  <c r="H70" i="29" s="1"/>
  <c r="F53" i="29"/>
  <c r="H7" i="29" l="1"/>
  <c r="F23" i="29"/>
  <c r="G26" i="30"/>
  <c r="H72" i="29"/>
  <c r="G72" i="29" s="1"/>
  <c r="H53" i="29"/>
  <c r="H24" i="29"/>
  <c r="H100" i="29"/>
  <c r="H87" i="29" s="1"/>
  <c r="H40" i="29"/>
  <c r="H27" i="29" s="1"/>
  <c r="H114" i="29"/>
  <c r="H102" i="29" s="1"/>
  <c r="G102" i="29" s="1"/>
  <c r="H22" i="29"/>
  <c r="H57" i="29"/>
  <c r="G57" i="29" s="1"/>
  <c r="F55" i="29"/>
  <c r="H55" i="29" s="1"/>
  <c r="F25" i="29"/>
  <c r="F26" i="30" l="1"/>
  <c r="G136" i="30"/>
  <c r="H42" i="29"/>
  <c r="G137" i="30" l="1"/>
  <c r="G138" i="30" s="1"/>
  <c r="H26" i="29"/>
  <c r="H135" i="29" s="1"/>
  <c r="G42" i="29"/>
  <c r="G26" i="29" l="1"/>
  <c r="G7" i="29" l="1"/>
</calcChain>
</file>

<file path=xl/sharedStrings.xml><?xml version="1.0" encoding="utf-8"?>
<sst xmlns="http://schemas.openxmlformats.org/spreadsheetml/2006/main" count="828" uniqueCount="174">
  <si>
    <t xml:space="preserve">№ </t>
  </si>
  <si>
    <t>Найменування робіт, матеріалів та механізмів</t>
  </si>
  <si>
    <t>Код за ДК 016:2010</t>
  </si>
  <si>
    <t>Од. вим.</t>
  </si>
  <si>
    <t>Норма витрат</t>
  </si>
  <si>
    <t>Кіл-ть</t>
  </si>
  <si>
    <t>Ціна, за одиницю</t>
  </si>
  <si>
    <t>Вартість,
всього</t>
  </si>
  <si>
    <t>Демонтаж з існуючого фасаду плитки (40%)</t>
  </si>
  <si>
    <t>1.1</t>
  </si>
  <si>
    <t>Демонтаж існуючої плитки фасаду методом промислового альпінізму з кріпленням захисної сітки та захисту вікон</t>
  </si>
  <si>
    <t>м2</t>
  </si>
  <si>
    <t>1.2</t>
  </si>
  <si>
    <t>Перенесення сміття з навантаженням</t>
  </si>
  <si>
    <t>т</t>
  </si>
  <si>
    <t>1.3</t>
  </si>
  <si>
    <t>Вивезеня сміття з подальшою утилізацією 20т</t>
  </si>
  <si>
    <t>рейс</t>
  </si>
  <si>
    <t>2</t>
  </si>
  <si>
    <t>Влаштування фасаду легким мокрим методом</t>
  </si>
  <si>
    <t>2.1</t>
  </si>
  <si>
    <t>Грунтування поверхні перед кріпленням утеплювача</t>
  </si>
  <si>
    <t>2.1.1</t>
  </si>
  <si>
    <t>Глибокопроникна грунтувальна суміш Baumit Grund</t>
  </si>
  <si>
    <t>кг</t>
  </si>
  <si>
    <t>2.2</t>
  </si>
  <si>
    <t>Кріплення утеплювача</t>
  </si>
  <si>
    <t>2.2.1</t>
  </si>
  <si>
    <t>Клейова суміш Baumit NivoFix</t>
  </si>
  <si>
    <t>2.2.2</t>
  </si>
  <si>
    <t>м3</t>
  </si>
  <si>
    <t>2.2.3</t>
  </si>
  <si>
    <t xml:space="preserve">Дюбель закріплення термоізоляції 160 мм </t>
  </si>
  <si>
    <t>шт</t>
  </si>
  <si>
    <t>2.3</t>
  </si>
  <si>
    <t>Кріплення вирівнюючого шару утеплювача (в місцях демонтажу плитки)</t>
  </si>
  <si>
    <t>2.3.1</t>
  </si>
  <si>
    <t>2.3.2</t>
  </si>
  <si>
    <t>Плити теплоізоляційні з мінеральної вати на  синтетичному звя'зуючому  Izovat 125, t=20мм</t>
  </si>
  <si>
    <t>2.3.3</t>
  </si>
  <si>
    <t xml:space="preserve">Дюбель закріплення термоізоляції 90 мм </t>
  </si>
  <si>
    <t>2.4</t>
  </si>
  <si>
    <t>Нанесення армуючого шару</t>
  </si>
  <si>
    <t>2.4.1</t>
  </si>
  <si>
    <t>Клей-шпаклівна суміш Baumit BauContact</t>
  </si>
  <si>
    <t>2.4.2</t>
  </si>
  <si>
    <t>Склосітка лугостійка Baumit DuoTex, 160 г/м2</t>
  </si>
  <si>
    <t>2.4.3</t>
  </si>
  <si>
    <t>Кутовий профіль зовнішній ПВХ, з сіткою 100х150мм</t>
  </si>
  <si>
    <t>м.п.</t>
  </si>
  <si>
    <t>2.5</t>
  </si>
  <si>
    <t>Грунтування поверхні перед нанесенням декоративного штукатурного шару</t>
  </si>
  <si>
    <t>2.5.1</t>
  </si>
  <si>
    <t>2.6</t>
  </si>
  <si>
    <t>Нанесення декоративного штукатурного шару</t>
  </si>
  <si>
    <t>2.6.1</t>
  </si>
  <si>
    <t>Влаштування декоративних елементів фасаду легким мокрим методом (пілястри)</t>
  </si>
  <si>
    <t>№ типа пилятры</t>
  </si>
  <si>
    <t>Количество</t>
  </si>
  <si>
    <t>Высота одной</t>
  </si>
  <si>
    <t xml:space="preserve">Длина </t>
  </si>
  <si>
    <t>Развертка</t>
  </si>
  <si>
    <t>Площадь</t>
  </si>
  <si>
    <t>2.1.2</t>
  </si>
  <si>
    <t>Декоративний елемент ТИП 2 (b=430+400+430)</t>
  </si>
  <si>
    <t>Декоративний елемент ТИП 3 (b=251+350+251)</t>
  </si>
  <si>
    <t>Декоративний елемент ТИП 4 (b=346+427+427+346)</t>
  </si>
  <si>
    <t>2.4.1.1</t>
  </si>
  <si>
    <t>2.4.2.1</t>
  </si>
  <si>
    <t>2.4.2.2</t>
  </si>
  <si>
    <t>2.4.2.3</t>
  </si>
  <si>
    <t>2.4.3.1</t>
  </si>
  <si>
    <t>2.4.3.2</t>
  </si>
  <si>
    <t>2.4.3.3</t>
  </si>
  <si>
    <t>2.4.4</t>
  </si>
  <si>
    <t>2.4.4.1</t>
  </si>
  <si>
    <t>2.4.5</t>
  </si>
  <si>
    <t>2.4.5.1</t>
  </si>
  <si>
    <t>Декоративний елемент ТИП 4 (b=400+400+400)</t>
  </si>
  <si>
    <t>2.5.1.1</t>
  </si>
  <si>
    <t>2.5.2</t>
  </si>
  <si>
    <t>2.5.2.1</t>
  </si>
  <si>
    <t>2.5.2.2</t>
  </si>
  <si>
    <t>2.5.2.3</t>
  </si>
  <si>
    <t>2.5.3</t>
  </si>
  <si>
    <t>2.5.3.1</t>
  </si>
  <si>
    <t>2.5.3.2</t>
  </si>
  <si>
    <t>2.5.3.3</t>
  </si>
  <si>
    <t>2.5.4</t>
  </si>
  <si>
    <t>2.5.4.1</t>
  </si>
  <si>
    <t>2.5.5</t>
  </si>
  <si>
    <t>2.5.5.1</t>
  </si>
  <si>
    <t>3</t>
  </si>
  <si>
    <t>Влаштування радіусних ділянок фасаду легким мокрим методом</t>
  </si>
  <si>
    <t>3.1</t>
  </si>
  <si>
    <t>3.1.1</t>
  </si>
  <si>
    <t>3.2</t>
  </si>
  <si>
    <t>3.2.1</t>
  </si>
  <si>
    <t>3.2.2</t>
  </si>
  <si>
    <t>3.2.3</t>
  </si>
  <si>
    <t>3.3</t>
  </si>
  <si>
    <t>3.3.1</t>
  </si>
  <si>
    <t>3.3.2</t>
  </si>
  <si>
    <t>3.4</t>
  </si>
  <si>
    <t>3.4.1</t>
  </si>
  <si>
    <t>3.5</t>
  </si>
  <si>
    <t>3.5.1</t>
  </si>
  <si>
    <t>Влаштування відкосів легким мокрим методом</t>
  </si>
  <si>
    <t>Влаштування відкосів з утеплювача</t>
  </si>
  <si>
    <t>3.1.2</t>
  </si>
  <si>
    <t>Нанесення армуючого шару на відкоси</t>
  </si>
  <si>
    <t>Грунтування поверхні відкосів перед нанесенням декоративного штукатурного шару</t>
  </si>
  <si>
    <t>Нанесення декоративного штукатурного шару на відкоси</t>
  </si>
  <si>
    <t>4</t>
  </si>
  <si>
    <t>Влаштування відливів з оцинкованого металу</t>
  </si>
  <si>
    <t>4.1</t>
  </si>
  <si>
    <t>Демонтаж існуючих віконних відливів</t>
  </si>
  <si>
    <t>4.2</t>
  </si>
  <si>
    <t>Виготовлення та монтаж відливів (виготовлення, покраска, монтаж)</t>
  </si>
  <si>
    <t>4.2.1</t>
  </si>
  <si>
    <t>Лист оцинк.з полімерним покриттям 0.5 мм</t>
  </si>
  <si>
    <t>4.2.2</t>
  </si>
  <si>
    <t>Саморіз з пресшайбою 4,2*19</t>
  </si>
  <si>
    <t>4.2.3</t>
  </si>
  <si>
    <t>Клей піна (750мл)</t>
  </si>
  <si>
    <t>4.2.4</t>
  </si>
  <si>
    <t>Герметик поліуретановий прозорий (280мл)</t>
  </si>
  <si>
    <r>
      <rPr>
        <i/>
        <sz val="11"/>
        <rFont val="Calibri"/>
        <family val="2"/>
        <charset val="204"/>
      </rPr>
      <t xml:space="preserve">Плити теплоізоляційні з мінеральної вати на  синтетичному звя'зуючому  Izovat 125, t=50мм
</t>
    </r>
    <r>
      <rPr>
        <b/>
        <i/>
        <sz val="11"/>
        <color rgb="FFFF0000"/>
        <rFont val="Calibri"/>
        <family val="2"/>
        <charset val="204"/>
      </rPr>
      <t>(Поставка Генпідрядника)</t>
    </r>
  </si>
  <si>
    <r>
      <rPr>
        <i/>
        <sz val="11"/>
        <rFont val="Calibri"/>
        <family val="2"/>
        <charset val="204"/>
      </rPr>
      <t xml:space="preserve">Грунт-фарба Baumit UniPrimer для Білого кольору </t>
    </r>
    <r>
      <rPr>
        <b/>
        <i/>
        <sz val="11"/>
        <color rgb="FFFF0000"/>
        <rFont val="Calibri"/>
        <family val="2"/>
        <charset val="204"/>
      </rPr>
      <t>(тип та марка погоджується перед закупівлею)</t>
    </r>
  </si>
  <si>
    <r>
      <rPr>
        <i/>
        <sz val="11"/>
        <rFont val="Calibri"/>
        <family val="2"/>
        <charset val="204"/>
      </rPr>
      <t xml:space="preserve">Декоративна силіконова штукатурна пастоподібна суміш, фактура баранець 1,5К Baumit SilikonTop Білого кольору </t>
    </r>
    <r>
      <rPr>
        <b/>
        <i/>
        <sz val="11"/>
        <color rgb="FFFF0000"/>
        <rFont val="Calibri"/>
        <family val="2"/>
        <charset val="204"/>
      </rPr>
      <t>(тип та марка погоджується перед закупівлею)</t>
    </r>
  </si>
  <si>
    <r>
      <rPr>
        <i/>
        <sz val="11"/>
        <rFont val="Calibri"/>
        <family val="2"/>
        <charset val="204"/>
      </rPr>
      <t xml:space="preserve">Плити теплоізоляційні з мінеральної вати на  синтетичному звя'зуючому  Izovat 125, t=30мм
</t>
    </r>
    <r>
      <rPr>
        <b/>
        <i/>
        <sz val="11"/>
        <color rgb="FFFF0000"/>
        <rFont val="Calibri"/>
        <family val="2"/>
        <charset val="204"/>
      </rPr>
      <t>(Поставка Генпідрядника)</t>
    </r>
  </si>
  <si>
    <r>
      <rPr>
        <i/>
        <sz val="11"/>
        <rFont val="Calibri"/>
        <family val="2"/>
        <charset val="204"/>
      </rPr>
      <t xml:space="preserve">Грунт-фарба Baumit UniPrimer для RAL 9016 </t>
    </r>
    <r>
      <rPr>
        <b/>
        <i/>
        <sz val="11"/>
        <color rgb="FFFF0000"/>
        <rFont val="Calibri"/>
        <family val="2"/>
        <charset val="204"/>
      </rPr>
      <t>(тип та марка погоджується перед закупівлею)</t>
    </r>
  </si>
  <si>
    <r>
      <rPr>
        <i/>
        <sz val="11"/>
        <rFont val="Calibri"/>
        <family val="2"/>
        <charset val="204"/>
      </rPr>
      <t xml:space="preserve">Декоративна силіконова штукатурна пастоподібна суміш, фактура баранець 1,5К Baumit SilikonTop RAL 9016 </t>
    </r>
    <r>
      <rPr>
        <b/>
        <i/>
        <sz val="11"/>
        <color rgb="FFFF0000"/>
        <rFont val="Calibri"/>
        <family val="2"/>
        <charset val="204"/>
      </rPr>
      <t>(тип та марка погоджується перед закупівлею)</t>
    </r>
  </si>
  <si>
    <r>
      <t xml:space="preserve">Грунт-фарба Baumit UniPrimer для Білого кольору </t>
    </r>
    <r>
      <rPr>
        <b/>
        <i/>
        <sz val="11"/>
        <rFont val="Calibri"/>
        <family val="2"/>
        <charset val="204"/>
      </rPr>
      <t>(тип та марка погоджується перед закупівлею)</t>
    </r>
  </si>
  <si>
    <r>
      <t>Декоративний елемент ТИП 1 (</t>
    </r>
    <r>
      <rPr>
        <b/>
        <sz val="11"/>
        <color rgb="FFFF0000"/>
        <rFont val="Calibri"/>
        <family val="2"/>
        <charset val="204"/>
      </rPr>
      <t>b=530+822+530)</t>
    </r>
  </si>
  <si>
    <t xml:space="preserve">Оренда монтажні люльки </t>
  </si>
  <si>
    <t>Всього грн. без ПДВ</t>
  </si>
  <si>
    <t>3.1.1.1</t>
  </si>
  <si>
    <t>3.1.2.1</t>
  </si>
  <si>
    <t>3.1.2.2</t>
  </si>
  <si>
    <t>3.1.2.3</t>
  </si>
  <si>
    <t>3.1.3</t>
  </si>
  <si>
    <t>3.1.3.1</t>
  </si>
  <si>
    <t>3.1.3.2</t>
  </si>
  <si>
    <t>3.1.3.3</t>
  </si>
  <si>
    <t>3.1.4</t>
  </si>
  <si>
    <t>3.1.4.1</t>
  </si>
  <si>
    <t>3.1.5</t>
  </si>
  <si>
    <t>3.1.5.1</t>
  </si>
  <si>
    <t>3.2.1.1</t>
  </si>
  <si>
    <t>3.2.2.1</t>
  </si>
  <si>
    <t>3.2.2.2</t>
  </si>
  <si>
    <t>3.2.2.3</t>
  </si>
  <si>
    <t>3.2.3.1</t>
  </si>
  <si>
    <t>3.2.3.2</t>
  </si>
  <si>
    <t>3.2.3.3</t>
  </si>
  <si>
    <t>3.2.4</t>
  </si>
  <si>
    <t>3.2.4.1</t>
  </si>
  <si>
    <t>3.2.5</t>
  </si>
  <si>
    <t>3.2.5.1</t>
  </si>
  <si>
    <t>3.3.1.1</t>
  </si>
  <si>
    <t>3.3.2.1</t>
  </si>
  <si>
    <t>3.3.2.2</t>
  </si>
  <si>
    <t>3.3.2.3</t>
  </si>
  <si>
    <t>3.3.4</t>
  </si>
  <si>
    <t>3.3.4.1</t>
  </si>
  <si>
    <t>3.3.5</t>
  </si>
  <si>
    <t>3.3.5.1</t>
  </si>
  <si>
    <t>мп</t>
  </si>
  <si>
    <t>мп елементи</t>
  </si>
  <si>
    <t>Вартість грн. (без ПДВ)</t>
  </si>
  <si>
    <t>ПДВ, 20%</t>
  </si>
  <si>
    <t>Всього грн. з ПДВ</t>
  </si>
  <si>
    <t>Вартість робіт, 
грн. (без ПДВ)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</si>
</sst>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₴&quot;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8"/>
      <name val="Calibri"/>
      <family val="2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C6D9F0"/>
      </patternFill>
    </fill>
    <fill>
      <patternFill patternType="solid">
        <fgColor rgb="FFFFFF00"/>
        <bgColor rgb="FFD6E3BC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DE9D9"/>
      </patternFill>
    </fill>
  </fills>
  <borders count="38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4" fillId="0" borderId="0"/>
    <xf numFmtId="0" fontId="11" fillId="0" borderId="0"/>
  </cellStyleXfs>
  <cellXfs count="141">
    <xf numFmtId="0" fontId="0" fillId="0" borderId="0" xfId="0"/>
    <xf numFmtId="0" fontId="6" fillId="0" borderId="0" xfId="6" applyFont="1" applyAlignment="1">
      <alignment vertical="center" wrapText="1"/>
    </xf>
    <xf numFmtId="0" fontId="4" fillId="0" borderId="0" xfId="6"/>
    <xf numFmtId="0" fontId="7" fillId="0" borderId="0" xfId="6" applyFont="1" applyAlignment="1">
      <alignment vertical="center" wrapText="1"/>
    </xf>
    <xf numFmtId="0" fontId="7" fillId="3" borderId="7" xfId="6" applyFont="1" applyFill="1" applyBorder="1" applyAlignment="1">
      <alignment horizontal="center" vertical="center" wrapText="1"/>
    </xf>
    <xf numFmtId="0" fontId="7" fillId="3" borderId="8" xfId="6" applyFont="1" applyFill="1" applyBorder="1" applyAlignment="1">
      <alignment horizontal="center" vertical="center" wrapText="1"/>
    </xf>
    <xf numFmtId="49" fontId="7" fillId="3" borderId="9" xfId="6" applyNumberFormat="1" applyFont="1" applyFill="1" applyBorder="1" applyAlignment="1">
      <alignment horizontal="center" vertical="center" wrapText="1"/>
    </xf>
    <xf numFmtId="4" fontId="7" fillId="3" borderId="10" xfId="6" applyNumberFormat="1" applyFont="1" applyFill="1" applyBorder="1" applyAlignment="1">
      <alignment horizontal="center" vertical="center" wrapText="1"/>
    </xf>
    <xf numFmtId="4" fontId="7" fillId="3" borderId="11" xfId="6" applyNumberFormat="1" applyFont="1" applyFill="1" applyBorder="1" applyAlignment="1">
      <alignment horizontal="center" vertical="center" wrapText="1"/>
    </xf>
    <xf numFmtId="49" fontId="7" fillId="0" borderId="12" xfId="6" applyNumberFormat="1" applyFont="1" applyBorder="1" applyAlignment="1">
      <alignment horizontal="left" vertical="center" wrapText="1"/>
    </xf>
    <xf numFmtId="49" fontId="7" fillId="0" borderId="13" xfId="6" applyNumberFormat="1" applyFont="1" applyBorder="1" applyAlignment="1">
      <alignment horizontal="left" vertical="center" wrapText="1"/>
    </xf>
    <xf numFmtId="49" fontId="7" fillId="0" borderId="14" xfId="6" applyNumberFormat="1" applyFont="1" applyBorder="1" applyAlignment="1">
      <alignment horizontal="left" vertical="center" wrapText="1"/>
    </xf>
    <xf numFmtId="4" fontId="7" fillId="0" borderId="15" xfId="6" applyNumberFormat="1" applyFont="1" applyBorder="1" applyAlignment="1">
      <alignment horizontal="left" vertical="center" wrapText="1"/>
    </xf>
    <xf numFmtId="4" fontId="7" fillId="0" borderId="16" xfId="6" applyNumberFormat="1" applyFont="1" applyBorder="1" applyAlignment="1">
      <alignment horizontal="left" vertical="center" wrapText="1"/>
    </xf>
    <xf numFmtId="4" fontId="9" fillId="0" borderId="9" xfId="6" applyNumberFormat="1" applyFont="1" applyBorder="1" applyAlignment="1">
      <alignment horizontal="center" vertical="center" wrapText="1"/>
    </xf>
    <xf numFmtId="164" fontId="7" fillId="0" borderId="0" xfId="6" applyNumberFormat="1" applyFont="1" applyAlignment="1">
      <alignment vertical="center" wrapText="1"/>
    </xf>
    <xf numFmtId="0" fontId="7" fillId="0" borderId="12" xfId="6" applyFont="1" applyBorder="1" applyAlignment="1">
      <alignment horizontal="left" vertical="center" wrapText="1"/>
    </xf>
    <xf numFmtId="49" fontId="7" fillId="3" borderId="12" xfId="6" applyNumberFormat="1" applyFont="1" applyFill="1" applyBorder="1" applyAlignment="1">
      <alignment horizontal="center" vertical="center" wrapText="1"/>
    </xf>
    <xf numFmtId="49" fontId="7" fillId="3" borderId="8" xfId="6" applyNumberFormat="1" applyFont="1" applyFill="1" applyBorder="1" applyAlignment="1">
      <alignment horizontal="center" vertical="center" wrapText="1"/>
    </xf>
    <xf numFmtId="49" fontId="7" fillId="3" borderId="14" xfId="6" applyNumberFormat="1" applyFont="1" applyFill="1" applyBorder="1" applyAlignment="1">
      <alignment horizontal="center" vertical="center" wrapText="1"/>
    </xf>
    <xf numFmtId="4" fontId="7" fillId="3" borderId="15" xfId="6" applyNumberFormat="1" applyFont="1" applyFill="1" applyBorder="1" applyAlignment="1">
      <alignment horizontal="center" vertical="center" wrapText="1"/>
    </xf>
    <xf numFmtId="4" fontId="7" fillId="3" borderId="16" xfId="6" applyNumberFormat="1" applyFont="1" applyFill="1" applyBorder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49" fontId="8" fillId="0" borderId="12" xfId="6" applyNumberFormat="1" applyFont="1" applyBorder="1" applyAlignment="1">
      <alignment horizontal="right" vertical="center" wrapText="1"/>
    </xf>
    <xf numFmtId="49" fontId="8" fillId="0" borderId="13" xfId="6" applyNumberFormat="1" applyFont="1" applyBorder="1" applyAlignment="1">
      <alignment horizontal="right" vertical="center" wrapText="1"/>
    </xf>
    <xf numFmtId="49" fontId="8" fillId="0" borderId="14" xfId="6" applyNumberFormat="1" applyFont="1" applyBorder="1" applyAlignment="1">
      <alignment horizontal="right" vertical="center" wrapText="1"/>
    </xf>
    <xf numFmtId="4" fontId="8" fillId="0" borderId="15" xfId="6" applyNumberFormat="1" applyFont="1" applyBorder="1" applyAlignment="1">
      <alignment horizontal="right" vertical="center" wrapText="1"/>
    </xf>
    <xf numFmtId="4" fontId="8" fillId="0" borderId="16" xfId="6" applyNumberFormat="1" applyFont="1" applyBorder="1" applyAlignment="1">
      <alignment horizontal="right" vertical="center" wrapText="1"/>
    </xf>
    <xf numFmtId="4" fontId="8" fillId="0" borderId="14" xfId="6" applyNumberFormat="1" applyFont="1" applyBorder="1" applyAlignment="1">
      <alignment horizontal="right" vertical="center" wrapText="1"/>
    </xf>
    <xf numFmtId="0" fontId="8" fillId="0" borderId="0" xfId="6" applyFont="1" applyAlignment="1">
      <alignment vertical="center" wrapText="1"/>
    </xf>
    <xf numFmtId="0" fontId="8" fillId="0" borderId="12" xfId="6" applyFont="1" applyBorder="1" applyAlignment="1">
      <alignment horizontal="right" vertical="center" wrapText="1"/>
    </xf>
    <xf numFmtId="0" fontId="8" fillId="0" borderId="12" xfId="6" applyFont="1" applyBorder="1" applyAlignment="1">
      <alignment horizontal="right" wrapText="1"/>
    </xf>
    <xf numFmtId="0" fontId="8" fillId="0" borderId="0" xfId="6" applyFont="1" applyAlignment="1">
      <alignment horizontal="right" vertical="center" wrapText="1"/>
    </xf>
    <xf numFmtId="49" fontId="7" fillId="5" borderId="12" xfId="6" applyNumberFormat="1" applyFont="1" applyFill="1" applyBorder="1" applyAlignment="1">
      <alignment horizontal="left" vertical="center" wrapText="1"/>
    </xf>
    <xf numFmtId="49" fontId="7" fillId="5" borderId="8" xfId="6" applyNumberFormat="1" applyFont="1" applyFill="1" applyBorder="1" applyAlignment="1">
      <alignment horizontal="center" vertical="center" wrapText="1"/>
    </xf>
    <xf numFmtId="49" fontId="7" fillId="5" borderId="14" xfId="6" applyNumberFormat="1" applyFont="1" applyFill="1" applyBorder="1" applyAlignment="1">
      <alignment horizontal="center" vertical="center" wrapText="1"/>
    </xf>
    <xf numFmtId="4" fontId="7" fillId="5" borderId="15" xfId="6" applyNumberFormat="1" applyFont="1" applyFill="1" applyBorder="1" applyAlignment="1">
      <alignment horizontal="center" vertical="center" wrapText="1"/>
    </xf>
    <xf numFmtId="4" fontId="7" fillId="5" borderId="16" xfId="6" applyNumberFormat="1" applyFont="1" applyFill="1" applyBorder="1" applyAlignment="1">
      <alignment horizontal="center" vertical="center" wrapText="1"/>
    </xf>
    <xf numFmtId="4" fontId="9" fillId="5" borderId="9" xfId="6" applyNumberFormat="1" applyFont="1" applyFill="1" applyBorder="1" applyAlignment="1">
      <alignment horizontal="center" vertical="center" wrapText="1"/>
    </xf>
    <xf numFmtId="0" fontId="8" fillId="0" borderId="15" xfId="6" applyFont="1" applyBorder="1" applyAlignment="1">
      <alignment vertical="center" wrapText="1"/>
    </xf>
    <xf numFmtId="49" fontId="7" fillId="3" borderId="13" xfId="6" applyNumberFormat="1" applyFont="1" applyFill="1" applyBorder="1" applyAlignment="1">
      <alignment horizontal="center" vertical="center" wrapText="1"/>
    </xf>
    <xf numFmtId="2" fontId="7" fillId="3" borderId="14" xfId="6" applyNumberFormat="1" applyFont="1" applyFill="1" applyBorder="1" applyAlignment="1">
      <alignment horizontal="center" vertical="center" wrapText="1"/>
    </xf>
    <xf numFmtId="0" fontId="6" fillId="6" borderId="0" xfId="6" applyFont="1" applyFill="1" applyAlignment="1">
      <alignment vertical="center" wrapText="1"/>
    </xf>
    <xf numFmtId="0" fontId="4" fillId="6" borderId="0" xfId="6" applyFill="1"/>
    <xf numFmtId="0" fontId="6" fillId="7" borderId="12" xfId="6" applyFont="1" applyFill="1" applyBorder="1" applyAlignment="1">
      <alignment horizontal="center" vertical="center" wrapText="1"/>
    </xf>
    <xf numFmtId="49" fontId="6" fillId="7" borderId="14" xfId="6" applyNumberFormat="1" applyFont="1" applyFill="1" applyBorder="1" applyAlignment="1">
      <alignment horizontal="center" vertical="center" wrapText="1"/>
    </xf>
    <xf numFmtId="4" fontId="6" fillId="7" borderId="15" xfId="6" applyNumberFormat="1" applyFont="1" applyFill="1" applyBorder="1" applyAlignment="1">
      <alignment horizontal="center" vertical="center" wrapText="1"/>
    </xf>
    <xf numFmtId="4" fontId="6" fillId="7" borderId="16" xfId="6" applyNumberFormat="1" applyFont="1" applyFill="1" applyBorder="1" applyAlignment="1">
      <alignment horizontal="center" vertical="center" wrapText="1"/>
    </xf>
    <xf numFmtId="4" fontId="8" fillId="7" borderId="14" xfId="6" applyNumberFormat="1" applyFont="1" applyFill="1" applyBorder="1" applyAlignment="1">
      <alignment horizontal="center" vertical="center" wrapText="1"/>
    </xf>
    <xf numFmtId="4" fontId="9" fillId="0" borderId="0" xfId="6" applyNumberFormat="1" applyFont="1" applyAlignment="1">
      <alignment vertical="center" wrapText="1"/>
    </xf>
    <xf numFmtId="4" fontId="7" fillId="0" borderId="0" xfId="6" applyNumberFormat="1" applyFont="1" applyAlignment="1">
      <alignment vertical="center" wrapText="1"/>
    </xf>
    <xf numFmtId="0" fontId="7" fillId="3" borderId="27" xfId="6" applyFont="1" applyFill="1" applyBorder="1" applyAlignment="1">
      <alignment horizontal="center" vertical="center" wrapText="1"/>
    </xf>
    <xf numFmtId="4" fontId="7" fillId="3" borderId="28" xfId="6" applyNumberFormat="1" applyFont="1" applyFill="1" applyBorder="1" applyAlignment="1">
      <alignment horizontal="center" vertical="center" wrapText="1"/>
    </xf>
    <xf numFmtId="49" fontId="7" fillId="4" borderId="29" xfId="6" applyNumberFormat="1" applyFont="1" applyFill="1" applyBorder="1" applyAlignment="1">
      <alignment horizontal="center" vertical="center" wrapText="1"/>
    </xf>
    <xf numFmtId="49" fontId="7" fillId="3" borderId="29" xfId="6" applyNumberFormat="1" applyFont="1" applyFill="1" applyBorder="1" applyAlignment="1">
      <alignment horizontal="center" vertical="center" wrapText="1"/>
    </xf>
    <xf numFmtId="4" fontId="7" fillId="3" borderId="30" xfId="6" applyNumberFormat="1" applyFont="1" applyFill="1" applyBorder="1" applyAlignment="1">
      <alignment horizontal="center" vertical="center" wrapText="1"/>
    </xf>
    <xf numFmtId="49" fontId="8" fillId="4" borderId="29" xfId="6" applyNumberFormat="1" applyFont="1" applyFill="1" applyBorder="1" applyAlignment="1">
      <alignment horizontal="center" vertical="center" wrapText="1"/>
    </xf>
    <xf numFmtId="49" fontId="7" fillId="5" borderId="29" xfId="6" applyNumberFormat="1" applyFont="1" applyFill="1" applyBorder="1" applyAlignment="1">
      <alignment horizontal="center" vertical="center" wrapText="1"/>
    </xf>
    <xf numFmtId="4" fontId="7" fillId="5" borderId="30" xfId="6" applyNumberFormat="1" applyFont="1" applyFill="1" applyBorder="1" applyAlignment="1">
      <alignment horizontal="center" vertical="center" wrapText="1"/>
    </xf>
    <xf numFmtId="49" fontId="7" fillId="0" borderId="29" xfId="6" applyNumberFormat="1" applyFont="1" applyBorder="1" applyAlignment="1">
      <alignment horizontal="center" vertical="center" wrapText="1"/>
    </xf>
    <xf numFmtId="0" fontId="6" fillId="7" borderId="29" xfId="6" applyFont="1" applyFill="1" applyBorder="1" applyAlignment="1">
      <alignment horizontal="center" vertical="center" wrapText="1"/>
    </xf>
    <xf numFmtId="4" fontId="8" fillId="7" borderId="30" xfId="6" applyNumberFormat="1" applyFont="1" applyFill="1" applyBorder="1" applyAlignment="1">
      <alignment horizontal="center" vertical="center" wrapText="1"/>
    </xf>
    <xf numFmtId="4" fontId="7" fillId="2" borderId="32" xfId="6" applyNumberFormat="1" applyFont="1" applyFill="1" applyBorder="1" applyAlignment="1">
      <alignment horizontal="center" vertical="center" wrapText="1"/>
    </xf>
    <xf numFmtId="4" fontId="7" fillId="8" borderId="9" xfId="6" applyNumberFormat="1" applyFont="1" applyFill="1" applyBorder="1" applyAlignment="1">
      <alignment horizontal="center" vertical="center" wrapText="1"/>
    </xf>
    <xf numFmtId="4" fontId="7" fillId="0" borderId="30" xfId="6" applyNumberFormat="1" applyFont="1" applyBorder="1" applyAlignment="1">
      <alignment horizontal="center" vertical="center" wrapText="1"/>
    </xf>
    <xf numFmtId="4" fontId="8" fillId="0" borderId="30" xfId="6" applyNumberFormat="1" applyFont="1" applyBorder="1" applyAlignment="1">
      <alignment horizontal="center" vertical="center" wrapText="1"/>
    </xf>
    <xf numFmtId="0" fontId="4" fillId="0" borderId="0" xfId="6" applyAlignment="1">
      <alignment horizontal="center" vertical="center"/>
    </xf>
    <xf numFmtId="0" fontId="7" fillId="2" borderId="31" xfId="6" applyFont="1" applyFill="1" applyBorder="1" applyAlignment="1">
      <alignment horizontal="right" vertical="center" wrapText="1"/>
    </xf>
    <xf numFmtId="0" fontId="7" fillId="2" borderId="33" xfId="6" applyFont="1" applyFill="1" applyBorder="1" applyAlignment="1">
      <alignment horizontal="right" vertical="center" wrapText="1"/>
    </xf>
    <xf numFmtId="0" fontId="14" fillId="2" borderId="31" xfId="6" applyFont="1" applyFill="1" applyBorder="1" applyAlignment="1">
      <alignment horizontal="right" vertical="center" wrapText="1"/>
    </xf>
    <xf numFmtId="0" fontId="14" fillId="2" borderId="33" xfId="6" applyFont="1" applyFill="1" applyBorder="1" applyAlignment="1">
      <alignment horizontal="right" vertical="center" wrapText="1"/>
    </xf>
    <xf numFmtId="4" fontId="14" fillId="2" borderId="32" xfId="6" applyNumberFormat="1" applyFont="1" applyFill="1" applyBorder="1" applyAlignment="1">
      <alignment horizontal="center" vertical="center" wrapText="1"/>
    </xf>
    <xf numFmtId="0" fontId="7" fillId="9" borderId="27" xfId="6" applyFont="1" applyFill="1" applyBorder="1" applyAlignment="1">
      <alignment horizontal="center" vertical="center" wrapText="1"/>
    </xf>
    <xf numFmtId="0" fontId="7" fillId="9" borderId="7" xfId="6" applyFont="1" applyFill="1" applyBorder="1" applyAlignment="1">
      <alignment horizontal="left" vertical="center" wrapText="1"/>
    </xf>
    <xf numFmtId="49" fontId="7" fillId="9" borderId="9" xfId="6" applyNumberFormat="1" applyFont="1" applyFill="1" applyBorder="1" applyAlignment="1">
      <alignment horizontal="center" vertical="center" wrapText="1"/>
    </xf>
    <xf numFmtId="4" fontId="7" fillId="9" borderId="10" xfId="6" applyNumberFormat="1" applyFont="1" applyFill="1" applyBorder="1" applyAlignment="1">
      <alignment horizontal="center" vertical="center" wrapText="1"/>
    </xf>
    <xf numFmtId="4" fontId="7" fillId="9" borderId="11" xfId="6" applyNumberFormat="1" applyFont="1" applyFill="1" applyBorder="1" applyAlignment="1">
      <alignment horizontal="center" vertical="center" wrapText="1"/>
    </xf>
    <xf numFmtId="4" fontId="7" fillId="9" borderId="9" xfId="6" applyNumberFormat="1" applyFont="1" applyFill="1" applyBorder="1" applyAlignment="1">
      <alignment horizontal="center" vertical="center" wrapText="1"/>
    </xf>
    <xf numFmtId="4" fontId="7" fillId="9" borderId="28" xfId="6" applyNumberFormat="1" applyFont="1" applyFill="1" applyBorder="1" applyAlignment="1">
      <alignment horizontal="center" vertical="center" wrapText="1"/>
    </xf>
    <xf numFmtId="49" fontId="7" fillId="10" borderId="29" xfId="6" applyNumberFormat="1" applyFont="1" applyFill="1" applyBorder="1" applyAlignment="1">
      <alignment horizontal="center" vertical="center" wrapText="1"/>
    </xf>
    <xf numFmtId="49" fontId="7" fillId="6" borderId="12" xfId="6" applyNumberFormat="1" applyFont="1" applyFill="1" applyBorder="1" applyAlignment="1">
      <alignment horizontal="left" vertical="center" wrapText="1"/>
    </xf>
    <xf numFmtId="4" fontId="9" fillId="6" borderId="9" xfId="6" applyNumberFormat="1" applyFont="1" applyFill="1" applyBorder="1" applyAlignment="1">
      <alignment horizontal="center" vertical="center" wrapText="1"/>
    </xf>
    <xf numFmtId="4" fontId="7" fillId="6" borderId="30" xfId="6" applyNumberFormat="1" applyFont="1" applyFill="1" applyBorder="1" applyAlignment="1">
      <alignment horizontal="center" vertical="center" wrapText="1"/>
    </xf>
    <xf numFmtId="4" fontId="7" fillId="6" borderId="14" xfId="6" applyNumberFormat="1" applyFont="1" applyFill="1" applyBorder="1" applyAlignment="1">
      <alignment horizontal="left" vertical="center" wrapText="1"/>
    </xf>
    <xf numFmtId="49" fontId="7" fillId="9" borderId="29" xfId="6" applyNumberFormat="1" applyFont="1" applyFill="1" applyBorder="1" applyAlignment="1">
      <alignment horizontal="center" vertical="center" wrapText="1"/>
    </xf>
    <xf numFmtId="49" fontId="7" fillId="9" borderId="12" xfId="6" applyNumberFormat="1" applyFont="1" applyFill="1" applyBorder="1" applyAlignment="1">
      <alignment horizontal="left" vertical="center" wrapText="1"/>
    </xf>
    <xf numFmtId="49" fontId="7" fillId="9" borderId="14" xfId="6" applyNumberFormat="1" applyFont="1" applyFill="1" applyBorder="1" applyAlignment="1">
      <alignment horizontal="center" vertical="center" wrapText="1"/>
    </xf>
    <xf numFmtId="4" fontId="7" fillId="9" borderId="15" xfId="6" applyNumberFormat="1" applyFont="1" applyFill="1" applyBorder="1" applyAlignment="1">
      <alignment horizontal="center" vertical="center" wrapText="1"/>
    </xf>
    <xf numFmtId="4" fontId="7" fillId="9" borderId="16" xfId="6" applyNumberFormat="1" applyFont="1" applyFill="1" applyBorder="1" applyAlignment="1">
      <alignment horizontal="center" vertical="center" wrapText="1"/>
    </xf>
    <xf numFmtId="4" fontId="7" fillId="9" borderId="30" xfId="6" applyNumberFormat="1" applyFont="1" applyFill="1" applyBorder="1" applyAlignment="1">
      <alignment horizontal="center" vertical="center" wrapText="1"/>
    </xf>
    <xf numFmtId="49" fontId="8" fillId="10" borderId="29" xfId="6" applyNumberFormat="1" applyFont="1" applyFill="1" applyBorder="1" applyAlignment="1">
      <alignment horizontal="center" vertical="center" wrapText="1"/>
    </xf>
    <xf numFmtId="49" fontId="8" fillId="6" borderId="12" xfId="6" applyNumberFormat="1" applyFont="1" applyFill="1" applyBorder="1" applyAlignment="1">
      <alignment horizontal="left" vertical="center" wrapText="1"/>
    </xf>
    <xf numFmtId="4" fontId="8" fillId="6" borderId="14" xfId="6" applyNumberFormat="1" applyFont="1" applyFill="1" applyBorder="1" applyAlignment="1">
      <alignment horizontal="right" vertical="center" wrapText="1"/>
    </xf>
    <xf numFmtId="4" fontId="8" fillId="6" borderId="30" xfId="6" applyNumberFormat="1" applyFont="1" applyFill="1" applyBorder="1" applyAlignment="1">
      <alignment horizontal="center" vertical="center" wrapText="1"/>
    </xf>
    <xf numFmtId="0" fontId="8" fillId="6" borderId="12" xfId="6" applyFont="1" applyFill="1" applyBorder="1" applyAlignment="1">
      <alignment horizontal="left" vertical="center" wrapText="1"/>
    </xf>
    <xf numFmtId="0" fontId="8" fillId="6" borderId="12" xfId="6" applyFont="1" applyFill="1" applyBorder="1" applyAlignment="1">
      <alignment horizontal="left" wrapText="1"/>
    </xf>
    <xf numFmtId="49" fontId="7" fillId="11" borderId="29" xfId="6" applyNumberFormat="1" applyFont="1" applyFill="1" applyBorder="1" applyAlignment="1">
      <alignment horizontal="center" vertical="center" wrapText="1"/>
    </xf>
    <xf numFmtId="49" fontId="7" fillId="11" borderId="12" xfId="6" applyNumberFormat="1" applyFont="1" applyFill="1" applyBorder="1" applyAlignment="1">
      <alignment horizontal="left" vertical="center" wrapText="1"/>
    </xf>
    <xf numFmtId="49" fontId="7" fillId="11" borderId="14" xfId="6" applyNumberFormat="1" applyFont="1" applyFill="1" applyBorder="1" applyAlignment="1">
      <alignment horizontal="center" vertical="center" wrapText="1"/>
    </xf>
    <xf numFmtId="4" fontId="7" fillId="11" borderId="15" xfId="6" applyNumberFormat="1" applyFont="1" applyFill="1" applyBorder="1" applyAlignment="1">
      <alignment horizontal="center" vertical="center" wrapText="1"/>
    </xf>
    <xf numFmtId="4" fontId="7" fillId="11" borderId="16" xfId="6" applyNumberFormat="1" applyFont="1" applyFill="1" applyBorder="1" applyAlignment="1">
      <alignment horizontal="center" vertical="center" wrapText="1"/>
    </xf>
    <xf numFmtId="4" fontId="9" fillId="11" borderId="9" xfId="6" applyNumberFormat="1" applyFont="1" applyFill="1" applyBorder="1" applyAlignment="1">
      <alignment horizontal="center" vertical="center" wrapText="1"/>
    </xf>
    <xf numFmtId="4" fontId="7" fillId="11" borderId="30" xfId="6" applyNumberFormat="1" applyFont="1" applyFill="1" applyBorder="1" applyAlignment="1">
      <alignment horizontal="center" vertical="center" wrapText="1"/>
    </xf>
    <xf numFmtId="49" fontId="7" fillId="6" borderId="14" xfId="6" applyNumberFormat="1" applyFont="1" applyFill="1" applyBorder="1" applyAlignment="1">
      <alignment horizontal="center" vertical="center" wrapText="1"/>
    </xf>
    <xf numFmtId="4" fontId="7" fillId="6" borderId="15" xfId="6" applyNumberFormat="1" applyFont="1" applyFill="1" applyBorder="1" applyAlignment="1">
      <alignment horizontal="center" vertical="center" wrapText="1"/>
    </xf>
    <xf numFmtId="4" fontId="7" fillId="6" borderId="16" xfId="6" applyNumberFormat="1" applyFont="1" applyFill="1" applyBorder="1" applyAlignment="1">
      <alignment horizontal="center" vertical="center" wrapText="1"/>
    </xf>
    <xf numFmtId="49" fontId="8" fillId="6" borderId="14" xfId="6" applyNumberFormat="1" applyFont="1" applyFill="1" applyBorder="1" applyAlignment="1">
      <alignment horizontal="center" vertical="center" wrapText="1"/>
    </xf>
    <xf numFmtId="4" fontId="8" fillId="6" borderId="15" xfId="6" applyNumberFormat="1" applyFont="1" applyFill="1" applyBorder="1" applyAlignment="1">
      <alignment horizontal="center" vertical="center" wrapText="1"/>
    </xf>
    <xf numFmtId="4" fontId="8" fillId="6" borderId="16" xfId="6" applyNumberFormat="1" applyFont="1" applyFill="1" applyBorder="1" applyAlignment="1">
      <alignment horizontal="center" vertical="center" wrapText="1"/>
    </xf>
    <xf numFmtId="165" fontId="8" fillId="6" borderId="15" xfId="6" applyNumberFormat="1" applyFont="1" applyFill="1" applyBorder="1" applyAlignment="1">
      <alignment horizontal="center" vertical="center" wrapText="1"/>
    </xf>
    <xf numFmtId="0" fontId="14" fillId="2" borderId="34" xfId="6" applyFont="1" applyFill="1" applyBorder="1" applyAlignment="1">
      <alignment horizontal="right" vertical="center" wrapText="1"/>
    </xf>
    <xf numFmtId="0" fontId="14" fillId="2" borderId="35" xfId="6" applyFont="1" applyFill="1" applyBorder="1" applyAlignment="1">
      <alignment horizontal="right" vertical="center" wrapText="1"/>
    </xf>
    <xf numFmtId="0" fontId="14" fillId="2" borderId="36" xfId="6" applyFont="1" applyFill="1" applyBorder="1" applyAlignment="1">
      <alignment horizontal="right" vertical="center" wrapText="1"/>
    </xf>
    <xf numFmtId="0" fontId="14" fillId="2" borderId="37" xfId="6" applyFont="1" applyFill="1" applyBorder="1" applyAlignment="1">
      <alignment horizontal="right" vertical="center" wrapText="1"/>
    </xf>
    <xf numFmtId="49" fontId="7" fillId="0" borderId="14" xfId="6" applyNumberFormat="1" applyFont="1" applyBorder="1" applyAlignment="1">
      <alignment horizontal="center" vertical="center" wrapText="1"/>
    </xf>
    <xf numFmtId="4" fontId="7" fillId="0" borderId="15" xfId="6" applyNumberFormat="1" applyFont="1" applyBorder="1" applyAlignment="1">
      <alignment horizontal="center" vertical="center" wrapText="1"/>
    </xf>
    <xf numFmtId="4" fontId="7" fillId="0" borderId="16" xfId="6" applyNumberFormat="1" applyFont="1" applyBorder="1" applyAlignment="1">
      <alignment horizontal="center" vertical="center" wrapText="1"/>
    </xf>
    <xf numFmtId="4" fontId="7" fillId="0" borderId="14" xfId="6" applyNumberFormat="1" applyFont="1" applyBorder="1" applyAlignment="1">
      <alignment horizontal="center" vertical="center" wrapText="1"/>
    </xf>
    <xf numFmtId="49" fontId="8" fillId="0" borderId="14" xfId="6" applyNumberFormat="1" applyFont="1" applyBorder="1" applyAlignment="1">
      <alignment horizontal="center" vertical="center" wrapText="1"/>
    </xf>
    <xf numFmtId="4" fontId="8" fillId="0" borderId="15" xfId="6" applyNumberFormat="1" applyFont="1" applyBorder="1" applyAlignment="1">
      <alignment horizontal="center" vertical="center" wrapText="1"/>
    </xf>
    <xf numFmtId="4" fontId="8" fillId="0" borderId="16" xfId="6" applyNumberFormat="1" applyFont="1" applyBorder="1" applyAlignment="1">
      <alignment horizontal="center" vertical="center" wrapText="1"/>
    </xf>
    <xf numFmtId="4" fontId="8" fillId="0" borderId="14" xfId="6" applyNumberFormat="1" applyFont="1" applyBorder="1" applyAlignment="1">
      <alignment horizontal="center" vertical="center" wrapText="1"/>
    </xf>
    <xf numFmtId="165" fontId="8" fillId="0" borderId="15" xfId="6" applyNumberFormat="1" applyFont="1" applyBorder="1" applyAlignment="1">
      <alignment horizontal="center" vertical="center" wrapText="1"/>
    </xf>
    <xf numFmtId="0" fontId="7" fillId="2" borderId="37" xfId="6" applyFont="1" applyFill="1" applyBorder="1" applyAlignment="1">
      <alignment horizontal="right" vertical="center" wrapText="1"/>
    </xf>
    <xf numFmtId="0" fontId="7" fillId="2" borderId="17" xfId="6" applyFont="1" applyFill="1" applyBorder="1" applyAlignment="1">
      <alignment horizontal="center" vertical="center" wrapText="1"/>
    </xf>
    <xf numFmtId="0" fontId="7" fillId="2" borderId="18" xfId="6" applyFont="1" applyFill="1" applyBorder="1" applyAlignment="1">
      <alignment horizontal="center" vertical="center" wrapText="1"/>
    </xf>
    <xf numFmtId="0" fontId="7" fillId="2" borderId="19" xfId="6" applyFont="1" applyFill="1" applyBorder="1" applyAlignment="1">
      <alignment horizontal="center" vertical="center" wrapText="1"/>
    </xf>
    <xf numFmtId="49" fontId="7" fillId="2" borderId="20" xfId="6" applyNumberFormat="1" applyFont="1" applyFill="1" applyBorder="1" applyAlignment="1">
      <alignment horizontal="center" vertical="center" wrapText="1"/>
    </xf>
    <xf numFmtId="4" fontId="7" fillId="2" borderId="21" xfId="6" applyNumberFormat="1" applyFont="1" applyFill="1" applyBorder="1" applyAlignment="1">
      <alignment horizontal="center" vertical="center" wrapText="1"/>
    </xf>
    <xf numFmtId="0" fontId="7" fillId="2" borderId="22" xfId="6" applyFont="1" applyFill="1" applyBorder="1" applyAlignment="1">
      <alignment horizontal="center" vertical="center" wrapText="1"/>
    </xf>
    <xf numFmtId="0" fontId="9" fillId="2" borderId="23" xfId="6" applyFont="1" applyFill="1" applyBorder="1" applyAlignment="1">
      <alignment horizontal="center" vertical="center" wrapText="1"/>
    </xf>
    <xf numFmtId="0" fontId="9" fillId="2" borderId="24" xfId="6" applyFont="1" applyFill="1" applyBorder="1" applyAlignment="1">
      <alignment horizontal="center" vertical="center" wrapText="1"/>
    </xf>
    <xf numFmtId="0" fontId="15" fillId="0" borderId="0" xfId="6" applyFont="1"/>
    <xf numFmtId="0" fontId="16" fillId="0" borderId="25" xfId="6" applyFont="1" applyBorder="1"/>
    <xf numFmtId="0" fontId="16" fillId="0" borderId="1" xfId="6" applyFont="1" applyBorder="1"/>
    <xf numFmtId="0" fontId="16" fillId="0" borderId="2" xfId="6" applyFont="1" applyBorder="1"/>
    <xf numFmtId="0" fontId="16" fillId="0" borderId="3" xfId="6" applyFont="1" applyBorder="1"/>
    <xf numFmtId="0" fontId="16" fillId="0" borderId="4" xfId="6" applyFont="1" applyBorder="1"/>
    <xf numFmtId="0" fontId="16" fillId="0" borderId="5" xfId="6" applyFont="1" applyBorder="1"/>
    <xf numFmtId="0" fontId="9" fillId="2" borderId="6" xfId="6" applyFont="1" applyFill="1" applyBorder="1" applyAlignment="1">
      <alignment horizontal="center" vertical="center" wrapText="1"/>
    </xf>
    <xf numFmtId="0" fontId="9" fillId="2" borderId="26" xfId="6" applyFont="1" applyFill="1" applyBorder="1" applyAlignment="1">
      <alignment horizontal="center" vertical="center" wrapText="1"/>
    </xf>
  </cellXfs>
  <cellStyles count="8">
    <cellStyle name="Звичайний" xfId="0" builtinId="0"/>
    <cellStyle name="Обычный 2" xfId="1" xr:uid="{00000000-0005-0000-0000-000001000000}"/>
    <cellStyle name="Обычный 3" xfId="3" xr:uid="{00000000-0005-0000-0000-000002000000}"/>
    <cellStyle name="Обычный 4" xfId="5" xr:uid="{00000000-0005-0000-0000-000003000000}"/>
    <cellStyle name="Обычный 5" xfId="6" xr:uid="{00000000-0005-0000-0000-000004000000}"/>
    <cellStyle name="Обычный 6" xfId="7" xr:uid="{00000000-0005-0000-0000-000005000000}"/>
    <cellStyle name="Обычный 7" xfId="4" xr:uid="{00000000-0005-0000-0000-000006000000}"/>
    <cellStyle name="Финансовый 2" xfId="2" xr:uid="{00000000-0005-0000-0000-000007000000}"/>
  </cellStyles>
  <dxfs count="84"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colors>
    <mruColors>
      <color rgb="FF0032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88;&#1091;&#1089;&#1090;&#1072;&#1084;\Documents%20and%20Settings\Admin\Application%20Data\Perfect%20Design\Piping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contentsdata"/>
      <sheetName val="quotation"/>
      <sheetName val="control"/>
      <sheetName val="control_form"/>
      <sheetName val="configuration"/>
      <sheetName val="configuration_form"/>
      <sheetName val="productinfo_form"/>
      <sheetName val="productinfo"/>
      <sheetName val="pipingdesign_image"/>
      <sheetName val="pipingdesign"/>
      <sheetName val="pipingdesigndata"/>
      <sheetName val="electrical"/>
      <sheetName val="electrical2"/>
      <sheetName val="summarylist"/>
      <sheetName val="summary"/>
      <sheetName val="summary_field"/>
      <sheetName val="summarydata"/>
      <sheetName val="productfeatures"/>
      <sheetName val="memo"/>
      <sheetName val="Setting"/>
      <sheetName val="content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R138"/>
  <sheetViews>
    <sheetView tabSelected="1" zoomScaleNormal="100" zoomScaleSheetLayoutView="70" workbookViewId="0">
      <selection activeCell="G136" sqref="G136"/>
    </sheetView>
  </sheetViews>
  <sheetFormatPr defaultColWidth="14.44140625" defaultRowHeight="15" customHeight="1" outlineLevelRow="2" x14ac:dyDescent="0.3"/>
  <cols>
    <col min="1" max="1" width="8.5546875" style="2" customWidth="1"/>
    <col min="2" max="2" width="60" style="2" customWidth="1"/>
    <col min="3" max="3" width="9.5546875" style="2" customWidth="1"/>
    <col min="4" max="4" width="9.5546875" style="2" hidden="1" customWidth="1"/>
    <col min="5" max="5" width="9.88671875" style="2" customWidth="1"/>
    <col min="6" max="6" width="13.5546875" style="2" customWidth="1"/>
    <col min="7" max="7" width="15.88671875" style="66" customWidth="1"/>
    <col min="8" max="10" width="13" style="2" customWidth="1"/>
    <col min="11" max="11" width="9.109375" style="2" customWidth="1"/>
    <col min="12" max="12" width="7.44140625" style="2" customWidth="1"/>
    <col min="13" max="13" width="11.6640625" style="2" customWidth="1"/>
    <col min="14" max="14" width="12.109375" style="2" customWidth="1"/>
    <col min="15" max="18" width="9.109375" style="2" customWidth="1"/>
    <col min="19" max="16384" width="14.44140625" style="2"/>
  </cols>
  <sheetData>
    <row r="1" spans="1:18" s="132" customFormat="1" ht="49.5" customHeight="1" x14ac:dyDescent="0.3">
      <c r="A1" s="124" t="s">
        <v>0</v>
      </c>
      <c r="B1" s="125" t="s">
        <v>1</v>
      </c>
      <c r="C1" s="127" t="s">
        <v>3</v>
      </c>
      <c r="D1" s="128" t="s">
        <v>4</v>
      </c>
      <c r="E1" s="129" t="s">
        <v>5</v>
      </c>
      <c r="F1" s="130" t="s">
        <v>170</v>
      </c>
      <c r="G1" s="131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132" customFormat="1" ht="30" customHeight="1" thickBot="1" x14ac:dyDescent="0.35">
      <c r="A2" s="133"/>
      <c r="B2" s="134"/>
      <c r="C2" s="136"/>
      <c r="D2" s="137"/>
      <c r="E2" s="138"/>
      <c r="F2" s="139" t="s">
        <v>6</v>
      </c>
      <c r="G2" s="140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3.4" customHeight="1" x14ac:dyDescent="0.3">
      <c r="A3" s="72">
        <v>1</v>
      </c>
      <c r="B3" s="73" t="s">
        <v>8</v>
      </c>
      <c r="C3" s="74" t="str">
        <f>C4</f>
        <v>м2</v>
      </c>
      <c r="D3" s="75"/>
      <c r="E3" s="76">
        <f>E4</f>
        <v>1434.31</v>
      </c>
      <c r="F3" s="77">
        <f>ROUND(G3/E3,0)</f>
        <v>157</v>
      </c>
      <c r="G3" s="78">
        <f>SUM(G4:G6)</f>
        <v>225841.43251499999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7.799999999999997" customHeight="1" x14ac:dyDescent="0.3">
      <c r="A4" s="72" t="s">
        <v>9</v>
      </c>
      <c r="B4" s="73" t="s">
        <v>10</v>
      </c>
      <c r="C4" s="74" t="s">
        <v>11</v>
      </c>
      <c r="D4" s="75"/>
      <c r="E4" s="76">
        <f>1434.31</f>
        <v>1434.31</v>
      </c>
      <c r="F4" s="77">
        <v>138</v>
      </c>
      <c r="G4" s="78">
        <f>F4*E4</f>
        <v>197934.78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3.4" customHeight="1" collapsed="1" x14ac:dyDescent="0.3">
      <c r="A5" s="72" t="s">
        <v>12</v>
      </c>
      <c r="B5" s="73" t="s">
        <v>13</v>
      </c>
      <c r="C5" s="74" t="s">
        <v>14</v>
      </c>
      <c r="D5" s="75"/>
      <c r="E5" s="76">
        <f>((0.025*1700+12)*E4)/1000</f>
        <v>78.169895000000011</v>
      </c>
      <c r="F5" s="77">
        <v>357</v>
      </c>
      <c r="G5" s="78">
        <f>F5*E5</f>
        <v>27906.652515000005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2.4" hidden="1" customHeight="1" outlineLevel="2" x14ac:dyDescent="0.3">
      <c r="A6" s="79" t="s">
        <v>15</v>
      </c>
      <c r="B6" s="80" t="s">
        <v>16</v>
      </c>
      <c r="C6" s="103" t="s">
        <v>17</v>
      </c>
      <c r="D6" s="104"/>
      <c r="E6" s="105">
        <f>_xlfn.CEILING.MATH(E5/20)</f>
        <v>4</v>
      </c>
      <c r="F6" s="83"/>
      <c r="G6" s="82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3.4" customHeight="1" collapsed="1" x14ac:dyDescent="0.3">
      <c r="A7" s="72" t="s">
        <v>18</v>
      </c>
      <c r="B7" s="73" t="s">
        <v>19</v>
      </c>
      <c r="C7" s="74" t="s">
        <v>11</v>
      </c>
      <c r="D7" s="75"/>
      <c r="E7" s="76">
        <f>2580.09+860.27</f>
        <v>3440.36</v>
      </c>
      <c r="F7" s="77">
        <f>ROUND(G7/E7,0)</f>
        <v>625</v>
      </c>
      <c r="G7" s="78">
        <f>SUM(G8:G25)</f>
        <v>2150912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2.4" hidden="1" customHeight="1" outlineLevel="2" x14ac:dyDescent="0.3">
      <c r="A8" s="79" t="s">
        <v>20</v>
      </c>
      <c r="B8" s="80" t="s">
        <v>21</v>
      </c>
      <c r="C8" s="103" t="s">
        <v>11</v>
      </c>
      <c r="D8" s="104"/>
      <c r="E8" s="105">
        <f>E7</f>
        <v>3440.36</v>
      </c>
      <c r="F8" s="81">
        <v>27</v>
      </c>
      <c r="G8" s="82">
        <f>F8*E8</f>
        <v>92889.72</v>
      </c>
      <c r="H8" s="50">
        <f>E116</f>
        <v>1090.4000000000001</v>
      </c>
      <c r="I8" s="3" t="s">
        <v>168</v>
      </c>
      <c r="J8" s="3"/>
      <c r="K8" s="3"/>
      <c r="L8" s="3"/>
      <c r="M8" s="3"/>
      <c r="N8" s="3"/>
      <c r="O8" s="3"/>
      <c r="P8" s="3"/>
      <c r="Q8" s="3"/>
      <c r="R8" s="3"/>
    </row>
    <row r="9" spans="1:18" ht="32.4" hidden="1" customHeight="1" outlineLevel="2" x14ac:dyDescent="0.3">
      <c r="A9" s="90" t="s">
        <v>22</v>
      </c>
      <c r="B9" s="91" t="s">
        <v>23</v>
      </c>
      <c r="C9" s="106" t="s">
        <v>24</v>
      </c>
      <c r="D9" s="107">
        <v>0.15</v>
      </c>
      <c r="E9" s="108">
        <f>E8*D9</f>
        <v>516.05399999999997</v>
      </c>
      <c r="F9" s="92"/>
      <c r="G9" s="93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ht="32.4" hidden="1" customHeight="1" outlineLevel="2" x14ac:dyDescent="0.3">
      <c r="A10" s="79" t="s">
        <v>25</v>
      </c>
      <c r="B10" s="80" t="s">
        <v>26</v>
      </c>
      <c r="C10" s="103" t="s">
        <v>11</v>
      </c>
      <c r="D10" s="104"/>
      <c r="E10" s="105">
        <f>E8</f>
        <v>3440.36</v>
      </c>
      <c r="F10" s="81">
        <v>268</v>
      </c>
      <c r="G10" s="82">
        <f>F10*E10</f>
        <v>922016.48</v>
      </c>
      <c r="H10" s="50">
        <f>E26</f>
        <v>328.27</v>
      </c>
      <c r="I10" s="3" t="s">
        <v>169</v>
      </c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32.4" hidden="1" customHeight="1" outlineLevel="2" x14ac:dyDescent="0.3">
      <c r="A11" s="90" t="s">
        <v>27</v>
      </c>
      <c r="B11" s="94" t="s">
        <v>28</v>
      </c>
      <c r="C11" s="106" t="s">
        <v>24</v>
      </c>
      <c r="D11" s="107">
        <v>6</v>
      </c>
      <c r="E11" s="108">
        <f>E8*D11</f>
        <v>20642.16</v>
      </c>
      <c r="F11" s="92"/>
      <c r="G11" s="9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ht="32.4" hidden="1" customHeight="1" outlineLevel="2" x14ac:dyDescent="0.3">
      <c r="A12" s="90" t="s">
        <v>29</v>
      </c>
      <c r="B12" s="95" t="s">
        <v>127</v>
      </c>
      <c r="C12" s="106" t="s">
        <v>30</v>
      </c>
      <c r="D12" s="109">
        <f>0.05*1.07</f>
        <v>5.3500000000000006E-2</v>
      </c>
      <c r="E12" s="108">
        <f>E8*D12</f>
        <v>184.05926000000002</v>
      </c>
      <c r="F12" s="92"/>
      <c r="G12" s="93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8" ht="32.4" hidden="1" customHeight="1" outlineLevel="2" x14ac:dyDescent="0.3">
      <c r="A13" s="90" t="s">
        <v>31</v>
      </c>
      <c r="B13" s="94" t="s">
        <v>32</v>
      </c>
      <c r="C13" s="106" t="s">
        <v>33</v>
      </c>
      <c r="D13" s="107">
        <v>8</v>
      </c>
      <c r="E13" s="108">
        <f>_xlfn.CEILING.MATH(E8*D13)</f>
        <v>27523</v>
      </c>
      <c r="F13" s="92"/>
      <c r="G13" s="93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8.8" hidden="1" outlineLevel="2" x14ac:dyDescent="0.3">
      <c r="A14" s="79" t="s">
        <v>34</v>
      </c>
      <c r="B14" s="80" t="s">
        <v>35</v>
      </c>
      <c r="C14" s="103" t="s">
        <v>11</v>
      </c>
      <c r="D14" s="104"/>
      <c r="E14" s="105">
        <f>1032.03+344.11</f>
        <v>1376.1399999999999</v>
      </c>
      <c r="F14" s="81">
        <v>268</v>
      </c>
      <c r="G14" s="82">
        <f>F14*E14</f>
        <v>368805.51999999996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32.4" hidden="1" customHeight="1" outlineLevel="2" x14ac:dyDescent="0.3">
      <c r="A15" s="90" t="s">
        <v>36</v>
      </c>
      <c r="B15" s="94" t="s">
        <v>28</v>
      </c>
      <c r="C15" s="106" t="s">
        <v>24</v>
      </c>
      <c r="D15" s="107">
        <v>6</v>
      </c>
      <c r="E15" s="108">
        <f>E14*D15</f>
        <v>8256.84</v>
      </c>
      <c r="F15" s="92"/>
      <c r="G15" s="93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 ht="32.4" hidden="1" customHeight="1" outlineLevel="2" x14ac:dyDescent="0.3">
      <c r="A16" s="90" t="s">
        <v>37</v>
      </c>
      <c r="B16" s="95" t="s">
        <v>38</v>
      </c>
      <c r="C16" s="106" t="s">
        <v>30</v>
      </c>
      <c r="D16" s="109">
        <f>0.02*1.07</f>
        <v>2.1400000000000002E-2</v>
      </c>
      <c r="E16" s="108">
        <f>E14*D16</f>
        <v>29.449396</v>
      </c>
      <c r="F16" s="92"/>
      <c r="G16" s="93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ht="32.4" hidden="1" customHeight="1" outlineLevel="2" x14ac:dyDescent="0.3">
      <c r="A17" s="90" t="s">
        <v>39</v>
      </c>
      <c r="B17" s="94" t="s">
        <v>40</v>
      </c>
      <c r="C17" s="106" t="s">
        <v>33</v>
      </c>
      <c r="D17" s="107">
        <v>4</v>
      </c>
      <c r="E17" s="108">
        <f>_xlfn.CEILING.MATH(E14*D17)</f>
        <v>5505</v>
      </c>
      <c r="F17" s="92"/>
      <c r="G17" s="93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ht="32.4" hidden="1" customHeight="1" outlineLevel="2" x14ac:dyDescent="0.3">
      <c r="A18" s="79" t="s">
        <v>41</v>
      </c>
      <c r="B18" s="80" t="s">
        <v>42</v>
      </c>
      <c r="C18" s="103" t="s">
        <v>11</v>
      </c>
      <c r="D18" s="104"/>
      <c r="E18" s="105">
        <f>E8</f>
        <v>3440.36</v>
      </c>
      <c r="F18" s="81">
        <v>134</v>
      </c>
      <c r="G18" s="82">
        <f>F18*E18</f>
        <v>461008.24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32.4" hidden="1" customHeight="1" outlineLevel="2" x14ac:dyDescent="0.3">
      <c r="A19" s="90" t="s">
        <v>43</v>
      </c>
      <c r="B19" s="91" t="s">
        <v>44</v>
      </c>
      <c r="C19" s="106" t="s">
        <v>24</v>
      </c>
      <c r="D19" s="107">
        <v>6</v>
      </c>
      <c r="E19" s="108">
        <f>E18*D19</f>
        <v>20642.16</v>
      </c>
      <c r="F19" s="92"/>
      <c r="G19" s="93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ht="32.4" hidden="1" customHeight="1" outlineLevel="2" x14ac:dyDescent="0.3">
      <c r="A20" s="90" t="s">
        <v>45</v>
      </c>
      <c r="B20" s="91" t="s">
        <v>46</v>
      </c>
      <c r="C20" s="106" t="s">
        <v>11</v>
      </c>
      <c r="D20" s="107">
        <v>1.1000000000000001</v>
      </c>
      <c r="E20" s="108">
        <f>E18*D20</f>
        <v>3784.3960000000006</v>
      </c>
      <c r="F20" s="92"/>
      <c r="G20" s="93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32.4" hidden="1" customHeight="1" outlineLevel="2" x14ac:dyDescent="0.3">
      <c r="A21" s="90" t="s">
        <v>47</v>
      </c>
      <c r="B21" s="91" t="s">
        <v>48</v>
      </c>
      <c r="C21" s="106" t="s">
        <v>49</v>
      </c>
      <c r="D21" s="107">
        <v>1.05</v>
      </c>
      <c r="E21" s="108">
        <v>1100</v>
      </c>
      <c r="F21" s="92"/>
      <c r="G21" s="93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32.4" hidden="1" customHeight="1" outlineLevel="2" x14ac:dyDescent="0.3">
      <c r="A22" s="79" t="s">
        <v>50</v>
      </c>
      <c r="B22" s="80" t="s">
        <v>51</v>
      </c>
      <c r="C22" s="103" t="s">
        <v>11</v>
      </c>
      <c r="D22" s="104"/>
      <c r="E22" s="105">
        <f>E18</f>
        <v>3440.36</v>
      </c>
      <c r="F22" s="81">
        <v>22</v>
      </c>
      <c r="G22" s="82">
        <f>F22*E22</f>
        <v>75687.92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32.4" hidden="1" customHeight="1" outlineLevel="2" x14ac:dyDescent="0.3">
      <c r="A23" s="90" t="s">
        <v>52</v>
      </c>
      <c r="B23" s="91" t="s">
        <v>133</v>
      </c>
      <c r="C23" s="106" t="s">
        <v>24</v>
      </c>
      <c r="D23" s="107">
        <v>0.4</v>
      </c>
      <c r="E23" s="108">
        <f>E22*D23</f>
        <v>1376.1440000000002</v>
      </c>
      <c r="F23" s="92"/>
      <c r="G23" s="93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32.4" hidden="1" customHeight="1" outlineLevel="2" x14ac:dyDescent="0.3">
      <c r="A24" s="79" t="s">
        <v>53</v>
      </c>
      <c r="B24" s="80" t="s">
        <v>54</v>
      </c>
      <c r="C24" s="103" t="s">
        <v>11</v>
      </c>
      <c r="D24" s="104"/>
      <c r="E24" s="105">
        <f>E22</f>
        <v>3440.36</v>
      </c>
      <c r="F24" s="81">
        <v>67</v>
      </c>
      <c r="G24" s="82">
        <f>F24*E24</f>
        <v>230504.12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32.4" hidden="1" customHeight="1" outlineLevel="2" x14ac:dyDescent="0.3">
      <c r="A25" s="90" t="s">
        <v>55</v>
      </c>
      <c r="B25" s="91" t="s">
        <v>129</v>
      </c>
      <c r="C25" s="106" t="s">
        <v>24</v>
      </c>
      <c r="D25" s="107">
        <v>2.5</v>
      </c>
      <c r="E25" s="108">
        <f>E24*D25</f>
        <v>8600.9</v>
      </c>
      <c r="F25" s="92"/>
      <c r="G25" s="93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ht="33" customHeight="1" collapsed="1" x14ac:dyDescent="0.3">
      <c r="A26" s="84" t="s">
        <v>92</v>
      </c>
      <c r="B26" s="85" t="s">
        <v>56</v>
      </c>
      <c r="C26" s="86" t="s">
        <v>49</v>
      </c>
      <c r="D26" s="87"/>
      <c r="E26" s="88">
        <f>E27+E42+E57+E72+E87</f>
        <v>328.27</v>
      </c>
      <c r="F26" s="77">
        <f>ROUND(G26/E26,0)</f>
        <v>1460</v>
      </c>
      <c r="G26" s="89">
        <f>G27+G42+G57+G72+G87</f>
        <v>479427.41</v>
      </c>
      <c r="H26" s="32"/>
      <c r="I26" s="32"/>
      <c r="J26" s="32"/>
      <c r="K26" s="32"/>
      <c r="L26" s="32"/>
      <c r="M26" s="32"/>
      <c r="N26" s="32"/>
      <c r="O26" s="29"/>
      <c r="P26" s="29"/>
      <c r="Q26" s="29"/>
      <c r="R26" s="29"/>
    </row>
    <row r="27" spans="1:18" ht="32.4" hidden="1" customHeight="1" outlineLevel="1" collapsed="1" x14ac:dyDescent="0.3">
      <c r="A27" s="96" t="s">
        <v>94</v>
      </c>
      <c r="B27" s="97" t="s">
        <v>134</v>
      </c>
      <c r="C27" s="98" t="s">
        <v>49</v>
      </c>
      <c r="D27" s="99"/>
      <c r="E27" s="100">
        <v>0</v>
      </c>
      <c r="F27" s="101"/>
      <c r="G27" s="102">
        <f>SUM(G28:G41)</f>
        <v>0</v>
      </c>
      <c r="H27" s="32"/>
      <c r="I27" s="32"/>
      <c r="J27" s="32"/>
      <c r="K27" s="32"/>
      <c r="L27" s="32"/>
      <c r="M27" s="32"/>
      <c r="N27" s="32"/>
      <c r="O27" s="29"/>
      <c r="P27" s="29"/>
      <c r="Q27" s="29"/>
      <c r="R27" s="29"/>
    </row>
    <row r="28" spans="1:18" ht="32.4" hidden="1" customHeight="1" outlineLevel="2" x14ac:dyDescent="0.3">
      <c r="A28" s="79" t="s">
        <v>95</v>
      </c>
      <c r="B28" s="80" t="s">
        <v>21</v>
      </c>
      <c r="C28" s="103" t="s">
        <v>49</v>
      </c>
      <c r="D28" s="104"/>
      <c r="E28" s="105">
        <f>E27</f>
        <v>0</v>
      </c>
      <c r="F28" s="81">
        <v>60</v>
      </c>
      <c r="G28" s="82">
        <f>F28*E28</f>
        <v>0</v>
      </c>
      <c r="H28" s="32"/>
      <c r="I28" s="32"/>
      <c r="J28" s="32"/>
      <c r="K28" s="32"/>
      <c r="L28" s="32"/>
      <c r="M28" s="32"/>
      <c r="N28" s="32"/>
      <c r="O28" s="29"/>
      <c r="P28" s="29"/>
      <c r="Q28" s="29"/>
      <c r="R28" s="29"/>
    </row>
    <row r="29" spans="1:18" ht="32.4" hidden="1" customHeight="1" outlineLevel="2" x14ac:dyDescent="0.3">
      <c r="A29" s="90" t="s">
        <v>137</v>
      </c>
      <c r="B29" s="91" t="s">
        <v>23</v>
      </c>
      <c r="C29" s="106" t="s">
        <v>24</v>
      </c>
      <c r="D29" s="107">
        <f>1.882*0.15</f>
        <v>0.2823</v>
      </c>
      <c r="E29" s="108">
        <f>R31*D29</f>
        <v>212.24403678000002</v>
      </c>
      <c r="F29" s="92"/>
      <c r="G29" s="93"/>
      <c r="H29" s="32"/>
      <c r="I29" s="32"/>
      <c r="J29" s="32"/>
      <c r="K29" s="32"/>
      <c r="L29" s="32"/>
      <c r="M29" s="39" t="s">
        <v>57</v>
      </c>
      <c r="N29" s="39" t="s">
        <v>58</v>
      </c>
      <c r="O29" s="39" t="s">
        <v>59</v>
      </c>
      <c r="P29" s="39" t="s">
        <v>60</v>
      </c>
      <c r="Q29" s="39" t="s">
        <v>61</v>
      </c>
      <c r="R29" s="39" t="s">
        <v>62</v>
      </c>
    </row>
    <row r="30" spans="1:18" ht="32.4" hidden="1" customHeight="1" outlineLevel="2" x14ac:dyDescent="0.3">
      <c r="A30" s="79" t="s">
        <v>63</v>
      </c>
      <c r="B30" s="80" t="s">
        <v>26</v>
      </c>
      <c r="C30" s="103" t="s">
        <v>49</v>
      </c>
      <c r="D30" s="104"/>
      <c r="E30" s="105">
        <f>E28</f>
        <v>0</v>
      </c>
      <c r="F30" s="81">
        <v>800</v>
      </c>
      <c r="G30" s="82">
        <f>F30*E30</f>
        <v>0</v>
      </c>
      <c r="H30" s="32"/>
      <c r="I30" s="32"/>
      <c r="J30" s="32"/>
      <c r="K30" s="32"/>
      <c r="L30" s="32"/>
      <c r="M30" s="39"/>
      <c r="N30" s="39"/>
      <c r="O30" s="39"/>
      <c r="P30" s="39"/>
      <c r="Q30" s="39"/>
      <c r="R30" s="39"/>
    </row>
    <row r="31" spans="1:18" ht="32.4" hidden="1" customHeight="1" outlineLevel="2" x14ac:dyDescent="0.3">
      <c r="A31" s="90" t="s">
        <v>138</v>
      </c>
      <c r="B31" s="94" t="s">
        <v>28</v>
      </c>
      <c r="C31" s="106" t="s">
        <v>24</v>
      </c>
      <c r="D31" s="107">
        <f>1.882*6</f>
        <v>11.292</v>
      </c>
      <c r="E31" s="108">
        <f>R31*D31</f>
        <v>8489.7614711999995</v>
      </c>
      <c r="F31" s="92"/>
      <c r="G31" s="93"/>
      <c r="H31" s="32"/>
      <c r="I31" s="32"/>
      <c r="J31" s="32"/>
      <c r="K31" s="32"/>
      <c r="L31" s="32"/>
      <c r="M31" s="39">
        <v>1</v>
      </c>
      <c r="N31" s="39">
        <v>17</v>
      </c>
      <c r="O31" s="39">
        <v>19.850000000000001</v>
      </c>
      <c r="P31" s="39">
        <f t="shared" ref="P31:P35" si="0">O31*N31</f>
        <v>337.45000000000005</v>
      </c>
      <c r="Q31" s="39">
        <f>0.53+0.235+0.283+0.133+0.283+0.234+0.53</f>
        <v>2.2279999999999998</v>
      </c>
      <c r="R31" s="39">
        <f t="shared" ref="R31:R35" si="1">Q31*P31</f>
        <v>751.83860000000004</v>
      </c>
    </row>
    <row r="32" spans="1:18" ht="32.4" hidden="1" customHeight="1" outlineLevel="2" x14ac:dyDescent="0.3">
      <c r="A32" s="90" t="s">
        <v>139</v>
      </c>
      <c r="B32" s="95" t="s">
        <v>127</v>
      </c>
      <c r="C32" s="106" t="s">
        <v>30</v>
      </c>
      <c r="D32" s="109">
        <f>0.05*1.07*1.882</f>
        <v>0.100687</v>
      </c>
      <c r="E32" s="108">
        <f>R31*D32</f>
        <v>75.700373118200005</v>
      </c>
      <c r="F32" s="92"/>
      <c r="G32" s="93"/>
      <c r="H32" s="32"/>
      <c r="I32" s="32"/>
      <c r="J32" s="32"/>
      <c r="K32" s="32"/>
      <c r="L32" s="32"/>
      <c r="M32" s="39">
        <v>2</v>
      </c>
      <c r="N32" s="39">
        <v>5</v>
      </c>
      <c r="O32" s="39">
        <v>23.9</v>
      </c>
      <c r="P32" s="39">
        <f t="shared" si="0"/>
        <v>119.5</v>
      </c>
      <c r="Q32" s="39">
        <f>(0.43+0.4+0.43)</f>
        <v>1.26</v>
      </c>
      <c r="R32" s="39">
        <f t="shared" si="1"/>
        <v>150.57</v>
      </c>
    </row>
    <row r="33" spans="1:18" ht="32.4" hidden="1" customHeight="1" outlineLevel="2" x14ac:dyDescent="0.3">
      <c r="A33" s="90" t="s">
        <v>140</v>
      </c>
      <c r="B33" s="94" t="s">
        <v>32</v>
      </c>
      <c r="C33" s="106" t="s">
        <v>33</v>
      </c>
      <c r="D33" s="107">
        <v>24</v>
      </c>
      <c r="E33" s="108">
        <f>R31*D33</f>
        <v>18044.126400000001</v>
      </c>
      <c r="F33" s="92"/>
      <c r="G33" s="93"/>
      <c r="H33" s="32"/>
      <c r="I33" s="32"/>
      <c r="J33" s="32"/>
      <c r="K33" s="32"/>
      <c r="L33" s="32"/>
      <c r="M33" s="39">
        <v>3</v>
      </c>
      <c r="N33" s="39">
        <v>4</v>
      </c>
      <c r="O33" s="39">
        <v>36.51</v>
      </c>
      <c r="P33" s="39">
        <f t="shared" si="0"/>
        <v>146.04</v>
      </c>
      <c r="Q33" s="39">
        <f>0.25+0.35+0.25</f>
        <v>0.85</v>
      </c>
      <c r="R33" s="39">
        <f t="shared" si="1"/>
        <v>124.13399999999999</v>
      </c>
    </row>
    <row r="34" spans="1:18" ht="32.4" hidden="1" customHeight="1" outlineLevel="2" x14ac:dyDescent="0.3">
      <c r="A34" s="79" t="s">
        <v>141</v>
      </c>
      <c r="B34" s="80" t="s">
        <v>42</v>
      </c>
      <c r="C34" s="103" t="s">
        <v>49</v>
      </c>
      <c r="D34" s="104"/>
      <c r="E34" s="105">
        <f>E28</f>
        <v>0</v>
      </c>
      <c r="F34" s="81">
        <v>420</v>
      </c>
      <c r="G34" s="82">
        <f>F34*E34</f>
        <v>0</v>
      </c>
      <c r="H34" s="29"/>
      <c r="I34" s="29"/>
      <c r="J34" s="29"/>
      <c r="K34" s="29"/>
      <c r="L34" s="29"/>
      <c r="M34" s="39">
        <v>4</v>
      </c>
      <c r="N34" s="39">
        <v>9</v>
      </c>
      <c r="O34" s="39">
        <v>6.97</v>
      </c>
      <c r="P34" s="39">
        <f t="shared" si="0"/>
        <v>62.73</v>
      </c>
      <c r="Q34" s="39">
        <f>0.347+0.427+0.427+0.347</f>
        <v>1.548</v>
      </c>
      <c r="R34" s="39">
        <f t="shared" si="1"/>
        <v>97.106039999999993</v>
      </c>
    </row>
    <row r="35" spans="1:18" ht="32.4" hidden="1" customHeight="1" outlineLevel="2" x14ac:dyDescent="0.3">
      <c r="A35" s="90" t="s">
        <v>142</v>
      </c>
      <c r="B35" s="91" t="s">
        <v>44</v>
      </c>
      <c r="C35" s="106" t="s">
        <v>24</v>
      </c>
      <c r="D35" s="107">
        <f>6*1.882</f>
        <v>11.292</v>
      </c>
      <c r="E35" s="108">
        <f>R31*D35</f>
        <v>8489.7614711999995</v>
      </c>
      <c r="F35" s="92"/>
      <c r="G35" s="93"/>
      <c r="H35" s="29"/>
      <c r="I35" s="29"/>
      <c r="J35" s="29"/>
      <c r="K35" s="29"/>
      <c r="L35" s="29"/>
      <c r="M35" s="39">
        <v>5</v>
      </c>
      <c r="N35" s="39">
        <v>8</v>
      </c>
      <c r="O35" s="39">
        <v>23.1</v>
      </c>
      <c r="P35" s="39">
        <f t="shared" si="0"/>
        <v>184.8</v>
      </c>
      <c r="Q35" s="39">
        <f>0.4+0.4+0.4</f>
        <v>1.2000000000000002</v>
      </c>
      <c r="R35" s="39">
        <f t="shared" si="1"/>
        <v>221.76000000000005</v>
      </c>
    </row>
    <row r="36" spans="1:18" ht="32.4" hidden="1" customHeight="1" outlineLevel="2" x14ac:dyDescent="0.3">
      <c r="A36" s="90" t="s">
        <v>143</v>
      </c>
      <c r="B36" s="91" t="s">
        <v>46</v>
      </c>
      <c r="C36" s="106" t="s">
        <v>11</v>
      </c>
      <c r="D36" s="107">
        <f>1.882*1.1</f>
        <v>2.0702000000000003</v>
      </c>
      <c r="E36" s="108">
        <f>R31*D36</f>
        <v>1556.4562697200004</v>
      </c>
      <c r="F36" s="92"/>
      <c r="G36" s="93"/>
      <c r="H36" s="29"/>
      <c r="I36" s="29"/>
      <c r="J36" s="29"/>
      <c r="K36" s="29"/>
      <c r="L36" s="29"/>
      <c r="M36" s="29"/>
      <c r="N36" s="29"/>
      <c r="O36" s="29"/>
      <c r="P36" s="39">
        <f>SUM(P31:P35)</f>
        <v>850.52</v>
      </c>
      <c r="Q36" s="29"/>
      <c r="R36" s="39">
        <f>SUM(R31:R35)</f>
        <v>1345.4086399999999</v>
      </c>
    </row>
    <row r="37" spans="1:18" ht="32.4" hidden="1" customHeight="1" outlineLevel="2" x14ac:dyDescent="0.3">
      <c r="A37" s="90" t="s">
        <v>144</v>
      </c>
      <c r="B37" s="91" t="s">
        <v>48</v>
      </c>
      <c r="C37" s="106" t="s">
        <v>49</v>
      </c>
      <c r="D37" s="107">
        <v>2.1</v>
      </c>
      <c r="E37" s="108">
        <f>R31*D37</f>
        <v>1578.8610600000002</v>
      </c>
      <c r="F37" s="92"/>
      <c r="G37" s="93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ht="32.4" hidden="1" customHeight="1" outlineLevel="2" x14ac:dyDescent="0.3">
      <c r="A38" s="79" t="s">
        <v>145</v>
      </c>
      <c r="B38" s="80" t="s">
        <v>51</v>
      </c>
      <c r="C38" s="103" t="s">
        <v>49</v>
      </c>
      <c r="D38" s="104"/>
      <c r="E38" s="105">
        <f>E34</f>
        <v>0</v>
      </c>
      <c r="F38" s="81">
        <v>55</v>
      </c>
      <c r="G38" s="82">
        <f>F38*E38</f>
        <v>0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ht="32.4" hidden="1" customHeight="1" outlineLevel="2" x14ac:dyDescent="0.3">
      <c r="A39" s="90" t="s">
        <v>146</v>
      </c>
      <c r="B39" s="91" t="s">
        <v>133</v>
      </c>
      <c r="C39" s="106" t="s">
        <v>24</v>
      </c>
      <c r="D39" s="107">
        <f>1.882*0.4</f>
        <v>0.75280000000000002</v>
      </c>
      <c r="E39" s="108">
        <f>R31*D39</f>
        <v>565.98409808000008</v>
      </c>
      <c r="F39" s="92"/>
      <c r="G39" s="93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ht="32.4" hidden="1" customHeight="1" outlineLevel="2" x14ac:dyDescent="0.3">
      <c r="A40" s="79" t="s">
        <v>147</v>
      </c>
      <c r="B40" s="80" t="s">
        <v>54</v>
      </c>
      <c r="C40" s="103" t="s">
        <v>49</v>
      </c>
      <c r="D40" s="104"/>
      <c r="E40" s="105">
        <f>E38</f>
        <v>0</v>
      </c>
      <c r="F40" s="81">
        <v>245</v>
      </c>
      <c r="G40" s="82">
        <f>F40*E40</f>
        <v>0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ht="38.4" hidden="1" customHeight="1" outlineLevel="2" x14ac:dyDescent="0.3">
      <c r="A41" s="90" t="s">
        <v>148</v>
      </c>
      <c r="B41" s="91" t="s">
        <v>129</v>
      </c>
      <c r="C41" s="106" t="s">
        <v>24</v>
      </c>
      <c r="D41" s="107">
        <f>1.882*2.5</f>
        <v>4.7050000000000001</v>
      </c>
      <c r="E41" s="108">
        <f>R31*D41</f>
        <v>3537.4006130000002</v>
      </c>
      <c r="F41" s="92"/>
      <c r="G41" s="93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ht="23.4" customHeight="1" collapsed="1" x14ac:dyDescent="0.3">
      <c r="A42" s="72" t="s">
        <v>96</v>
      </c>
      <c r="B42" s="73" t="s">
        <v>64</v>
      </c>
      <c r="C42" s="74" t="s">
        <v>49</v>
      </c>
      <c r="D42" s="75"/>
      <c r="E42" s="76">
        <f>P32</f>
        <v>119.5</v>
      </c>
      <c r="F42" s="77">
        <f>ROUND(G42/E42,0)</f>
        <v>1349</v>
      </c>
      <c r="G42" s="78">
        <f>SUM(G43:G56)</f>
        <v>161205.5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32.4" hidden="1" customHeight="1" outlineLevel="2" x14ac:dyDescent="0.3">
      <c r="A43" s="79" t="s">
        <v>97</v>
      </c>
      <c r="B43" s="80" t="s">
        <v>21</v>
      </c>
      <c r="C43" s="103" t="s">
        <v>49</v>
      </c>
      <c r="D43" s="104"/>
      <c r="E43" s="105">
        <f>E42</f>
        <v>119.5</v>
      </c>
      <c r="F43" s="81">
        <v>54</v>
      </c>
      <c r="G43" s="82">
        <f>F43*E43</f>
        <v>6453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ht="32.4" hidden="1" customHeight="1" outlineLevel="2" x14ac:dyDescent="0.3">
      <c r="A44" s="90" t="s">
        <v>149</v>
      </c>
      <c r="B44" s="91" t="s">
        <v>23</v>
      </c>
      <c r="C44" s="106" t="s">
        <v>24</v>
      </c>
      <c r="D44" s="107">
        <f>0.15*1.26</f>
        <v>0.189</v>
      </c>
      <c r="E44" s="108">
        <f>150.57*D44</f>
        <v>28.457729999999998</v>
      </c>
      <c r="F44" s="92"/>
      <c r="G44" s="93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ht="32.4" hidden="1" customHeight="1" outlineLevel="2" x14ac:dyDescent="0.3">
      <c r="A45" s="79" t="s">
        <v>98</v>
      </c>
      <c r="B45" s="80" t="s">
        <v>26</v>
      </c>
      <c r="C45" s="103" t="s">
        <v>49</v>
      </c>
      <c r="D45" s="104"/>
      <c r="E45" s="105">
        <f>E43</f>
        <v>119.5</v>
      </c>
      <c r="F45" s="81">
        <v>652</v>
      </c>
      <c r="G45" s="82">
        <f>F45*E45</f>
        <v>77914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ht="32.4" hidden="1" customHeight="1" outlineLevel="2" x14ac:dyDescent="0.3">
      <c r="A46" s="90" t="s">
        <v>150</v>
      </c>
      <c r="B46" s="94" t="s">
        <v>28</v>
      </c>
      <c r="C46" s="106" t="s">
        <v>24</v>
      </c>
      <c r="D46" s="107">
        <f>6*1.26</f>
        <v>7.5600000000000005</v>
      </c>
      <c r="E46" s="108">
        <f t="shared" ref="E46:E48" si="2">150.57*D46</f>
        <v>1138.3091999999999</v>
      </c>
      <c r="F46" s="92"/>
      <c r="G46" s="93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ht="32.4" hidden="1" customHeight="1" outlineLevel="2" x14ac:dyDescent="0.3">
      <c r="A47" s="90" t="s">
        <v>151</v>
      </c>
      <c r="B47" s="95" t="s">
        <v>127</v>
      </c>
      <c r="C47" s="106" t="s">
        <v>30</v>
      </c>
      <c r="D47" s="109">
        <f>0.05*1.07*1.26</f>
        <v>6.7410000000000012E-2</v>
      </c>
      <c r="E47" s="108">
        <f t="shared" si="2"/>
        <v>10.1499237</v>
      </c>
      <c r="F47" s="92"/>
      <c r="G47" s="93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ht="32.4" hidden="1" customHeight="1" outlineLevel="2" x14ac:dyDescent="0.3">
      <c r="A48" s="90" t="s">
        <v>152</v>
      </c>
      <c r="B48" s="94" t="s">
        <v>32</v>
      </c>
      <c r="C48" s="106" t="s">
        <v>33</v>
      </c>
      <c r="D48" s="107">
        <v>24</v>
      </c>
      <c r="E48" s="108">
        <f t="shared" si="2"/>
        <v>3613.68</v>
      </c>
      <c r="F48" s="92"/>
      <c r="G48" s="93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ht="32.4" hidden="1" customHeight="1" outlineLevel="2" x14ac:dyDescent="0.3">
      <c r="A49" s="79" t="s">
        <v>99</v>
      </c>
      <c r="B49" s="80" t="s">
        <v>42</v>
      </c>
      <c r="C49" s="103" t="s">
        <v>49</v>
      </c>
      <c r="D49" s="104"/>
      <c r="E49" s="105">
        <f>E43</f>
        <v>119.5</v>
      </c>
      <c r="F49" s="81">
        <v>375</v>
      </c>
      <c r="G49" s="82">
        <f>F49*E49</f>
        <v>44812.5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32.4" hidden="1" customHeight="1" outlineLevel="2" x14ac:dyDescent="0.3">
      <c r="A50" s="90" t="s">
        <v>153</v>
      </c>
      <c r="B50" s="91" t="s">
        <v>44</v>
      </c>
      <c r="C50" s="106" t="s">
        <v>24</v>
      </c>
      <c r="D50" s="107">
        <f>6*1.26</f>
        <v>7.5600000000000005</v>
      </c>
      <c r="E50" s="108">
        <f t="shared" ref="E50:E52" si="3">150.57*D50</f>
        <v>1138.3091999999999</v>
      </c>
      <c r="F50" s="92"/>
      <c r="G50" s="93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ht="32.4" hidden="1" customHeight="1" outlineLevel="2" x14ac:dyDescent="0.3">
      <c r="A51" s="90" t="s">
        <v>154</v>
      </c>
      <c r="B51" s="91" t="s">
        <v>46</v>
      </c>
      <c r="C51" s="106" t="s">
        <v>11</v>
      </c>
      <c r="D51" s="107">
        <f>1.1*1.26</f>
        <v>1.3860000000000001</v>
      </c>
      <c r="E51" s="108">
        <f t="shared" si="3"/>
        <v>208.69002</v>
      </c>
      <c r="F51" s="92"/>
      <c r="G51" s="93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32.4" hidden="1" customHeight="1" outlineLevel="2" x14ac:dyDescent="0.3">
      <c r="A52" s="90" t="s">
        <v>155</v>
      </c>
      <c r="B52" s="91" t="s">
        <v>48</v>
      </c>
      <c r="C52" s="106" t="s">
        <v>49</v>
      </c>
      <c r="D52" s="107">
        <f>1.05*2</f>
        <v>2.1</v>
      </c>
      <c r="E52" s="108">
        <f t="shared" si="3"/>
        <v>316.197</v>
      </c>
      <c r="F52" s="92"/>
      <c r="G52" s="93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ht="32.4" hidden="1" customHeight="1" outlineLevel="2" x14ac:dyDescent="0.3">
      <c r="A53" s="79" t="s">
        <v>156</v>
      </c>
      <c r="B53" s="80" t="s">
        <v>51</v>
      </c>
      <c r="C53" s="103" t="s">
        <v>49</v>
      </c>
      <c r="D53" s="104"/>
      <c r="E53" s="105">
        <f>E49</f>
        <v>119.5</v>
      </c>
      <c r="F53" s="81">
        <v>49</v>
      </c>
      <c r="G53" s="82">
        <f>F53*E53</f>
        <v>5855.5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ht="32.4" hidden="1" customHeight="1" outlineLevel="2" x14ac:dyDescent="0.3">
      <c r="A54" s="90" t="s">
        <v>157</v>
      </c>
      <c r="B54" s="91" t="s">
        <v>128</v>
      </c>
      <c r="C54" s="106" t="s">
        <v>24</v>
      </c>
      <c r="D54" s="107">
        <f>0.4*1.26</f>
        <v>0.504</v>
      </c>
      <c r="E54" s="108">
        <f>150.57*D54</f>
        <v>75.887280000000004</v>
      </c>
      <c r="F54" s="92"/>
      <c r="G54" s="93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ht="32.4" hidden="1" customHeight="1" outlineLevel="2" x14ac:dyDescent="0.3">
      <c r="A55" s="79" t="s">
        <v>158</v>
      </c>
      <c r="B55" s="80" t="s">
        <v>54</v>
      </c>
      <c r="C55" s="103" t="s">
        <v>49</v>
      </c>
      <c r="D55" s="104"/>
      <c r="E55" s="105">
        <f>E53</f>
        <v>119.5</v>
      </c>
      <c r="F55" s="81">
        <v>219</v>
      </c>
      <c r="G55" s="82">
        <f>F55*E55</f>
        <v>26170.5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32.4" hidden="1" customHeight="1" outlineLevel="2" x14ac:dyDescent="0.3">
      <c r="A56" s="90" t="s">
        <v>159</v>
      </c>
      <c r="B56" s="91" t="s">
        <v>129</v>
      </c>
      <c r="C56" s="106" t="s">
        <v>24</v>
      </c>
      <c r="D56" s="107">
        <f>2.5*1.26</f>
        <v>3.15</v>
      </c>
      <c r="E56" s="108">
        <f>150.57*D56</f>
        <v>474.29549999999995</v>
      </c>
      <c r="F56" s="92"/>
      <c r="G56" s="93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23.4" customHeight="1" collapsed="1" x14ac:dyDescent="0.3">
      <c r="A57" s="72" t="s">
        <v>100</v>
      </c>
      <c r="B57" s="73" t="s">
        <v>65</v>
      </c>
      <c r="C57" s="74" t="s">
        <v>49</v>
      </c>
      <c r="D57" s="75"/>
      <c r="E57" s="76">
        <f>P33</f>
        <v>146.04</v>
      </c>
      <c r="F57" s="77">
        <f>ROUND(G57/E57,0)</f>
        <v>1353</v>
      </c>
      <c r="G57" s="78">
        <f>SUM(G58:G71)</f>
        <v>197592.12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32.4" hidden="1" customHeight="1" outlineLevel="2" x14ac:dyDescent="0.3">
      <c r="A58" s="79" t="s">
        <v>101</v>
      </c>
      <c r="B58" s="80" t="s">
        <v>21</v>
      </c>
      <c r="C58" s="103" t="s">
        <v>49</v>
      </c>
      <c r="D58" s="104"/>
      <c r="E58" s="105">
        <f>E57</f>
        <v>146.04</v>
      </c>
      <c r="F58" s="81">
        <v>54</v>
      </c>
      <c r="G58" s="82">
        <f>F58*E58</f>
        <v>7886.16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 ht="32.4" hidden="1" customHeight="1" outlineLevel="2" x14ac:dyDescent="0.3">
      <c r="A59" s="90" t="s">
        <v>160</v>
      </c>
      <c r="B59" s="91" t="s">
        <v>23</v>
      </c>
      <c r="C59" s="106" t="s">
        <v>24</v>
      </c>
      <c r="D59" s="107">
        <f>0.15*0.852</f>
        <v>0.1278</v>
      </c>
      <c r="E59" s="108">
        <f>124.134*D59</f>
        <v>15.8643252</v>
      </c>
      <c r="F59" s="92"/>
      <c r="G59" s="93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ht="32.4" hidden="1" customHeight="1" outlineLevel="2" x14ac:dyDescent="0.3">
      <c r="A60" s="79" t="s">
        <v>102</v>
      </c>
      <c r="B60" s="80" t="s">
        <v>26</v>
      </c>
      <c r="C60" s="103" t="s">
        <v>49</v>
      </c>
      <c r="D60" s="104"/>
      <c r="E60" s="105">
        <f>E58</f>
        <v>146.04</v>
      </c>
      <c r="F60" s="81">
        <v>652</v>
      </c>
      <c r="G60" s="82">
        <f>F60*E60</f>
        <v>95218.08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ht="32.4" hidden="1" customHeight="1" outlineLevel="2" x14ac:dyDescent="0.3">
      <c r="A61" s="90" t="s">
        <v>161</v>
      </c>
      <c r="B61" s="94" t="s">
        <v>28</v>
      </c>
      <c r="C61" s="106" t="s">
        <v>24</v>
      </c>
      <c r="D61" s="107">
        <f>6*0.852</f>
        <v>5.1120000000000001</v>
      </c>
      <c r="E61" s="108">
        <f t="shared" ref="E61:E63" si="4">124.134*D61</f>
        <v>634.57300799999996</v>
      </c>
      <c r="F61" s="92"/>
      <c r="G61" s="93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 ht="32.4" hidden="1" customHeight="1" outlineLevel="2" x14ac:dyDescent="0.3">
      <c r="A62" s="90" t="s">
        <v>162</v>
      </c>
      <c r="B62" s="95" t="s">
        <v>127</v>
      </c>
      <c r="C62" s="106" t="s">
        <v>30</v>
      </c>
      <c r="D62" s="109">
        <f>0.05*1.07*0.852</f>
        <v>4.5582000000000004E-2</v>
      </c>
      <c r="E62" s="108">
        <f t="shared" si="4"/>
        <v>5.6582759880000006</v>
      </c>
      <c r="F62" s="92"/>
      <c r="G62" s="93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 ht="32.4" hidden="1" customHeight="1" outlineLevel="2" x14ac:dyDescent="0.3">
      <c r="A63" s="90" t="s">
        <v>163</v>
      </c>
      <c r="B63" s="94" t="s">
        <v>32</v>
      </c>
      <c r="C63" s="106" t="s">
        <v>33</v>
      </c>
      <c r="D63" s="107">
        <v>24</v>
      </c>
      <c r="E63" s="108">
        <f t="shared" si="4"/>
        <v>2979.2159999999999</v>
      </c>
      <c r="F63" s="92"/>
      <c r="G63" s="93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 ht="32.4" hidden="1" customHeight="1" outlineLevel="2" x14ac:dyDescent="0.3">
      <c r="A64" s="79" t="s">
        <v>99</v>
      </c>
      <c r="B64" s="80" t="s">
        <v>42</v>
      </c>
      <c r="C64" s="103" t="s">
        <v>49</v>
      </c>
      <c r="D64" s="104"/>
      <c r="E64" s="105">
        <f>E58</f>
        <v>146.04</v>
      </c>
      <c r="F64" s="81">
        <v>375</v>
      </c>
      <c r="G64" s="82">
        <f>F64*E64</f>
        <v>54765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ht="32.4" hidden="1" customHeight="1" outlineLevel="2" x14ac:dyDescent="0.3">
      <c r="A65" s="90" t="s">
        <v>153</v>
      </c>
      <c r="B65" s="91" t="s">
        <v>44</v>
      </c>
      <c r="C65" s="106" t="s">
        <v>24</v>
      </c>
      <c r="D65" s="107">
        <f>6*0.852</f>
        <v>5.1120000000000001</v>
      </c>
      <c r="E65" s="108">
        <f t="shared" ref="E65:E67" si="5">124.134*D65</f>
        <v>634.57300799999996</v>
      </c>
      <c r="F65" s="92"/>
      <c r="G65" s="93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ht="32.4" hidden="1" customHeight="1" outlineLevel="2" x14ac:dyDescent="0.3">
      <c r="A66" s="90" t="s">
        <v>154</v>
      </c>
      <c r="B66" s="91" t="s">
        <v>46</v>
      </c>
      <c r="C66" s="106" t="s">
        <v>11</v>
      </c>
      <c r="D66" s="107">
        <f>1.1*0.852</f>
        <v>0.93720000000000003</v>
      </c>
      <c r="E66" s="108">
        <f t="shared" si="5"/>
        <v>116.3383848</v>
      </c>
      <c r="F66" s="92"/>
      <c r="G66" s="93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ht="32.4" hidden="1" customHeight="1" outlineLevel="2" x14ac:dyDescent="0.3">
      <c r="A67" s="90" t="s">
        <v>155</v>
      </c>
      <c r="B67" s="91" t="s">
        <v>48</v>
      </c>
      <c r="C67" s="106" t="s">
        <v>49</v>
      </c>
      <c r="D67" s="107">
        <f>1.05*2</f>
        <v>2.1</v>
      </c>
      <c r="E67" s="108">
        <f t="shared" si="5"/>
        <v>260.6814</v>
      </c>
      <c r="F67" s="92"/>
      <c r="G67" s="93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ht="32.4" hidden="1" customHeight="1" outlineLevel="2" x14ac:dyDescent="0.3">
      <c r="A68" s="79" t="s">
        <v>164</v>
      </c>
      <c r="B68" s="80" t="s">
        <v>51</v>
      </c>
      <c r="C68" s="103" t="s">
        <v>49</v>
      </c>
      <c r="D68" s="104"/>
      <c r="E68" s="105">
        <f>E64</f>
        <v>146.04</v>
      </c>
      <c r="F68" s="81">
        <v>49</v>
      </c>
      <c r="G68" s="82">
        <f>F68*E68</f>
        <v>7155.96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ht="32.4" hidden="1" customHeight="1" outlineLevel="2" x14ac:dyDescent="0.3">
      <c r="A69" s="90" t="s">
        <v>165</v>
      </c>
      <c r="B69" s="91" t="s">
        <v>128</v>
      </c>
      <c r="C69" s="106" t="s">
        <v>24</v>
      </c>
      <c r="D69" s="107">
        <f>0.4*0.852</f>
        <v>0.34079999999999999</v>
      </c>
      <c r="E69" s="108">
        <f>124.134*D69</f>
        <v>42.304867199999997</v>
      </c>
      <c r="F69" s="92"/>
      <c r="G69" s="93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ht="32.4" hidden="1" customHeight="1" outlineLevel="2" x14ac:dyDescent="0.3">
      <c r="A70" s="79" t="s">
        <v>166</v>
      </c>
      <c r="B70" s="80" t="s">
        <v>54</v>
      </c>
      <c r="C70" s="103" t="s">
        <v>49</v>
      </c>
      <c r="D70" s="104"/>
      <c r="E70" s="105">
        <f>E68</f>
        <v>146.04</v>
      </c>
      <c r="F70" s="81">
        <v>223</v>
      </c>
      <c r="G70" s="82">
        <f>F70*E70</f>
        <v>32566.92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8" ht="32.4" hidden="1" customHeight="1" outlineLevel="2" x14ac:dyDescent="0.3">
      <c r="A71" s="90" t="s">
        <v>167</v>
      </c>
      <c r="B71" s="91" t="s">
        <v>129</v>
      </c>
      <c r="C71" s="106" t="s">
        <v>24</v>
      </c>
      <c r="D71" s="107">
        <f>2.5*0.852</f>
        <v>2.13</v>
      </c>
      <c r="E71" s="108">
        <f>124.134*D71</f>
        <v>264.40541999999999</v>
      </c>
      <c r="F71" s="92"/>
      <c r="G71" s="93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1:18" ht="23.4" customHeight="1" collapsed="1" x14ac:dyDescent="0.3">
      <c r="A72" s="72" t="s">
        <v>41</v>
      </c>
      <c r="B72" s="73" t="s">
        <v>66</v>
      </c>
      <c r="C72" s="74" t="s">
        <v>49</v>
      </c>
      <c r="D72" s="75"/>
      <c r="E72" s="76">
        <f>P34</f>
        <v>62.73</v>
      </c>
      <c r="F72" s="77">
        <f>ROUND(G72/E72,0)</f>
        <v>1923</v>
      </c>
      <c r="G72" s="78">
        <f>SUM(G73:G86)</f>
        <v>120629.78999999998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32.4" hidden="1" customHeight="1" outlineLevel="2" x14ac:dyDescent="0.3">
      <c r="A73" s="79" t="s">
        <v>43</v>
      </c>
      <c r="B73" s="80" t="s">
        <v>21</v>
      </c>
      <c r="C73" s="103" t="s">
        <v>49</v>
      </c>
      <c r="D73" s="104"/>
      <c r="E73" s="105">
        <f>E72</f>
        <v>62.73</v>
      </c>
      <c r="F73" s="81">
        <v>66</v>
      </c>
      <c r="G73" s="82">
        <f>F73*E73</f>
        <v>4140.1799999999994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1:18" ht="32.4" hidden="1" customHeight="1" outlineLevel="2" x14ac:dyDescent="0.3">
      <c r="A74" s="90" t="s">
        <v>67</v>
      </c>
      <c r="B74" s="91" t="s">
        <v>23</v>
      </c>
      <c r="C74" s="106" t="s">
        <v>24</v>
      </c>
      <c r="D74" s="107">
        <f>0.15*1.546</f>
        <v>0.2319</v>
      </c>
      <c r="E74" s="108">
        <f>97.11*D74</f>
        <v>22.519808999999999</v>
      </c>
      <c r="F74" s="92"/>
      <c r="G74" s="93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1:18" ht="32.4" hidden="1" customHeight="1" outlineLevel="2" x14ac:dyDescent="0.3">
      <c r="A75" s="79" t="s">
        <v>45</v>
      </c>
      <c r="B75" s="80" t="s">
        <v>26</v>
      </c>
      <c r="C75" s="103" t="s">
        <v>49</v>
      </c>
      <c r="D75" s="104"/>
      <c r="E75" s="105">
        <f>E73</f>
        <v>62.73</v>
      </c>
      <c r="F75" s="81">
        <v>982</v>
      </c>
      <c r="G75" s="82">
        <f>F75*E75</f>
        <v>61600.859999999993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1:18" ht="32.4" hidden="1" customHeight="1" outlineLevel="2" x14ac:dyDescent="0.3">
      <c r="A76" s="90" t="s">
        <v>68</v>
      </c>
      <c r="B76" s="94" t="s">
        <v>28</v>
      </c>
      <c r="C76" s="106" t="s">
        <v>24</v>
      </c>
      <c r="D76" s="107">
        <f>6*1.546</f>
        <v>9.2759999999999998</v>
      </c>
      <c r="E76" s="108">
        <f t="shared" ref="E76:E78" si="6">97.11*D76</f>
        <v>900.79236000000003</v>
      </c>
      <c r="F76" s="92"/>
      <c r="G76" s="93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1:18" ht="32.4" hidden="1" customHeight="1" outlineLevel="2" x14ac:dyDescent="0.3">
      <c r="A77" s="90" t="s">
        <v>69</v>
      </c>
      <c r="B77" s="95" t="s">
        <v>127</v>
      </c>
      <c r="C77" s="106" t="s">
        <v>30</v>
      </c>
      <c r="D77" s="109">
        <f>0.05*1.07*1.546</f>
        <v>8.2711000000000007E-2</v>
      </c>
      <c r="E77" s="108">
        <f t="shared" si="6"/>
        <v>8.0320652100000007</v>
      </c>
      <c r="F77" s="92"/>
      <c r="G77" s="93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1:18" ht="32.4" hidden="1" customHeight="1" outlineLevel="2" x14ac:dyDescent="0.3">
      <c r="A78" s="90" t="s">
        <v>70</v>
      </c>
      <c r="B78" s="94" t="s">
        <v>32</v>
      </c>
      <c r="C78" s="106" t="s">
        <v>33</v>
      </c>
      <c r="D78" s="107">
        <v>32</v>
      </c>
      <c r="E78" s="108">
        <f t="shared" si="6"/>
        <v>3107.52</v>
      </c>
      <c r="F78" s="92"/>
      <c r="G78" s="93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1:18" ht="32.4" hidden="1" customHeight="1" outlineLevel="2" x14ac:dyDescent="0.3">
      <c r="A79" s="79" t="s">
        <v>47</v>
      </c>
      <c r="B79" s="80" t="s">
        <v>42</v>
      </c>
      <c r="C79" s="103" t="s">
        <v>49</v>
      </c>
      <c r="D79" s="104"/>
      <c r="E79" s="105">
        <f>E73</f>
        <v>62.73</v>
      </c>
      <c r="F79" s="81">
        <v>509</v>
      </c>
      <c r="G79" s="82">
        <f>F79*E79</f>
        <v>31929.57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1:18" ht="32.4" hidden="1" customHeight="1" outlineLevel="2" x14ac:dyDescent="0.3">
      <c r="A80" s="90" t="s">
        <v>71</v>
      </c>
      <c r="B80" s="91" t="s">
        <v>44</v>
      </c>
      <c r="C80" s="106" t="s">
        <v>24</v>
      </c>
      <c r="D80" s="107">
        <f>6*1.546</f>
        <v>9.2759999999999998</v>
      </c>
      <c r="E80" s="108">
        <f t="shared" ref="E80:E82" si="7">97.11*D80</f>
        <v>900.79236000000003</v>
      </c>
      <c r="F80" s="92"/>
      <c r="G80" s="93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1:18" ht="32.4" hidden="1" customHeight="1" outlineLevel="2" x14ac:dyDescent="0.3">
      <c r="A81" s="90" t="s">
        <v>72</v>
      </c>
      <c r="B81" s="91" t="s">
        <v>46</v>
      </c>
      <c r="C81" s="106" t="s">
        <v>11</v>
      </c>
      <c r="D81" s="107">
        <f>1.1*1.546</f>
        <v>1.7006000000000001</v>
      </c>
      <c r="E81" s="108">
        <f t="shared" si="7"/>
        <v>165.14526600000002</v>
      </c>
      <c r="F81" s="92"/>
      <c r="G81" s="93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1:18" ht="32.4" hidden="1" customHeight="1" outlineLevel="2" x14ac:dyDescent="0.3">
      <c r="A82" s="90" t="s">
        <v>73</v>
      </c>
      <c r="B82" s="91" t="s">
        <v>48</v>
      </c>
      <c r="C82" s="106" t="s">
        <v>49</v>
      </c>
      <c r="D82" s="107">
        <f>1.05*3</f>
        <v>3.1500000000000004</v>
      </c>
      <c r="E82" s="108">
        <f t="shared" si="7"/>
        <v>305.89650000000006</v>
      </c>
      <c r="F82" s="92"/>
      <c r="G82" s="93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1:18" ht="32.4" hidden="1" customHeight="1" outlineLevel="2" x14ac:dyDescent="0.3">
      <c r="A83" s="79" t="s">
        <v>74</v>
      </c>
      <c r="B83" s="80" t="s">
        <v>51</v>
      </c>
      <c r="C83" s="103" t="s">
        <v>49</v>
      </c>
      <c r="D83" s="104"/>
      <c r="E83" s="105">
        <f>E79</f>
        <v>62.73</v>
      </c>
      <c r="F83" s="81">
        <v>71</v>
      </c>
      <c r="G83" s="82">
        <f>F83*E83</f>
        <v>4453.83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1:18" ht="32.4" hidden="1" customHeight="1" outlineLevel="2" x14ac:dyDescent="0.3">
      <c r="A84" s="90" t="s">
        <v>75</v>
      </c>
      <c r="B84" s="91" t="s">
        <v>128</v>
      </c>
      <c r="C84" s="106" t="s">
        <v>24</v>
      </c>
      <c r="D84" s="107">
        <f>0.4*1.546</f>
        <v>0.61840000000000006</v>
      </c>
      <c r="E84" s="108">
        <f>97.11*D84</f>
        <v>60.052824000000008</v>
      </c>
      <c r="F84" s="92"/>
      <c r="G84" s="93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1:18" ht="32.4" hidden="1" customHeight="1" outlineLevel="2" x14ac:dyDescent="0.3">
      <c r="A85" s="79" t="s">
        <v>76</v>
      </c>
      <c r="B85" s="80" t="s">
        <v>54</v>
      </c>
      <c r="C85" s="103" t="s">
        <v>49</v>
      </c>
      <c r="D85" s="104"/>
      <c r="E85" s="105">
        <f>E83</f>
        <v>62.73</v>
      </c>
      <c r="F85" s="81">
        <v>295</v>
      </c>
      <c r="G85" s="82">
        <f>F85*E85</f>
        <v>18505.349999999999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1:18" ht="32.4" hidden="1" customHeight="1" outlineLevel="2" x14ac:dyDescent="0.3">
      <c r="A86" s="90" t="s">
        <v>77</v>
      </c>
      <c r="B86" s="91" t="s">
        <v>129</v>
      </c>
      <c r="C86" s="106" t="s">
        <v>24</v>
      </c>
      <c r="D86" s="107">
        <f>2.5*1.546</f>
        <v>3.8650000000000002</v>
      </c>
      <c r="E86" s="108">
        <f>97.11*D86</f>
        <v>375.33015</v>
      </c>
      <c r="F86" s="92"/>
      <c r="G86" s="93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1:18" ht="32.4" hidden="1" customHeight="1" outlineLevel="1" x14ac:dyDescent="0.3">
      <c r="A87" s="96" t="s">
        <v>50</v>
      </c>
      <c r="B87" s="97" t="s">
        <v>78</v>
      </c>
      <c r="C87" s="98" t="s">
        <v>49</v>
      </c>
      <c r="D87" s="99"/>
      <c r="E87" s="100">
        <v>0</v>
      </c>
      <c r="F87" s="101"/>
      <c r="G87" s="102">
        <f>SUM(G88:G101)</f>
        <v>0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</row>
    <row r="88" spans="1:18" ht="32.4" hidden="1" customHeight="1" outlineLevel="2" x14ac:dyDescent="0.3">
      <c r="A88" s="79" t="s">
        <v>52</v>
      </c>
      <c r="B88" s="80" t="s">
        <v>21</v>
      </c>
      <c r="C88" s="103" t="s">
        <v>49</v>
      </c>
      <c r="D88" s="104"/>
      <c r="E88" s="105">
        <f>E87</f>
        <v>0</v>
      </c>
      <c r="F88" s="81">
        <v>58</v>
      </c>
      <c r="G88" s="82">
        <f>F88*E88</f>
        <v>0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pans="1:18" ht="32.4" hidden="1" customHeight="1" outlineLevel="2" x14ac:dyDescent="0.3">
      <c r="A89" s="90" t="s">
        <v>79</v>
      </c>
      <c r="B89" s="91" t="s">
        <v>23</v>
      </c>
      <c r="C89" s="106" t="s">
        <v>24</v>
      </c>
      <c r="D89" s="107">
        <f>0.15*1.2</f>
        <v>0.18</v>
      </c>
      <c r="E89" s="108">
        <f>221.76*D89</f>
        <v>39.916799999999995</v>
      </c>
      <c r="F89" s="92"/>
      <c r="G89" s="93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1:18" ht="32.4" hidden="1" customHeight="1" outlineLevel="2" x14ac:dyDescent="0.3">
      <c r="A90" s="79" t="s">
        <v>80</v>
      </c>
      <c r="B90" s="80" t="s">
        <v>26</v>
      </c>
      <c r="C90" s="103" t="s">
        <v>49</v>
      </c>
      <c r="D90" s="104"/>
      <c r="E90" s="105">
        <f>E88</f>
        <v>0</v>
      </c>
      <c r="F90" s="81">
        <v>730</v>
      </c>
      <c r="G90" s="82">
        <f>F90*E90</f>
        <v>0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</row>
    <row r="91" spans="1:18" ht="32.4" hidden="1" customHeight="1" outlineLevel="2" x14ac:dyDescent="0.3">
      <c r="A91" s="90" t="s">
        <v>81</v>
      </c>
      <c r="B91" s="94" t="s">
        <v>28</v>
      </c>
      <c r="C91" s="106" t="s">
        <v>24</v>
      </c>
      <c r="D91" s="107">
        <f>6*1.2</f>
        <v>7.1999999999999993</v>
      </c>
      <c r="E91" s="108">
        <f t="shared" ref="E91:E93" si="8">221.76*D91</f>
        <v>1596.6719999999998</v>
      </c>
      <c r="F91" s="92"/>
      <c r="G91" s="93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</row>
    <row r="92" spans="1:18" ht="32.4" hidden="1" customHeight="1" outlineLevel="2" x14ac:dyDescent="0.3">
      <c r="A92" s="90" t="s">
        <v>82</v>
      </c>
      <c r="B92" s="95" t="s">
        <v>127</v>
      </c>
      <c r="C92" s="106" t="s">
        <v>30</v>
      </c>
      <c r="D92" s="109">
        <f>0.05*1.07*1.2</f>
        <v>6.4200000000000007E-2</v>
      </c>
      <c r="E92" s="108">
        <f t="shared" si="8"/>
        <v>14.236992000000001</v>
      </c>
      <c r="F92" s="92"/>
      <c r="G92" s="93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1:18" ht="32.4" hidden="1" customHeight="1" outlineLevel="2" x14ac:dyDescent="0.3">
      <c r="A93" s="90" t="s">
        <v>83</v>
      </c>
      <c r="B93" s="94" t="s">
        <v>32</v>
      </c>
      <c r="C93" s="106" t="s">
        <v>33</v>
      </c>
      <c r="D93" s="107">
        <f>8*1.2</f>
        <v>9.6</v>
      </c>
      <c r="E93" s="108">
        <f t="shared" si="8"/>
        <v>2128.8959999999997</v>
      </c>
      <c r="F93" s="92"/>
      <c r="G93" s="93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</row>
    <row r="94" spans="1:18" ht="32.4" hidden="1" customHeight="1" outlineLevel="2" x14ac:dyDescent="0.3">
      <c r="A94" s="79" t="s">
        <v>84</v>
      </c>
      <c r="B94" s="80" t="s">
        <v>42</v>
      </c>
      <c r="C94" s="103" t="s">
        <v>49</v>
      </c>
      <c r="D94" s="104"/>
      <c r="E94" s="105">
        <f>E88</f>
        <v>0</v>
      </c>
      <c r="F94" s="81">
        <v>400</v>
      </c>
      <c r="G94" s="82">
        <f>F94*E94</f>
        <v>0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</row>
    <row r="95" spans="1:18" ht="32.4" hidden="1" customHeight="1" outlineLevel="2" x14ac:dyDescent="0.3">
      <c r="A95" s="90" t="s">
        <v>85</v>
      </c>
      <c r="B95" s="91" t="s">
        <v>44</v>
      </c>
      <c r="C95" s="106" t="s">
        <v>24</v>
      </c>
      <c r="D95" s="107">
        <f>6*1.2</f>
        <v>7.1999999999999993</v>
      </c>
      <c r="E95" s="108">
        <f t="shared" ref="E95:E97" si="9">221.76*D95</f>
        <v>1596.6719999999998</v>
      </c>
      <c r="F95" s="92"/>
      <c r="G95" s="93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pans="1:18" ht="32.4" hidden="1" customHeight="1" outlineLevel="2" x14ac:dyDescent="0.3">
      <c r="A96" s="90" t="s">
        <v>86</v>
      </c>
      <c r="B96" s="91" t="s">
        <v>46</v>
      </c>
      <c r="C96" s="106" t="s">
        <v>11</v>
      </c>
      <c r="D96" s="107">
        <f>1.1*1.2</f>
        <v>1.32</v>
      </c>
      <c r="E96" s="108">
        <f t="shared" si="9"/>
        <v>292.72320000000002</v>
      </c>
      <c r="F96" s="92"/>
      <c r="G96" s="93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1:18" ht="32.4" hidden="1" customHeight="1" outlineLevel="2" x14ac:dyDescent="0.3">
      <c r="A97" s="90" t="s">
        <v>87</v>
      </c>
      <c r="B97" s="91" t="s">
        <v>48</v>
      </c>
      <c r="C97" s="106" t="s">
        <v>49</v>
      </c>
      <c r="D97" s="107">
        <f>1.05*2</f>
        <v>2.1</v>
      </c>
      <c r="E97" s="108">
        <f t="shared" si="9"/>
        <v>465.69600000000003</v>
      </c>
      <c r="F97" s="92"/>
      <c r="G97" s="93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1:18" ht="32.4" hidden="1" customHeight="1" outlineLevel="2" x14ac:dyDescent="0.3">
      <c r="A98" s="79" t="s">
        <v>88</v>
      </c>
      <c r="B98" s="80" t="s">
        <v>51</v>
      </c>
      <c r="C98" s="103" t="s">
        <v>49</v>
      </c>
      <c r="D98" s="104"/>
      <c r="E98" s="105">
        <f>E94</f>
        <v>0</v>
      </c>
      <c r="F98" s="81">
        <v>55</v>
      </c>
      <c r="G98" s="82">
        <f>F98*E98</f>
        <v>0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1:18" ht="32.4" hidden="1" customHeight="1" outlineLevel="2" x14ac:dyDescent="0.3">
      <c r="A99" s="90" t="s">
        <v>89</v>
      </c>
      <c r="B99" s="91" t="s">
        <v>128</v>
      </c>
      <c r="C99" s="106" t="s">
        <v>24</v>
      </c>
      <c r="D99" s="107">
        <f>0.4*1.2</f>
        <v>0.48</v>
      </c>
      <c r="E99" s="108">
        <f>221.76*D99</f>
        <v>106.44479999999999</v>
      </c>
      <c r="F99" s="92"/>
      <c r="G99" s="93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</row>
    <row r="100" spans="1:18" ht="32.4" hidden="1" customHeight="1" outlineLevel="2" x14ac:dyDescent="0.3">
      <c r="A100" s="79" t="s">
        <v>90</v>
      </c>
      <c r="B100" s="80" t="s">
        <v>54</v>
      </c>
      <c r="C100" s="103" t="s">
        <v>49</v>
      </c>
      <c r="D100" s="104"/>
      <c r="E100" s="105">
        <f>E98</f>
        <v>0</v>
      </c>
      <c r="F100" s="81">
        <v>250</v>
      </c>
      <c r="G100" s="82">
        <f>F100*E100</f>
        <v>0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</row>
    <row r="101" spans="1:18" ht="32.4" hidden="1" customHeight="1" outlineLevel="2" x14ac:dyDescent="0.3">
      <c r="A101" s="90" t="s">
        <v>91</v>
      </c>
      <c r="B101" s="91" t="s">
        <v>129</v>
      </c>
      <c r="C101" s="106" t="s">
        <v>24</v>
      </c>
      <c r="D101" s="107">
        <f>2.5*1.2</f>
        <v>3</v>
      </c>
      <c r="E101" s="108">
        <f>221.76*D101</f>
        <v>665.28</v>
      </c>
      <c r="F101" s="92"/>
      <c r="G101" s="93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spans="1:18" ht="23.4" customHeight="1" collapsed="1" x14ac:dyDescent="0.3">
      <c r="A102" s="72" t="s">
        <v>92</v>
      </c>
      <c r="B102" s="73" t="s">
        <v>93</v>
      </c>
      <c r="C102" s="74" t="s">
        <v>11</v>
      </c>
      <c r="D102" s="75"/>
      <c r="E102" s="76">
        <v>145.43</v>
      </c>
      <c r="F102" s="77">
        <f>G102/E102</f>
        <v>637</v>
      </c>
      <c r="G102" s="78">
        <f>SUM(G103:G115)</f>
        <v>92638.91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32.4" hidden="1" customHeight="1" outlineLevel="2" x14ac:dyDescent="0.3">
      <c r="A103" s="79" t="s">
        <v>94</v>
      </c>
      <c r="B103" s="80" t="s">
        <v>21</v>
      </c>
      <c r="C103" s="103" t="s">
        <v>11</v>
      </c>
      <c r="D103" s="104"/>
      <c r="E103" s="105">
        <f>E102</f>
        <v>145.43</v>
      </c>
      <c r="F103" s="81">
        <v>25</v>
      </c>
      <c r="G103" s="82">
        <f>F103*E103</f>
        <v>3635.75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</row>
    <row r="104" spans="1:18" ht="32.4" hidden="1" customHeight="1" outlineLevel="2" x14ac:dyDescent="0.3">
      <c r="A104" s="90" t="s">
        <v>95</v>
      </c>
      <c r="B104" s="91" t="s">
        <v>23</v>
      </c>
      <c r="C104" s="106" t="s">
        <v>24</v>
      </c>
      <c r="D104" s="107">
        <v>0.15</v>
      </c>
      <c r="E104" s="108">
        <f>E103*D104</f>
        <v>21.814499999999999</v>
      </c>
      <c r="F104" s="92"/>
      <c r="G104" s="93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spans="1:18" ht="32.4" hidden="1" customHeight="1" outlineLevel="2" x14ac:dyDescent="0.3">
      <c r="A105" s="79" t="s">
        <v>96</v>
      </c>
      <c r="B105" s="80" t="s">
        <v>26</v>
      </c>
      <c r="C105" s="103" t="s">
        <v>11</v>
      </c>
      <c r="D105" s="104"/>
      <c r="E105" s="105">
        <f>E103</f>
        <v>145.43</v>
      </c>
      <c r="F105" s="81">
        <v>330</v>
      </c>
      <c r="G105" s="82">
        <f>F105*E105</f>
        <v>47991.9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spans="1:18" ht="32.4" hidden="1" customHeight="1" outlineLevel="2" x14ac:dyDescent="0.3">
      <c r="A106" s="90" t="s">
        <v>97</v>
      </c>
      <c r="B106" s="94" t="s">
        <v>28</v>
      </c>
      <c r="C106" s="106" t="s">
        <v>24</v>
      </c>
      <c r="D106" s="107">
        <v>6</v>
      </c>
      <c r="E106" s="108">
        <f>E103*D106</f>
        <v>872.58</v>
      </c>
      <c r="F106" s="92"/>
      <c r="G106" s="93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</row>
    <row r="107" spans="1:18" ht="32.4" hidden="1" customHeight="1" outlineLevel="2" x14ac:dyDescent="0.3">
      <c r="A107" s="90" t="s">
        <v>98</v>
      </c>
      <c r="B107" s="95" t="s">
        <v>127</v>
      </c>
      <c r="C107" s="106" t="s">
        <v>30</v>
      </c>
      <c r="D107" s="109">
        <f>0.05*1.07</f>
        <v>5.3500000000000006E-2</v>
      </c>
      <c r="E107" s="108">
        <f>E103*D107</f>
        <v>7.7805050000000016</v>
      </c>
      <c r="F107" s="92"/>
      <c r="G107" s="93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1:18" ht="32.4" hidden="1" customHeight="1" outlineLevel="2" x14ac:dyDescent="0.3">
      <c r="A108" s="90" t="s">
        <v>99</v>
      </c>
      <c r="B108" s="94" t="s">
        <v>32</v>
      </c>
      <c r="C108" s="106" t="s">
        <v>33</v>
      </c>
      <c r="D108" s="107">
        <v>8</v>
      </c>
      <c r="E108" s="108">
        <f>_xlfn.CEILING.MATH(E103*D108)</f>
        <v>1164</v>
      </c>
      <c r="F108" s="92"/>
      <c r="G108" s="93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</row>
    <row r="109" spans="1:18" ht="32.4" hidden="1" customHeight="1" outlineLevel="2" x14ac:dyDescent="0.3">
      <c r="A109" s="79" t="s">
        <v>100</v>
      </c>
      <c r="B109" s="80" t="s">
        <v>42</v>
      </c>
      <c r="C109" s="103" t="s">
        <v>11</v>
      </c>
      <c r="D109" s="104"/>
      <c r="E109" s="105">
        <f>E103</f>
        <v>145.43</v>
      </c>
      <c r="F109" s="81">
        <v>179</v>
      </c>
      <c r="G109" s="82">
        <f>F109*E109</f>
        <v>26031.97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</row>
    <row r="110" spans="1:18" ht="32.4" hidden="1" customHeight="1" outlineLevel="2" x14ac:dyDescent="0.3">
      <c r="A110" s="90" t="s">
        <v>101</v>
      </c>
      <c r="B110" s="91" t="s">
        <v>44</v>
      </c>
      <c r="C110" s="106" t="s">
        <v>24</v>
      </c>
      <c r="D110" s="107">
        <v>6</v>
      </c>
      <c r="E110" s="108">
        <f>E109*D110</f>
        <v>872.58</v>
      </c>
      <c r="F110" s="92"/>
      <c r="G110" s="93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spans="1:18" ht="32.4" hidden="1" customHeight="1" outlineLevel="2" x14ac:dyDescent="0.3">
      <c r="A111" s="90" t="s">
        <v>102</v>
      </c>
      <c r="B111" s="91" t="s">
        <v>46</v>
      </c>
      <c r="C111" s="106" t="s">
        <v>11</v>
      </c>
      <c r="D111" s="107">
        <v>1.1000000000000001</v>
      </c>
      <c r="E111" s="108">
        <f>E109*D111</f>
        <v>159.97300000000001</v>
      </c>
      <c r="F111" s="92"/>
      <c r="G111" s="93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</row>
    <row r="112" spans="1:18" ht="32.4" hidden="1" customHeight="1" outlineLevel="2" x14ac:dyDescent="0.3">
      <c r="A112" s="79" t="s">
        <v>103</v>
      </c>
      <c r="B112" s="80" t="s">
        <v>51</v>
      </c>
      <c r="C112" s="103" t="s">
        <v>11</v>
      </c>
      <c r="D112" s="104"/>
      <c r="E112" s="105">
        <f>E109</f>
        <v>145.43</v>
      </c>
      <c r="F112" s="81">
        <v>27</v>
      </c>
      <c r="G112" s="82">
        <f>F112*E112</f>
        <v>3926.61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</row>
    <row r="113" spans="1:18" ht="32.4" hidden="1" customHeight="1" outlineLevel="2" x14ac:dyDescent="0.3">
      <c r="A113" s="90" t="s">
        <v>104</v>
      </c>
      <c r="B113" s="91" t="s">
        <v>128</v>
      </c>
      <c r="C113" s="106" t="s">
        <v>24</v>
      </c>
      <c r="D113" s="107">
        <v>0.4</v>
      </c>
      <c r="E113" s="108">
        <f>E112*D113</f>
        <v>58.172000000000004</v>
      </c>
      <c r="F113" s="92"/>
      <c r="G113" s="93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spans="1:18" ht="32.4" hidden="1" customHeight="1" outlineLevel="2" x14ac:dyDescent="0.3">
      <c r="A114" s="79" t="s">
        <v>105</v>
      </c>
      <c r="B114" s="80" t="s">
        <v>54</v>
      </c>
      <c r="C114" s="103" t="s">
        <v>11</v>
      </c>
      <c r="D114" s="104"/>
      <c r="E114" s="105">
        <f>E112</f>
        <v>145.43</v>
      </c>
      <c r="F114" s="81">
        <v>76</v>
      </c>
      <c r="G114" s="82">
        <f>F114*E114</f>
        <v>11052.68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</row>
    <row r="115" spans="1:18" ht="32.4" hidden="1" customHeight="1" outlineLevel="2" x14ac:dyDescent="0.3">
      <c r="A115" s="90" t="s">
        <v>106</v>
      </c>
      <c r="B115" s="91" t="s">
        <v>129</v>
      </c>
      <c r="C115" s="106" t="s">
        <v>24</v>
      </c>
      <c r="D115" s="107">
        <v>2.5</v>
      </c>
      <c r="E115" s="108">
        <f>E114*D115</f>
        <v>363.57500000000005</v>
      </c>
      <c r="F115" s="92"/>
      <c r="G115" s="93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spans="1:18" ht="23.4" customHeight="1" collapsed="1" x14ac:dyDescent="0.3">
      <c r="A116" s="72" t="s">
        <v>92</v>
      </c>
      <c r="B116" s="73" t="s">
        <v>107</v>
      </c>
      <c r="C116" s="74" t="str">
        <f>C117</f>
        <v>м.п.</v>
      </c>
      <c r="D116" s="75"/>
      <c r="E116" s="76">
        <v>1090.4000000000001</v>
      </c>
      <c r="F116" s="77">
        <f>ROUND(G116/E116,0)</f>
        <v>263</v>
      </c>
      <c r="G116" s="78">
        <f>SUM(G117:G127)</f>
        <v>286569.80000000005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32.4" hidden="1" customHeight="1" outlineLevel="2" x14ac:dyDescent="0.3">
      <c r="A117" s="79" t="s">
        <v>94</v>
      </c>
      <c r="B117" s="80" t="s">
        <v>108</v>
      </c>
      <c r="C117" s="103" t="s">
        <v>49</v>
      </c>
      <c r="D117" s="104"/>
      <c r="E117" s="105">
        <v>1090.4000000000001</v>
      </c>
      <c r="F117" s="81">
        <v>107</v>
      </c>
      <c r="G117" s="82">
        <f>F117*E117</f>
        <v>116672.8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32.4" hidden="1" customHeight="1" outlineLevel="2" thickBot="1" x14ac:dyDescent="0.35">
      <c r="A118" s="90" t="s">
        <v>95</v>
      </c>
      <c r="B118" s="94" t="s">
        <v>28</v>
      </c>
      <c r="C118" s="106" t="s">
        <v>24</v>
      </c>
      <c r="D118" s="107">
        <f>6*0.3</f>
        <v>1.7999999999999998</v>
      </c>
      <c r="E118" s="108">
        <f>E117*D118</f>
        <v>1962.72</v>
      </c>
      <c r="F118" s="92"/>
      <c r="G118" s="93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spans="1:18" ht="32.4" hidden="1" customHeight="1" outlineLevel="2" thickBot="1" x14ac:dyDescent="0.35">
      <c r="A119" s="90" t="s">
        <v>109</v>
      </c>
      <c r="B119" s="95" t="s">
        <v>130</v>
      </c>
      <c r="C119" s="106" t="s">
        <v>30</v>
      </c>
      <c r="D119" s="109">
        <f>0.03*1.07*0.3</f>
        <v>9.6300000000000014E-3</v>
      </c>
      <c r="E119" s="108">
        <f>E117*D119</f>
        <v>10.500552000000003</v>
      </c>
      <c r="F119" s="92"/>
      <c r="G119" s="93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1:18" ht="32.4" hidden="1" customHeight="1" outlineLevel="2" thickBot="1" x14ac:dyDescent="0.35">
      <c r="A120" s="79" t="s">
        <v>96</v>
      </c>
      <c r="B120" s="80" t="s">
        <v>110</v>
      </c>
      <c r="C120" s="103" t="s">
        <v>49</v>
      </c>
      <c r="D120" s="104"/>
      <c r="E120" s="105">
        <f>E117</f>
        <v>1090.4000000000001</v>
      </c>
      <c r="F120" s="81">
        <v>89</v>
      </c>
      <c r="G120" s="82">
        <f>F120*E120</f>
        <v>97045.6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32.4" hidden="1" customHeight="1" outlineLevel="2" thickBot="1" x14ac:dyDescent="0.35">
      <c r="A121" s="90" t="s">
        <v>97</v>
      </c>
      <c r="B121" s="91" t="s">
        <v>44</v>
      </c>
      <c r="C121" s="106" t="s">
        <v>24</v>
      </c>
      <c r="D121" s="107">
        <f>6*0.3</f>
        <v>1.7999999999999998</v>
      </c>
      <c r="E121" s="108">
        <f>E120*D121</f>
        <v>1962.72</v>
      </c>
      <c r="F121" s="92"/>
      <c r="G121" s="93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spans="1:18" ht="32.4" hidden="1" customHeight="1" outlineLevel="2" thickBot="1" x14ac:dyDescent="0.35">
      <c r="A122" s="90" t="s">
        <v>98</v>
      </c>
      <c r="B122" s="91" t="s">
        <v>46</v>
      </c>
      <c r="C122" s="106" t="s">
        <v>11</v>
      </c>
      <c r="D122" s="107">
        <f>1.1*0.3</f>
        <v>0.33</v>
      </c>
      <c r="E122" s="108">
        <f>E120*D122</f>
        <v>359.83200000000005</v>
      </c>
      <c r="F122" s="92"/>
      <c r="G122" s="93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1:18" ht="32.4" hidden="1" customHeight="1" outlineLevel="2" thickBot="1" x14ac:dyDescent="0.35">
      <c r="A123" s="90" t="s">
        <v>99</v>
      </c>
      <c r="B123" s="91" t="s">
        <v>48</v>
      </c>
      <c r="C123" s="106" t="s">
        <v>24</v>
      </c>
      <c r="D123" s="107">
        <v>1.05</v>
      </c>
      <c r="E123" s="108">
        <f>E120*D123</f>
        <v>1144.92</v>
      </c>
      <c r="F123" s="92"/>
      <c r="G123" s="93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spans="1:18" ht="32.4" hidden="1" customHeight="1" outlineLevel="2" thickBot="1" x14ac:dyDescent="0.35">
      <c r="A124" s="79" t="s">
        <v>100</v>
      </c>
      <c r="B124" s="80" t="s">
        <v>111</v>
      </c>
      <c r="C124" s="103" t="s">
        <v>49</v>
      </c>
      <c r="D124" s="104"/>
      <c r="E124" s="105">
        <f>E120-191</f>
        <v>899.40000000000009</v>
      </c>
      <c r="F124" s="81">
        <v>18</v>
      </c>
      <c r="G124" s="82">
        <f>F124*E124</f>
        <v>16189.2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32.4" hidden="1" customHeight="1" outlineLevel="2" thickBot="1" x14ac:dyDescent="0.35">
      <c r="A125" s="90" t="s">
        <v>101</v>
      </c>
      <c r="B125" s="91" t="s">
        <v>131</v>
      </c>
      <c r="C125" s="106" t="s">
        <v>24</v>
      </c>
      <c r="D125" s="107">
        <f>0.4*0.3</f>
        <v>0.12</v>
      </c>
      <c r="E125" s="108">
        <f>E124*D125</f>
        <v>107.92800000000001</v>
      </c>
      <c r="F125" s="92"/>
      <c r="G125" s="93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1:18" ht="32.4" hidden="1" customHeight="1" outlineLevel="2" thickBot="1" x14ac:dyDescent="0.35">
      <c r="A126" s="79" t="s">
        <v>103</v>
      </c>
      <c r="B126" s="80" t="s">
        <v>112</v>
      </c>
      <c r="C126" s="103" t="s">
        <v>49</v>
      </c>
      <c r="D126" s="104"/>
      <c r="E126" s="105">
        <f>E124</f>
        <v>899.40000000000009</v>
      </c>
      <c r="F126" s="81">
        <v>63</v>
      </c>
      <c r="G126" s="82">
        <f>F126*E126</f>
        <v>56662.200000000004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32.4" hidden="1" customHeight="1" outlineLevel="2" thickBot="1" x14ac:dyDescent="0.35">
      <c r="A127" s="90" t="s">
        <v>104</v>
      </c>
      <c r="B127" s="91" t="s">
        <v>132</v>
      </c>
      <c r="C127" s="106" t="s">
        <v>24</v>
      </c>
      <c r="D127" s="107">
        <f>2.5*0.3</f>
        <v>0.75</v>
      </c>
      <c r="E127" s="108">
        <f>E126*D127</f>
        <v>674.55000000000007</v>
      </c>
      <c r="F127" s="92"/>
      <c r="G127" s="93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1:18" ht="23.4" customHeight="1" collapsed="1" thickBot="1" x14ac:dyDescent="0.35">
      <c r="A128" s="72" t="s">
        <v>113</v>
      </c>
      <c r="B128" s="73" t="s">
        <v>114</v>
      </c>
      <c r="C128" s="74" t="s">
        <v>49</v>
      </c>
      <c r="D128" s="75"/>
      <c r="E128" s="76">
        <v>191</v>
      </c>
      <c r="F128" s="77">
        <f>G128/E128</f>
        <v>268</v>
      </c>
      <c r="G128" s="78">
        <f>SUM(G129:G134)</f>
        <v>51188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14.25" hidden="1" customHeight="1" outlineLevel="2" thickBot="1" x14ac:dyDescent="0.35">
      <c r="A129" s="59" t="s">
        <v>115</v>
      </c>
      <c r="B129" s="9" t="s">
        <v>116</v>
      </c>
      <c r="C129" s="11" t="s">
        <v>49</v>
      </c>
      <c r="D129" s="12"/>
      <c r="E129" s="13">
        <f>E128</f>
        <v>191</v>
      </c>
      <c r="F129" s="14">
        <v>63</v>
      </c>
      <c r="G129" s="64">
        <f>F129*E129</f>
        <v>12033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14.25" hidden="1" customHeight="1" outlineLevel="2" thickBot="1" x14ac:dyDescent="0.35">
      <c r="A130" s="53" t="s">
        <v>117</v>
      </c>
      <c r="B130" s="9" t="s">
        <v>118</v>
      </c>
      <c r="C130" s="11" t="s">
        <v>49</v>
      </c>
      <c r="D130" s="12"/>
      <c r="E130" s="13">
        <f>E128</f>
        <v>191</v>
      </c>
      <c r="F130" s="14">
        <v>205</v>
      </c>
      <c r="G130" s="64">
        <f>F130*E130</f>
        <v>39155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14.25" hidden="1" customHeight="1" outlineLevel="2" thickBot="1" x14ac:dyDescent="0.35">
      <c r="A131" s="56" t="s">
        <v>119</v>
      </c>
      <c r="B131" s="23" t="s">
        <v>120</v>
      </c>
      <c r="C131" s="25" t="s">
        <v>11</v>
      </c>
      <c r="D131" s="26">
        <v>1.2</v>
      </c>
      <c r="E131" s="27">
        <f>E130*0.38*D131</f>
        <v>87.095999999999989</v>
      </c>
      <c r="F131" s="28"/>
      <c r="G131" s="65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1:18" ht="14.25" hidden="1" customHeight="1" outlineLevel="2" thickBot="1" x14ac:dyDescent="0.35">
      <c r="A132" s="56" t="s">
        <v>121</v>
      </c>
      <c r="B132" s="23" t="s">
        <v>122</v>
      </c>
      <c r="C132" s="25" t="s">
        <v>33</v>
      </c>
      <c r="D132" s="26">
        <f>6*1.05</f>
        <v>6.3000000000000007</v>
      </c>
      <c r="E132" s="27">
        <f>_xlfn.CEILING.MATH(E130*D132)</f>
        <v>1204</v>
      </c>
      <c r="F132" s="28"/>
      <c r="G132" s="65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</row>
    <row r="133" spans="1:18" ht="14.25" hidden="1" customHeight="1" outlineLevel="2" thickBot="1" x14ac:dyDescent="0.35">
      <c r="A133" s="56" t="s">
        <v>123</v>
      </c>
      <c r="B133" s="23" t="s">
        <v>124</v>
      </c>
      <c r="C133" s="25" t="s">
        <v>33</v>
      </c>
      <c r="D133" s="26">
        <v>0.05</v>
      </c>
      <c r="E133" s="27">
        <f>_xlfn.CEILING.MATH(E130*D133)</f>
        <v>10</v>
      </c>
      <c r="F133" s="28"/>
      <c r="G133" s="65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</row>
    <row r="134" spans="1:18" ht="14.25" hidden="1" customHeight="1" outlineLevel="2" thickBot="1" x14ac:dyDescent="0.35">
      <c r="A134" s="56" t="s">
        <v>125</v>
      </c>
      <c r="B134" s="23" t="s">
        <v>126</v>
      </c>
      <c r="C134" s="25" t="s">
        <v>33</v>
      </c>
      <c r="D134" s="26">
        <v>0.09</v>
      </c>
      <c r="E134" s="27">
        <f>_xlfn.CEILING.MATH(E130*D134)</f>
        <v>18</v>
      </c>
      <c r="F134" s="28"/>
      <c r="G134" s="65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</row>
    <row r="135" spans="1:18" s="43" customFormat="1" ht="15" hidden="1" customHeight="1" thickBot="1" x14ac:dyDescent="0.35">
      <c r="A135" s="60">
        <v>5</v>
      </c>
      <c r="B135" s="44" t="s">
        <v>135</v>
      </c>
      <c r="C135" s="45" t="s">
        <v>33</v>
      </c>
      <c r="D135" s="46">
        <v>4</v>
      </c>
      <c r="E135" s="47">
        <v>4</v>
      </c>
      <c r="F135" s="48"/>
      <c r="G135" s="61">
        <f>E135*F135</f>
        <v>0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</row>
    <row r="136" spans="1:18" ht="20.399999999999999" customHeight="1" thickBot="1" x14ac:dyDescent="0.35">
      <c r="A136" s="110" t="s">
        <v>136</v>
      </c>
      <c r="B136" s="111"/>
      <c r="C136" s="111"/>
      <c r="D136" s="111"/>
      <c r="E136" s="111"/>
      <c r="F136" s="112"/>
      <c r="G136" s="71">
        <f>G3+G7+G26+G102+G116+G128</f>
        <v>3286577.5525150001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20.399999999999999" customHeight="1" thickBot="1" x14ac:dyDescent="0.35">
      <c r="A137" s="110" t="s">
        <v>171</v>
      </c>
      <c r="B137" s="111"/>
      <c r="C137" s="111"/>
      <c r="D137" s="111"/>
      <c r="E137" s="111"/>
      <c r="F137" s="112"/>
      <c r="G137" s="71">
        <f>G136/5</f>
        <v>657315.510503</v>
      </c>
    </row>
    <row r="138" spans="1:18" ht="20.399999999999999" customHeight="1" thickBot="1" x14ac:dyDescent="0.35">
      <c r="A138" s="113" t="s">
        <v>172</v>
      </c>
      <c r="B138" s="69"/>
      <c r="C138" s="69"/>
      <c r="D138" s="69"/>
      <c r="E138" s="69"/>
      <c r="F138" s="70"/>
      <c r="G138" s="71">
        <f>SUM(G136:G137)</f>
        <v>3943893.0630180002</v>
      </c>
    </row>
  </sheetData>
  <autoFilter ref="A3:R136" xr:uid="{00000000-0009-0000-0000-000001000000}"/>
  <mergeCells count="9">
    <mergeCell ref="A136:F136"/>
    <mergeCell ref="A137:F137"/>
    <mergeCell ref="A138:F138"/>
    <mergeCell ref="F1:G1"/>
    <mergeCell ref="A1:A2"/>
    <mergeCell ref="B1:B2"/>
    <mergeCell ref="C1:C2"/>
    <mergeCell ref="D1:D2"/>
    <mergeCell ref="E1:E2"/>
  </mergeCells>
  <conditionalFormatting sqref="F8">
    <cfRule type="cellIs" dxfId="82" priority="17" operator="equal">
      <formula>0</formula>
    </cfRule>
  </conditionalFormatting>
  <conditionalFormatting sqref="F10">
    <cfRule type="cellIs" dxfId="81" priority="18" operator="equal">
      <formula>0</formula>
    </cfRule>
  </conditionalFormatting>
  <conditionalFormatting sqref="F14">
    <cfRule type="cellIs" dxfId="80" priority="19" operator="equal">
      <formula>0</formula>
    </cfRule>
  </conditionalFormatting>
  <conditionalFormatting sqref="F18">
    <cfRule type="cellIs" dxfId="79" priority="20" operator="equal">
      <formula>0</formula>
    </cfRule>
  </conditionalFormatting>
  <conditionalFormatting sqref="F22">
    <cfRule type="cellIs" dxfId="78" priority="21" operator="equal">
      <formula>0</formula>
    </cfRule>
  </conditionalFormatting>
  <conditionalFormatting sqref="F24">
    <cfRule type="cellIs" dxfId="77" priority="22" operator="equal">
      <formula>0</formula>
    </cfRule>
  </conditionalFormatting>
  <conditionalFormatting sqref="F28">
    <cfRule type="cellIs" dxfId="76" priority="23" operator="equal">
      <formula>0</formula>
    </cfRule>
  </conditionalFormatting>
  <conditionalFormatting sqref="F30">
    <cfRule type="cellIs" dxfId="75" priority="24" operator="equal">
      <formula>0</formula>
    </cfRule>
  </conditionalFormatting>
  <conditionalFormatting sqref="F34">
    <cfRule type="cellIs" dxfId="74" priority="25" operator="equal">
      <formula>0</formula>
    </cfRule>
  </conditionalFormatting>
  <conditionalFormatting sqref="F38">
    <cfRule type="cellIs" dxfId="73" priority="26" operator="equal">
      <formula>0</formula>
    </cfRule>
  </conditionalFormatting>
  <conditionalFormatting sqref="F40">
    <cfRule type="cellIs" dxfId="72" priority="27" operator="equal">
      <formula>0</formula>
    </cfRule>
  </conditionalFormatting>
  <conditionalFormatting sqref="F43">
    <cfRule type="cellIs" dxfId="71" priority="11" operator="equal">
      <formula>0</formula>
    </cfRule>
  </conditionalFormatting>
  <conditionalFormatting sqref="F45">
    <cfRule type="cellIs" dxfId="70" priority="12" operator="equal">
      <formula>0</formula>
    </cfRule>
  </conditionalFormatting>
  <conditionalFormatting sqref="F49">
    <cfRule type="cellIs" dxfId="69" priority="13" operator="equal">
      <formula>0</formula>
    </cfRule>
  </conditionalFormatting>
  <conditionalFormatting sqref="F53">
    <cfRule type="cellIs" dxfId="68" priority="14" operator="equal">
      <formula>0</formula>
    </cfRule>
  </conditionalFormatting>
  <conditionalFormatting sqref="F55">
    <cfRule type="cellIs" dxfId="67" priority="15" operator="equal">
      <formula>0</formula>
    </cfRule>
  </conditionalFormatting>
  <conditionalFormatting sqref="F58">
    <cfRule type="cellIs" dxfId="66" priority="6" operator="equal">
      <formula>0</formula>
    </cfRule>
  </conditionalFormatting>
  <conditionalFormatting sqref="F60">
    <cfRule type="cellIs" dxfId="65" priority="7" operator="equal">
      <formula>0</formula>
    </cfRule>
  </conditionalFormatting>
  <conditionalFormatting sqref="F64">
    <cfRule type="cellIs" dxfId="64" priority="8" operator="equal">
      <formula>0</formula>
    </cfRule>
  </conditionalFormatting>
  <conditionalFormatting sqref="F68">
    <cfRule type="cellIs" dxfId="63" priority="9" operator="equal">
      <formula>0</formula>
    </cfRule>
  </conditionalFormatting>
  <conditionalFormatting sqref="F70">
    <cfRule type="cellIs" dxfId="62" priority="10" operator="equal">
      <formula>0</formula>
    </cfRule>
  </conditionalFormatting>
  <conditionalFormatting sqref="F73">
    <cfRule type="cellIs" dxfId="61" priority="1" operator="equal">
      <formula>0</formula>
    </cfRule>
  </conditionalFormatting>
  <conditionalFormatting sqref="F75">
    <cfRule type="cellIs" dxfId="60" priority="2" operator="equal">
      <formula>0</formula>
    </cfRule>
  </conditionalFormatting>
  <conditionalFormatting sqref="F79">
    <cfRule type="cellIs" dxfId="59" priority="3" operator="equal">
      <formula>0</formula>
    </cfRule>
  </conditionalFormatting>
  <conditionalFormatting sqref="F83">
    <cfRule type="cellIs" dxfId="58" priority="4" operator="equal">
      <formula>0</formula>
    </cfRule>
  </conditionalFormatting>
  <conditionalFormatting sqref="F85">
    <cfRule type="cellIs" dxfId="57" priority="5" operator="equal">
      <formula>0</formula>
    </cfRule>
  </conditionalFormatting>
  <conditionalFormatting sqref="F88">
    <cfRule type="cellIs" dxfId="56" priority="28" operator="equal">
      <formula>0</formula>
    </cfRule>
  </conditionalFormatting>
  <conditionalFormatting sqref="F90">
    <cfRule type="cellIs" dxfId="55" priority="29" operator="equal">
      <formula>0</formula>
    </cfRule>
  </conditionalFormatting>
  <conditionalFormatting sqref="F94">
    <cfRule type="cellIs" dxfId="54" priority="30" operator="equal">
      <formula>0</formula>
    </cfRule>
  </conditionalFormatting>
  <conditionalFormatting sqref="F98">
    <cfRule type="cellIs" dxfId="53" priority="31" operator="equal">
      <formula>0</formula>
    </cfRule>
  </conditionalFormatting>
  <conditionalFormatting sqref="F100">
    <cfRule type="cellIs" dxfId="52" priority="32" operator="equal">
      <formula>0</formula>
    </cfRule>
  </conditionalFormatting>
  <conditionalFormatting sqref="F103">
    <cfRule type="cellIs" dxfId="51" priority="33" operator="equal">
      <formula>0</formula>
    </cfRule>
  </conditionalFormatting>
  <conditionalFormatting sqref="F105">
    <cfRule type="cellIs" dxfId="50" priority="34" operator="equal">
      <formula>0</formula>
    </cfRule>
  </conditionalFormatting>
  <conditionalFormatting sqref="F109">
    <cfRule type="cellIs" dxfId="49" priority="35" operator="equal">
      <formula>0</formula>
    </cfRule>
  </conditionalFormatting>
  <conditionalFormatting sqref="F112">
    <cfRule type="cellIs" dxfId="48" priority="36" operator="equal">
      <formula>0</formula>
    </cfRule>
  </conditionalFormatting>
  <conditionalFormatting sqref="F114">
    <cfRule type="cellIs" dxfId="47" priority="37" operator="equal">
      <formula>0</formula>
    </cfRule>
  </conditionalFormatting>
  <conditionalFormatting sqref="F117">
    <cfRule type="cellIs" dxfId="46" priority="38" operator="equal">
      <formula>0</formula>
    </cfRule>
  </conditionalFormatting>
  <conditionalFormatting sqref="F120">
    <cfRule type="cellIs" dxfId="45" priority="39" operator="equal">
      <formula>0</formula>
    </cfRule>
  </conditionalFormatting>
  <conditionalFormatting sqref="F124">
    <cfRule type="cellIs" dxfId="44" priority="40" operator="equal">
      <formula>0</formula>
    </cfRule>
  </conditionalFormatting>
  <conditionalFormatting sqref="F126">
    <cfRule type="cellIs" dxfId="43" priority="41" operator="equal">
      <formula>0</formula>
    </cfRule>
  </conditionalFormatting>
  <conditionalFormatting sqref="F129:F130">
    <cfRule type="cellIs" dxfId="42" priority="42" operator="equal">
      <formula>0</formula>
    </cfRule>
  </conditionalFormatting>
  <printOptions horizontalCentered="1"/>
  <pageMargins left="0.25" right="0.25" top="0.75" bottom="0.75" header="0" footer="0"/>
  <pageSetup paperSize="9" scale="89" fitToHeight="0" orientation="landscape" r:id="rId1"/>
  <headerFooter>
    <oddFooter>&amp;RАркуш. &amp;P Аркушів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S137"/>
  <sheetViews>
    <sheetView topLeftCell="A72" zoomScaleNormal="100" zoomScaleSheetLayoutView="70" workbookViewId="0">
      <selection activeCell="G1" sqref="G1:H1"/>
    </sheetView>
  </sheetViews>
  <sheetFormatPr defaultColWidth="14.44140625" defaultRowHeight="15" customHeight="1" outlineLevelRow="2" x14ac:dyDescent="0.3"/>
  <cols>
    <col min="1" max="1" width="8.5546875" style="2" customWidth="1"/>
    <col min="2" max="2" width="52.109375" style="2" customWidth="1"/>
    <col min="3" max="3" width="10.6640625" style="2" hidden="1" customWidth="1"/>
    <col min="4" max="4" width="9.5546875" style="2" customWidth="1"/>
    <col min="5" max="5" width="9.5546875" style="2" hidden="1" customWidth="1"/>
    <col min="6" max="6" width="9.88671875" style="2" customWidth="1"/>
    <col min="7" max="7" width="13.5546875" style="2" customWidth="1"/>
    <col min="8" max="8" width="15.88671875" style="2" customWidth="1"/>
    <col min="9" max="11" width="13" style="2" customWidth="1"/>
    <col min="12" max="12" width="9.109375" style="2" customWidth="1"/>
    <col min="13" max="13" width="7.44140625" style="2" customWidth="1"/>
    <col min="14" max="14" width="11.6640625" style="2" customWidth="1"/>
    <col min="15" max="15" width="12.109375" style="2" customWidth="1"/>
    <col min="16" max="19" width="9.109375" style="2" customWidth="1"/>
    <col min="20" max="16384" width="14.44140625" style="2"/>
  </cols>
  <sheetData>
    <row r="1" spans="1:19" s="132" customFormat="1" ht="49.5" customHeight="1" x14ac:dyDescent="0.3">
      <c r="A1" s="124" t="s">
        <v>0</v>
      </c>
      <c r="B1" s="125" t="s">
        <v>1</v>
      </c>
      <c r="C1" s="126" t="s">
        <v>2</v>
      </c>
      <c r="D1" s="127" t="s">
        <v>3</v>
      </c>
      <c r="E1" s="128" t="s">
        <v>4</v>
      </c>
      <c r="F1" s="129" t="s">
        <v>5</v>
      </c>
      <c r="G1" s="130" t="s">
        <v>173</v>
      </c>
      <c r="H1" s="131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132" customFormat="1" ht="30" customHeight="1" thickBot="1" x14ac:dyDescent="0.35">
      <c r="A2" s="133"/>
      <c r="B2" s="134"/>
      <c r="C2" s="135"/>
      <c r="D2" s="136"/>
      <c r="E2" s="137"/>
      <c r="F2" s="138"/>
      <c r="G2" s="139" t="s">
        <v>6</v>
      </c>
      <c r="H2" s="140" t="s">
        <v>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4.25" customHeight="1" x14ac:dyDescent="0.3">
      <c r="A3" s="51">
        <v>1</v>
      </c>
      <c r="B3" s="4" t="s">
        <v>8</v>
      </c>
      <c r="C3" s="5"/>
      <c r="D3" s="6" t="str">
        <f>D4</f>
        <v>м2</v>
      </c>
      <c r="E3" s="7"/>
      <c r="F3" s="8">
        <f>F4</f>
        <v>1434.31</v>
      </c>
      <c r="G3" s="63">
        <f>ROUND(H3/F3,0)</f>
        <v>157</v>
      </c>
      <c r="H3" s="52">
        <f>SUM(H4:H6)</f>
        <v>225841.43251499999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 outlineLevel="2" x14ac:dyDescent="0.3">
      <c r="A4" s="53" t="s">
        <v>9</v>
      </c>
      <c r="B4" s="9" t="s">
        <v>10</v>
      </c>
      <c r="C4" s="10"/>
      <c r="D4" s="114" t="s">
        <v>11</v>
      </c>
      <c r="E4" s="115"/>
      <c r="F4" s="116">
        <f>1434.31</f>
        <v>1434.31</v>
      </c>
      <c r="G4" s="14">
        <v>138</v>
      </c>
      <c r="H4" s="64">
        <f>G4*F4</f>
        <v>197934.78</v>
      </c>
      <c r="I4" s="15"/>
      <c r="J4" s="15"/>
      <c r="K4" s="3"/>
      <c r="L4" s="3"/>
      <c r="M4" s="3"/>
      <c r="N4" s="3"/>
      <c r="O4" s="3"/>
      <c r="P4" s="3"/>
      <c r="Q4" s="3"/>
      <c r="R4" s="3"/>
      <c r="S4" s="3"/>
    </row>
    <row r="5" spans="1:19" ht="14.25" customHeight="1" outlineLevel="2" x14ac:dyDescent="0.3">
      <c r="A5" s="53" t="s">
        <v>12</v>
      </c>
      <c r="B5" s="16" t="s">
        <v>13</v>
      </c>
      <c r="C5" s="10"/>
      <c r="D5" s="114" t="s">
        <v>14</v>
      </c>
      <c r="E5" s="115"/>
      <c r="F5" s="116">
        <f>((0.025*1700+12)*F4)/1000</f>
        <v>78.169895000000011</v>
      </c>
      <c r="G5" s="14">
        <v>357</v>
      </c>
      <c r="H5" s="64">
        <f>G5*F5</f>
        <v>27906.652515000005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 outlineLevel="2" x14ac:dyDescent="0.3">
      <c r="A6" s="53" t="s">
        <v>15</v>
      </c>
      <c r="B6" s="9" t="s">
        <v>16</v>
      </c>
      <c r="C6" s="10"/>
      <c r="D6" s="114" t="s">
        <v>17</v>
      </c>
      <c r="E6" s="115"/>
      <c r="F6" s="116">
        <f>_xlfn.CEILING.MATH(F5/20)</f>
        <v>4</v>
      </c>
      <c r="G6" s="117"/>
      <c r="H6" s="64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25" customHeight="1" x14ac:dyDescent="0.3">
      <c r="A7" s="54" t="s">
        <v>18</v>
      </c>
      <c r="B7" s="17" t="s">
        <v>19</v>
      </c>
      <c r="C7" s="18"/>
      <c r="D7" s="19" t="s">
        <v>11</v>
      </c>
      <c r="E7" s="20"/>
      <c r="F7" s="21">
        <f>2580.09+860.27</f>
        <v>3440.36</v>
      </c>
      <c r="G7" s="63">
        <f>ROUND(H7/F7,0)</f>
        <v>625</v>
      </c>
      <c r="H7" s="55">
        <f>SUM(H8:H25)</f>
        <v>2150912</v>
      </c>
      <c r="I7" s="49">
        <f>F7+F102</f>
        <v>3585.79</v>
      </c>
      <c r="J7" s="22" t="s">
        <v>11</v>
      </c>
      <c r="K7" s="22"/>
      <c r="L7" s="22"/>
      <c r="M7" s="22"/>
      <c r="N7" s="22"/>
      <c r="O7" s="22"/>
      <c r="P7" s="22"/>
      <c r="Q7" s="22"/>
      <c r="R7" s="22"/>
      <c r="S7" s="22"/>
    </row>
    <row r="8" spans="1:19" ht="13.8" customHeight="1" outlineLevel="2" x14ac:dyDescent="0.3">
      <c r="A8" s="53" t="s">
        <v>20</v>
      </c>
      <c r="B8" s="9" t="s">
        <v>21</v>
      </c>
      <c r="C8" s="10"/>
      <c r="D8" s="114" t="s">
        <v>11</v>
      </c>
      <c r="E8" s="115"/>
      <c r="F8" s="116">
        <f>F7</f>
        <v>3440.36</v>
      </c>
      <c r="G8" s="14">
        <v>27</v>
      </c>
      <c r="H8" s="64">
        <f>G8*F8</f>
        <v>92889.72</v>
      </c>
      <c r="I8" s="50">
        <f>F116</f>
        <v>1090.4000000000001</v>
      </c>
      <c r="J8" s="3" t="s">
        <v>168</v>
      </c>
      <c r="K8" s="3"/>
      <c r="L8" s="3"/>
      <c r="M8" s="3"/>
      <c r="N8" s="3"/>
      <c r="O8" s="3"/>
      <c r="P8" s="3"/>
      <c r="Q8" s="3"/>
      <c r="R8" s="3"/>
      <c r="S8" s="3"/>
    </row>
    <row r="9" spans="1:19" ht="14.25" hidden="1" customHeight="1" outlineLevel="2" x14ac:dyDescent="0.3">
      <c r="A9" s="56" t="s">
        <v>22</v>
      </c>
      <c r="B9" s="23" t="s">
        <v>23</v>
      </c>
      <c r="C9" s="24"/>
      <c r="D9" s="118" t="s">
        <v>24</v>
      </c>
      <c r="E9" s="119">
        <v>0.15</v>
      </c>
      <c r="F9" s="120">
        <f>F8*E9</f>
        <v>516.05399999999997</v>
      </c>
      <c r="G9" s="121"/>
      <c r="H9" s="65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19" ht="14.25" customHeight="1" outlineLevel="2" x14ac:dyDescent="0.3">
      <c r="A10" s="53" t="s">
        <v>25</v>
      </c>
      <c r="B10" s="9" t="s">
        <v>26</v>
      </c>
      <c r="C10" s="10"/>
      <c r="D10" s="114" t="s">
        <v>11</v>
      </c>
      <c r="E10" s="115"/>
      <c r="F10" s="116">
        <f>F8</f>
        <v>3440.36</v>
      </c>
      <c r="G10" s="14">
        <v>268</v>
      </c>
      <c r="H10" s="64">
        <f>G10*F10</f>
        <v>922016.48</v>
      </c>
      <c r="I10" s="50">
        <f>F26</f>
        <v>328.27</v>
      </c>
      <c r="J10" s="3" t="s">
        <v>169</v>
      </c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4.25" hidden="1" customHeight="1" outlineLevel="2" x14ac:dyDescent="0.3">
      <c r="A11" s="56" t="s">
        <v>27</v>
      </c>
      <c r="B11" s="30" t="s">
        <v>28</v>
      </c>
      <c r="C11" s="24"/>
      <c r="D11" s="118" t="s">
        <v>24</v>
      </c>
      <c r="E11" s="119">
        <v>6</v>
      </c>
      <c r="F11" s="120">
        <f>F8*E11</f>
        <v>20642.16</v>
      </c>
      <c r="G11" s="121"/>
      <c r="H11" s="65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14.25" hidden="1" customHeight="1" outlineLevel="2" x14ac:dyDescent="0.3">
      <c r="A12" s="56" t="s">
        <v>29</v>
      </c>
      <c r="B12" s="31" t="s">
        <v>127</v>
      </c>
      <c r="C12" s="24"/>
      <c r="D12" s="118" t="s">
        <v>30</v>
      </c>
      <c r="E12" s="122">
        <f>0.05*1.07</f>
        <v>5.3500000000000006E-2</v>
      </c>
      <c r="F12" s="120">
        <f>F8*E12</f>
        <v>184.05926000000002</v>
      </c>
      <c r="G12" s="121"/>
      <c r="H12" s="65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ht="14.25" hidden="1" customHeight="1" outlineLevel="2" x14ac:dyDescent="0.3">
      <c r="A13" s="56" t="s">
        <v>31</v>
      </c>
      <c r="B13" s="30" t="s">
        <v>32</v>
      </c>
      <c r="C13" s="24"/>
      <c r="D13" s="118" t="s">
        <v>33</v>
      </c>
      <c r="E13" s="119">
        <v>8</v>
      </c>
      <c r="F13" s="120">
        <f>_xlfn.CEILING.MATH(F8*E13)</f>
        <v>27523</v>
      </c>
      <c r="G13" s="121"/>
      <c r="H13" s="65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ht="28.8" outlineLevel="2" x14ac:dyDescent="0.3">
      <c r="A14" s="53" t="s">
        <v>34</v>
      </c>
      <c r="B14" s="9" t="s">
        <v>35</v>
      </c>
      <c r="C14" s="10"/>
      <c r="D14" s="114" t="s">
        <v>11</v>
      </c>
      <c r="E14" s="115"/>
      <c r="F14" s="116">
        <f>1032.03+344.11</f>
        <v>1376.1399999999999</v>
      </c>
      <c r="G14" s="14">
        <v>268</v>
      </c>
      <c r="H14" s="64">
        <f>G14*F14</f>
        <v>368805.51999999996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ht="14.25" hidden="1" customHeight="1" outlineLevel="2" x14ac:dyDescent="0.3">
      <c r="A15" s="56" t="s">
        <v>36</v>
      </c>
      <c r="B15" s="30" t="s">
        <v>28</v>
      </c>
      <c r="C15" s="24"/>
      <c r="D15" s="118" t="s">
        <v>24</v>
      </c>
      <c r="E15" s="119">
        <v>6</v>
      </c>
      <c r="F15" s="120">
        <f>F14*E15</f>
        <v>8256.84</v>
      </c>
      <c r="G15" s="121"/>
      <c r="H15" s="65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14.25" hidden="1" customHeight="1" outlineLevel="2" x14ac:dyDescent="0.3">
      <c r="A16" s="56" t="s">
        <v>37</v>
      </c>
      <c r="B16" s="31" t="s">
        <v>38</v>
      </c>
      <c r="C16" s="24"/>
      <c r="D16" s="118" t="s">
        <v>30</v>
      </c>
      <c r="E16" s="122">
        <f>0.02*1.07</f>
        <v>2.1400000000000002E-2</v>
      </c>
      <c r="F16" s="120">
        <f>F14*E16</f>
        <v>29.449396</v>
      </c>
      <c r="G16" s="121"/>
      <c r="H16" s="65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14.25" hidden="1" customHeight="1" outlineLevel="2" x14ac:dyDescent="0.3">
      <c r="A17" s="56" t="s">
        <v>39</v>
      </c>
      <c r="B17" s="30" t="s">
        <v>40</v>
      </c>
      <c r="C17" s="24"/>
      <c r="D17" s="118" t="s">
        <v>33</v>
      </c>
      <c r="E17" s="119">
        <v>4</v>
      </c>
      <c r="F17" s="120">
        <f>_xlfn.CEILING.MATH(F14*E17)</f>
        <v>5505</v>
      </c>
      <c r="G17" s="121"/>
      <c r="H17" s="65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4.25" customHeight="1" outlineLevel="2" x14ac:dyDescent="0.3">
      <c r="A18" s="53" t="s">
        <v>41</v>
      </c>
      <c r="B18" s="9" t="s">
        <v>42</v>
      </c>
      <c r="C18" s="10"/>
      <c r="D18" s="114" t="s">
        <v>11</v>
      </c>
      <c r="E18" s="115"/>
      <c r="F18" s="116">
        <f>F8</f>
        <v>3440.36</v>
      </c>
      <c r="G18" s="14">
        <v>134</v>
      </c>
      <c r="H18" s="64">
        <f>G18*F18</f>
        <v>461008.24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25" hidden="1" customHeight="1" outlineLevel="2" x14ac:dyDescent="0.3">
      <c r="A19" s="56" t="s">
        <v>43</v>
      </c>
      <c r="B19" s="23" t="s">
        <v>44</v>
      </c>
      <c r="C19" s="24"/>
      <c r="D19" s="118" t="s">
        <v>24</v>
      </c>
      <c r="E19" s="119">
        <v>6</v>
      </c>
      <c r="F19" s="120">
        <f>F18*E19</f>
        <v>20642.16</v>
      </c>
      <c r="G19" s="121"/>
      <c r="H19" s="65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4.25" hidden="1" customHeight="1" outlineLevel="2" x14ac:dyDescent="0.3">
      <c r="A20" s="56" t="s">
        <v>45</v>
      </c>
      <c r="B20" s="23" t="s">
        <v>46</v>
      </c>
      <c r="C20" s="24"/>
      <c r="D20" s="118" t="s">
        <v>11</v>
      </c>
      <c r="E20" s="119">
        <v>1.1000000000000001</v>
      </c>
      <c r="F20" s="120">
        <f>F18*E20</f>
        <v>3784.3960000000006</v>
      </c>
      <c r="G20" s="121"/>
      <c r="H20" s="65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4.25" hidden="1" customHeight="1" outlineLevel="2" x14ac:dyDescent="0.3">
      <c r="A21" s="56" t="s">
        <v>47</v>
      </c>
      <c r="B21" s="23" t="s">
        <v>48</v>
      </c>
      <c r="C21" s="24"/>
      <c r="D21" s="118" t="s">
        <v>49</v>
      </c>
      <c r="E21" s="119">
        <v>1.05</v>
      </c>
      <c r="F21" s="108">
        <v>1100</v>
      </c>
      <c r="G21" s="121"/>
      <c r="H21" s="65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14.25" customHeight="1" outlineLevel="2" x14ac:dyDescent="0.3">
      <c r="A22" s="53" t="s">
        <v>50</v>
      </c>
      <c r="B22" s="9" t="s">
        <v>51</v>
      </c>
      <c r="C22" s="10"/>
      <c r="D22" s="114" t="s">
        <v>11</v>
      </c>
      <c r="E22" s="115"/>
      <c r="F22" s="116">
        <f>F18</f>
        <v>3440.36</v>
      </c>
      <c r="G22" s="14">
        <v>22</v>
      </c>
      <c r="H22" s="64">
        <f>G22*F22</f>
        <v>75687.92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25" hidden="1" customHeight="1" outlineLevel="2" x14ac:dyDescent="0.3">
      <c r="A23" s="56" t="s">
        <v>52</v>
      </c>
      <c r="B23" s="23" t="s">
        <v>133</v>
      </c>
      <c r="C23" s="24"/>
      <c r="D23" s="118" t="s">
        <v>24</v>
      </c>
      <c r="E23" s="119">
        <v>0.4</v>
      </c>
      <c r="F23" s="120">
        <f>F22*E23</f>
        <v>1376.1440000000002</v>
      </c>
      <c r="G23" s="121"/>
      <c r="H23" s="65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4.25" customHeight="1" outlineLevel="2" x14ac:dyDescent="0.3">
      <c r="A24" s="53" t="s">
        <v>53</v>
      </c>
      <c r="B24" s="9" t="s">
        <v>54</v>
      </c>
      <c r="C24" s="10"/>
      <c r="D24" s="114" t="s">
        <v>11</v>
      </c>
      <c r="E24" s="115"/>
      <c r="F24" s="116">
        <f>F22</f>
        <v>3440.36</v>
      </c>
      <c r="G24" s="14">
        <v>67</v>
      </c>
      <c r="H24" s="64">
        <f>G24*F24</f>
        <v>230504.12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25" hidden="1" customHeight="1" outlineLevel="2" x14ac:dyDescent="0.3">
      <c r="A25" s="56" t="s">
        <v>55</v>
      </c>
      <c r="B25" s="23" t="s">
        <v>129</v>
      </c>
      <c r="C25" s="24"/>
      <c r="D25" s="118" t="s">
        <v>24</v>
      </c>
      <c r="E25" s="119">
        <v>2.5</v>
      </c>
      <c r="F25" s="120">
        <f>F24*E25</f>
        <v>8600.9</v>
      </c>
      <c r="G25" s="121"/>
      <c r="H25" s="6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26.25" customHeight="1" x14ac:dyDescent="0.3">
      <c r="A26" s="54" t="s">
        <v>92</v>
      </c>
      <c r="B26" s="17" t="s">
        <v>56</v>
      </c>
      <c r="C26" s="18"/>
      <c r="D26" s="19" t="s">
        <v>49</v>
      </c>
      <c r="E26" s="20"/>
      <c r="F26" s="21">
        <f>F27+F42+F57+F72+F87</f>
        <v>328.27</v>
      </c>
      <c r="G26" s="63">
        <f>ROUND(H26/F26,0)</f>
        <v>1460</v>
      </c>
      <c r="H26" s="55">
        <f>H27+H42+H57+H72+H87</f>
        <v>479427.41</v>
      </c>
      <c r="I26" s="32"/>
      <c r="J26" s="32"/>
      <c r="K26" s="32"/>
      <c r="L26" s="32"/>
      <c r="M26" s="32"/>
      <c r="N26" s="32"/>
      <c r="O26" s="32"/>
      <c r="P26" s="29"/>
      <c r="Q26" s="29"/>
      <c r="R26" s="29"/>
      <c r="S26" s="29"/>
    </row>
    <row r="27" spans="1:19" ht="41.25" hidden="1" customHeight="1" outlineLevel="1" x14ac:dyDescent="0.3">
      <c r="A27" s="57" t="s">
        <v>94</v>
      </c>
      <c r="B27" s="33" t="s">
        <v>134</v>
      </c>
      <c r="C27" s="34"/>
      <c r="D27" s="35" t="s">
        <v>49</v>
      </c>
      <c r="E27" s="36"/>
      <c r="F27" s="37">
        <v>0</v>
      </c>
      <c r="G27" s="38"/>
      <c r="H27" s="58">
        <f>SUM(H28:H41)</f>
        <v>0</v>
      </c>
      <c r="I27" s="32"/>
      <c r="J27" s="32"/>
      <c r="K27" s="32"/>
      <c r="L27" s="32"/>
      <c r="M27" s="32"/>
      <c r="N27" s="32"/>
      <c r="O27" s="32"/>
      <c r="P27" s="29"/>
      <c r="Q27" s="29"/>
      <c r="R27" s="29"/>
      <c r="S27" s="29"/>
    </row>
    <row r="28" spans="1:19" ht="14.25" hidden="1" customHeight="1" outlineLevel="2" x14ac:dyDescent="0.3">
      <c r="A28" s="53" t="s">
        <v>95</v>
      </c>
      <c r="B28" s="9" t="s">
        <v>21</v>
      </c>
      <c r="C28" s="10"/>
      <c r="D28" s="114" t="s">
        <v>49</v>
      </c>
      <c r="E28" s="115"/>
      <c r="F28" s="116">
        <f>F27</f>
        <v>0</v>
      </c>
      <c r="G28" s="14">
        <v>60</v>
      </c>
      <c r="H28" s="64">
        <f>G28*F28</f>
        <v>0</v>
      </c>
      <c r="I28" s="32"/>
      <c r="J28" s="32"/>
      <c r="K28" s="32"/>
      <c r="L28" s="32"/>
      <c r="M28" s="32"/>
      <c r="N28" s="32"/>
      <c r="O28" s="32"/>
      <c r="P28" s="29"/>
      <c r="Q28" s="29"/>
      <c r="R28" s="29"/>
      <c r="S28" s="29"/>
    </row>
    <row r="29" spans="1:19" ht="14.25" hidden="1" customHeight="1" outlineLevel="2" x14ac:dyDescent="0.3">
      <c r="A29" s="56" t="s">
        <v>137</v>
      </c>
      <c r="B29" s="23" t="s">
        <v>23</v>
      </c>
      <c r="C29" s="24"/>
      <c r="D29" s="118" t="s">
        <v>24</v>
      </c>
      <c r="E29" s="119">
        <f>1.882*0.15</f>
        <v>0.2823</v>
      </c>
      <c r="F29" s="120">
        <f>S31*E29</f>
        <v>212.24403678000002</v>
      </c>
      <c r="G29" s="121"/>
      <c r="H29" s="65"/>
      <c r="I29" s="32"/>
      <c r="J29" s="32"/>
      <c r="K29" s="32"/>
      <c r="L29" s="32"/>
      <c r="M29" s="32"/>
      <c r="N29" s="39" t="s">
        <v>57</v>
      </c>
      <c r="O29" s="39" t="s">
        <v>58</v>
      </c>
      <c r="P29" s="39" t="s">
        <v>59</v>
      </c>
      <c r="Q29" s="39" t="s">
        <v>60</v>
      </c>
      <c r="R29" s="39" t="s">
        <v>61</v>
      </c>
      <c r="S29" s="39" t="s">
        <v>62</v>
      </c>
    </row>
    <row r="30" spans="1:19" ht="14.25" hidden="1" customHeight="1" outlineLevel="2" x14ac:dyDescent="0.3">
      <c r="A30" s="53" t="s">
        <v>63</v>
      </c>
      <c r="B30" s="9" t="s">
        <v>26</v>
      </c>
      <c r="C30" s="10"/>
      <c r="D30" s="114" t="s">
        <v>49</v>
      </c>
      <c r="E30" s="115"/>
      <c r="F30" s="116">
        <f>F28</f>
        <v>0</v>
      </c>
      <c r="G30" s="14">
        <v>800</v>
      </c>
      <c r="H30" s="64">
        <f>G30*F30</f>
        <v>0</v>
      </c>
      <c r="I30" s="32"/>
      <c r="J30" s="32"/>
      <c r="K30" s="32"/>
      <c r="L30" s="32"/>
      <c r="M30" s="32"/>
      <c r="N30" s="39"/>
      <c r="O30" s="39"/>
      <c r="P30" s="39"/>
      <c r="Q30" s="39"/>
      <c r="R30" s="39"/>
      <c r="S30" s="39"/>
    </row>
    <row r="31" spans="1:19" ht="14.25" hidden="1" customHeight="1" outlineLevel="2" x14ac:dyDescent="0.3">
      <c r="A31" s="56" t="s">
        <v>138</v>
      </c>
      <c r="B31" s="30" t="s">
        <v>28</v>
      </c>
      <c r="C31" s="24"/>
      <c r="D31" s="118" t="s">
        <v>24</v>
      </c>
      <c r="E31" s="119">
        <f>1.882*6</f>
        <v>11.292</v>
      </c>
      <c r="F31" s="120">
        <f>S31*E31</f>
        <v>8489.7614711999995</v>
      </c>
      <c r="G31" s="121"/>
      <c r="H31" s="65"/>
      <c r="I31" s="32"/>
      <c r="J31" s="32"/>
      <c r="K31" s="32"/>
      <c r="L31" s="32"/>
      <c r="M31" s="32"/>
      <c r="N31" s="39">
        <v>1</v>
      </c>
      <c r="O31" s="39">
        <v>17</v>
      </c>
      <c r="P31" s="39">
        <v>19.850000000000001</v>
      </c>
      <c r="Q31" s="39">
        <f t="shared" ref="Q31:Q35" si="0">P31*O31</f>
        <v>337.45000000000005</v>
      </c>
      <c r="R31" s="39">
        <f>0.53+0.235+0.283+0.133+0.283+0.234+0.53</f>
        <v>2.2279999999999998</v>
      </c>
      <c r="S31" s="39">
        <f t="shared" ref="S31:S35" si="1">R31*Q31</f>
        <v>751.83860000000004</v>
      </c>
    </row>
    <row r="32" spans="1:19" ht="14.25" hidden="1" customHeight="1" outlineLevel="2" x14ac:dyDescent="0.3">
      <c r="A32" s="56" t="s">
        <v>139</v>
      </c>
      <c r="B32" s="31" t="s">
        <v>127</v>
      </c>
      <c r="C32" s="24"/>
      <c r="D32" s="118" t="s">
        <v>30</v>
      </c>
      <c r="E32" s="122">
        <f>0.05*1.07*1.882</f>
        <v>0.100687</v>
      </c>
      <c r="F32" s="120">
        <f>S31*E32</f>
        <v>75.700373118200005</v>
      </c>
      <c r="G32" s="121"/>
      <c r="H32" s="65"/>
      <c r="I32" s="32"/>
      <c r="J32" s="32"/>
      <c r="K32" s="32"/>
      <c r="L32" s="32"/>
      <c r="M32" s="32"/>
      <c r="N32" s="39">
        <v>2</v>
      </c>
      <c r="O32" s="39">
        <v>5</v>
      </c>
      <c r="P32" s="39">
        <v>23.9</v>
      </c>
      <c r="Q32" s="39">
        <f t="shared" si="0"/>
        <v>119.5</v>
      </c>
      <c r="R32" s="39">
        <f>(0.43+0.4+0.43)</f>
        <v>1.26</v>
      </c>
      <c r="S32" s="39">
        <f t="shared" si="1"/>
        <v>150.57</v>
      </c>
    </row>
    <row r="33" spans="1:19" ht="14.25" hidden="1" customHeight="1" outlineLevel="2" x14ac:dyDescent="0.3">
      <c r="A33" s="56" t="s">
        <v>140</v>
      </c>
      <c r="B33" s="30" t="s">
        <v>32</v>
      </c>
      <c r="C33" s="24"/>
      <c r="D33" s="118" t="s">
        <v>33</v>
      </c>
      <c r="E33" s="119">
        <v>24</v>
      </c>
      <c r="F33" s="120">
        <f>S31*E33</f>
        <v>18044.126400000001</v>
      </c>
      <c r="G33" s="121"/>
      <c r="H33" s="65"/>
      <c r="I33" s="32"/>
      <c r="J33" s="32"/>
      <c r="K33" s="32"/>
      <c r="L33" s="32"/>
      <c r="M33" s="32"/>
      <c r="N33" s="39">
        <v>3</v>
      </c>
      <c r="O33" s="39">
        <v>4</v>
      </c>
      <c r="P33" s="39">
        <v>36.51</v>
      </c>
      <c r="Q33" s="39">
        <f t="shared" si="0"/>
        <v>146.04</v>
      </c>
      <c r="R33" s="39">
        <f>0.25+0.35+0.25</f>
        <v>0.85</v>
      </c>
      <c r="S33" s="39">
        <f t="shared" si="1"/>
        <v>124.13399999999999</v>
      </c>
    </row>
    <row r="34" spans="1:19" ht="14.25" hidden="1" customHeight="1" outlineLevel="2" x14ac:dyDescent="0.3">
      <c r="A34" s="53" t="s">
        <v>141</v>
      </c>
      <c r="B34" s="9" t="s">
        <v>42</v>
      </c>
      <c r="C34" s="10"/>
      <c r="D34" s="114" t="s">
        <v>49</v>
      </c>
      <c r="E34" s="115"/>
      <c r="F34" s="116">
        <f>F28</f>
        <v>0</v>
      </c>
      <c r="G34" s="14">
        <v>420</v>
      </c>
      <c r="H34" s="64">
        <f>G34*F34</f>
        <v>0</v>
      </c>
      <c r="I34" s="29"/>
      <c r="J34" s="29"/>
      <c r="K34" s="29"/>
      <c r="L34" s="29"/>
      <c r="M34" s="29"/>
      <c r="N34" s="39">
        <v>4</v>
      </c>
      <c r="O34" s="39">
        <v>9</v>
      </c>
      <c r="P34" s="39">
        <v>6.97</v>
      </c>
      <c r="Q34" s="39">
        <f t="shared" si="0"/>
        <v>62.73</v>
      </c>
      <c r="R34" s="39">
        <f>0.347+0.427+0.427+0.347</f>
        <v>1.548</v>
      </c>
      <c r="S34" s="39">
        <f t="shared" si="1"/>
        <v>97.106039999999993</v>
      </c>
    </row>
    <row r="35" spans="1:19" ht="14.25" hidden="1" customHeight="1" outlineLevel="2" x14ac:dyDescent="0.3">
      <c r="A35" s="56" t="s">
        <v>142</v>
      </c>
      <c r="B35" s="23" t="s">
        <v>44</v>
      </c>
      <c r="C35" s="24"/>
      <c r="D35" s="118" t="s">
        <v>24</v>
      </c>
      <c r="E35" s="119">
        <f>6*1.882</f>
        <v>11.292</v>
      </c>
      <c r="F35" s="120">
        <f>S31*E35</f>
        <v>8489.7614711999995</v>
      </c>
      <c r="G35" s="121"/>
      <c r="H35" s="65"/>
      <c r="I35" s="29"/>
      <c r="J35" s="29"/>
      <c r="K35" s="29"/>
      <c r="L35" s="29"/>
      <c r="M35" s="29"/>
      <c r="N35" s="39">
        <v>5</v>
      </c>
      <c r="O35" s="39">
        <v>8</v>
      </c>
      <c r="P35" s="39">
        <v>23.1</v>
      </c>
      <c r="Q35" s="39">
        <f t="shared" si="0"/>
        <v>184.8</v>
      </c>
      <c r="R35" s="39">
        <f>0.4+0.4+0.4</f>
        <v>1.2000000000000002</v>
      </c>
      <c r="S35" s="39">
        <f t="shared" si="1"/>
        <v>221.76000000000005</v>
      </c>
    </row>
    <row r="36" spans="1:19" ht="14.25" hidden="1" customHeight="1" outlineLevel="2" x14ac:dyDescent="0.3">
      <c r="A36" s="56" t="s">
        <v>143</v>
      </c>
      <c r="B36" s="23" t="s">
        <v>46</v>
      </c>
      <c r="C36" s="24"/>
      <c r="D36" s="118" t="s">
        <v>11</v>
      </c>
      <c r="E36" s="119">
        <f>1.882*1.1</f>
        <v>2.0702000000000003</v>
      </c>
      <c r="F36" s="120">
        <f>S31*E36</f>
        <v>1556.4562697200004</v>
      </c>
      <c r="G36" s="121"/>
      <c r="H36" s="65"/>
      <c r="I36" s="29"/>
      <c r="J36" s="29"/>
      <c r="K36" s="29"/>
      <c r="L36" s="29"/>
      <c r="M36" s="29"/>
      <c r="N36" s="29"/>
      <c r="O36" s="29"/>
      <c r="P36" s="29"/>
      <c r="Q36" s="39">
        <f>SUM(Q31:Q35)</f>
        <v>850.52</v>
      </c>
      <c r="R36" s="29"/>
      <c r="S36" s="39">
        <f>SUM(S31:S35)</f>
        <v>1345.4086399999999</v>
      </c>
    </row>
    <row r="37" spans="1:19" ht="14.25" hidden="1" customHeight="1" outlineLevel="2" x14ac:dyDescent="0.3">
      <c r="A37" s="56" t="s">
        <v>144</v>
      </c>
      <c r="B37" s="23" t="s">
        <v>48</v>
      </c>
      <c r="C37" s="24"/>
      <c r="D37" s="118" t="s">
        <v>49</v>
      </c>
      <c r="E37" s="119">
        <v>2.1</v>
      </c>
      <c r="F37" s="120">
        <f>S31*E37</f>
        <v>1578.8610600000002</v>
      </c>
      <c r="G37" s="121"/>
      <c r="H37" s="6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4.25" hidden="1" customHeight="1" outlineLevel="2" x14ac:dyDescent="0.3">
      <c r="A38" s="53" t="s">
        <v>145</v>
      </c>
      <c r="B38" s="9" t="s">
        <v>51</v>
      </c>
      <c r="C38" s="10"/>
      <c r="D38" s="114" t="s">
        <v>49</v>
      </c>
      <c r="E38" s="115"/>
      <c r="F38" s="116">
        <f>F34</f>
        <v>0</v>
      </c>
      <c r="G38" s="14">
        <v>55</v>
      </c>
      <c r="H38" s="64">
        <f>G38*F38</f>
        <v>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4.25" hidden="1" customHeight="1" outlineLevel="2" x14ac:dyDescent="0.3">
      <c r="A39" s="56" t="s">
        <v>146</v>
      </c>
      <c r="B39" s="23" t="s">
        <v>133</v>
      </c>
      <c r="C39" s="24"/>
      <c r="D39" s="118" t="s">
        <v>24</v>
      </c>
      <c r="E39" s="119">
        <f>1.882*0.4</f>
        <v>0.75280000000000002</v>
      </c>
      <c r="F39" s="120">
        <f>S31*E39</f>
        <v>565.98409808000008</v>
      </c>
      <c r="G39" s="121"/>
      <c r="H39" s="6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4.25" hidden="1" customHeight="1" outlineLevel="2" x14ac:dyDescent="0.3">
      <c r="A40" s="53" t="s">
        <v>147</v>
      </c>
      <c r="B40" s="9" t="s">
        <v>54</v>
      </c>
      <c r="C40" s="10"/>
      <c r="D40" s="114" t="s">
        <v>49</v>
      </c>
      <c r="E40" s="115"/>
      <c r="F40" s="116">
        <f>F38</f>
        <v>0</v>
      </c>
      <c r="G40" s="14">
        <v>245</v>
      </c>
      <c r="H40" s="64">
        <f>G40*F40</f>
        <v>0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4.25" hidden="1" customHeight="1" outlineLevel="2" x14ac:dyDescent="0.3">
      <c r="A41" s="56" t="s">
        <v>148</v>
      </c>
      <c r="B41" s="23" t="s">
        <v>129</v>
      </c>
      <c r="C41" s="24"/>
      <c r="D41" s="118" t="s">
        <v>24</v>
      </c>
      <c r="E41" s="119">
        <f>1.882*2.5</f>
        <v>4.7050000000000001</v>
      </c>
      <c r="F41" s="120">
        <f>S31*E41</f>
        <v>3537.4006130000002</v>
      </c>
      <c r="G41" s="121"/>
      <c r="H41" s="6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4.25" customHeight="1" outlineLevel="1" x14ac:dyDescent="0.3">
      <c r="A42" s="57" t="s">
        <v>96</v>
      </c>
      <c r="B42" s="33" t="s">
        <v>64</v>
      </c>
      <c r="C42" s="34"/>
      <c r="D42" s="35" t="s">
        <v>49</v>
      </c>
      <c r="E42" s="36"/>
      <c r="F42" s="37">
        <f>Q32</f>
        <v>119.5</v>
      </c>
      <c r="G42" s="63">
        <f>ROUND(H42/F42,0)</f>
        <v>1349</v>
      </c>
      <c r="H42" s="58">
        <f>SUM(H43:H56)</f>
        <v>161205.5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4.25" customHeight="1" outlineLevel="2" x14ac:dyDescent="0.3">
      <c r="A43" s="53" t="s">
        <v>97</v>
      </c>
      <c r="B43" s="9" t="s">
        <v>21</v>
      </c>
      <c r="C43" s="10"/>
      <c r="D43" s="114" t="s">
        <v>49</v>
      </c>
      <c r="E43" s="115"/>
      <c r="F43" s="116">
        <f>F42</f>
        <v>119.5</v>
      </c>
      <c r="G43" s="14">
        <v>54</v>
      </c>
      <c r="H43" s="64">
        <f>G43*F43</f>
        <v>6453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4.25" hidden="1" customHeight="1" outlineLevel="2" x14ac:dyDescent="0.3">
      <c r="A44" s="56" t="s">
        <v>149</v>
      </c>
      <c r="B44" s="23" t="s">
        <v>23</v>
      </c>
      <c r="C44" s="24"/>
      <c r="D44" s="118" t="s">
        <v>24</v>
      </c>
      <c r="E44" s="119">
        <f>0.15*1.26</f>
        <v>0.189</v>
      </c>
      <c r="F44" s="120">
        <f>150.57*E44</f>
        <v>28.457729999999998</v>
      </c>
      <c r="G44" s="121"/>
      <c r="H44" s="65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4.25" customHeight="1" outlineLevel="2" x14ac:dyDescent="0.3">
      <c r="A45" s="53" t="s">
        <v>98</v>
      </c>
      <c r="B45" s="9" t="s">
        <v>26</v>
      </c>
      <c r="C45" s="10"/>
      <c r="D45" s="114" t="s">
        <v>49</v>
      </c>
      <c r="E45" s="115"/>
      <c r="F45" s="116">
        <f>F43</f>
        <v>119.5</v>
      </c>
      <c r="G45" s="14">
        <v>652</v>
      </c>
      <c r="H45" s="64">
        <f>G45*F45</f>
        <v>77914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4.25" hidden="1" customHeight="1" outlineLevel="2" x14ac:dyDescent="0.3">
      <c r="A46" s="56" t="s">
        <v>150</v>
      </c>
      <c r="B46" s="30" t="s">
        <v>28</v>
      </c>
      <c r="C46" s="24"/>
      <c r="D46" s="118" t="s">
        <v>24</v>
      </c>
      <c r="E46" s="119">
        <f>6*1.26</f>
        <v>7.5600000000000005</v>
      </c>
      <c r="F46" s="120">
        <f t="shared" ref="F46:F48" si="2">150.57*E46</f>
        <v>1138.3091999999999</v>
      </c>
      <c r="G46" s="121"/>
      <c r="H46" s="65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4.25" hidden="1" customHeight="1" outlineLevel="2" x14ac:dyDescent="0.3">
      <c r="A47" s="56" t="s">
        <v>151</v>
      </c>
      <c r="B47" s="31" t="s">
        <v>127</v>
      </c>
      <c r="C47" s="24"/>
      <c r="D47" s="118" t="s">
        <v>30</v>
      </c>
      <c r="E47" s="122">
        <f>0.05*1.07*1.26</f>
        <v>6.7410000000000012E-2</v>
      </c>
      <c r="F47" s="120">
        <f t="shared" si="2"/>
        <v>10.1499237</v>
      </c>
      <c r="G47" s="121"/>
      <c r="H47" s="65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4.25" hidden="1" customHeight="1" outlineLevel="2" x14ac:dyDescent="0.3">
      <c r="A48" s="56" t="s">
        <v>152</v>
      </c>
      <c r="B48" s="30" t="s">
        <v>32</v>
      </c>
      <c r="C48" s="24"/>
      <c r="D48" s="118" t="s">
        <v>33</v>
      </c>
      <c r="E48" s="119">
        <v>24</v>
      </c>
      <c r="F48" s="120">
        <f t="shared" si="2"/>
        <v>3613.68</v>
      </c>
      <c r="G48" s="121"/>
      <c r="H48" s="65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4.25" customHeight="1" outlineLevel="2" x14ac:dyDescent="0.3">
      <c r="A49" s="53" t="s">
        <v>99</v>
      </c>
      <c r="B49" s="9" t="s">
        <v>42</v>
      </c>
      <c r="C49" s="10"/>
      <c r="D49" s="114" t="s">
        <v>49</v>
      </c>
      <c r="E49" s="115"/>
      <c r="F49" s="116">
        <f>F43</f>
        <v>119.5</v>
      </c>
      <c r="G49" s="14">
        <v>375</v>
      </c>
      <c r="H49" s="64">
        <f>G49*F49</f>
        <v>44812.5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4.25" hidden="1" customHeight="1" outlineLevel="2" x14ac:dyDescent="0.3">
      <c r="A50" s="56" t="s">
        <v>153</v>
      </c>
      <c r="B50" s="23" t="s">
        <v>44</v>
      </c>
      <c r="C50" s="24"/>
      <c r="D50" s="118" t="s">
        <v>24</v>
      </c>
      <c r="E50" s="119">
        <f>6*1.26</f>
        <v>7.5600000000000005</v>
      </c>
      <c r="F50" s="120">
        <f t="shared" ref="F50:F52" si="3">150.57*E50</f>
        <v>1138.3091999999999</v>
      </c>
      <c r="G50" s="121"/>
      <c r="H50" s="65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4.25" hidden="1" customHeight="1" outlineLevel="2" x14ac:dyDescent="0.3">
      <c r="A51" s="56" t="s">
        <v>154</v>
      </c>
      <c r="B51" s="23" t="s">
        <v>46</v>
      </c>
      <c r="C51" s="24"/>
      <c r="D51" s="118" t="s">
        <v>11</v>
      </c>
      <c r="E51" s="119">
        <f>1.1*1.26</f>
        <v>1.3860000000000001</v>
      </c>
      <c r="F51" s="120">
        <f t="shared" si="3"/>
        <v>208.69002</v>
      </c>
      <c r="G51" s="121"/>
      <c r="H51" s="65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4.25" hidden="1" customHeight="1" outlineLevel="2" x14ac:dyDescent="0.3">
      <c r="A52" s="56" t="s">
        <v>155</v>
      </c>
      <c r="B52" s="23" t="s">
        <v>48</v>
      </c>
      <c r="C52" s="24"/>
      <c r="D52" s="118" t="s">
        <v>49</v>
      </c>
      <c r="E52" s="119">
        <f>1.05*2</f>
        <v>2.1</v>
      </c>
      <c r="F52" s="120">
        <f t="shared" si="3"/>
        <v>316.197</v>
      </c>
      <c r="G52" s="121"/>
      <c r="H52" s="65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4.25" customHeight="1" outlineLevel="2" x14ac:dyDescent="0.3">
      <c r="A53" s="53" t="s">
        <v>156</v>
      </c>
      <c r="B53" s="9" t="s">
        <v>51</v>
      </c>
      <c r="C53" s="10"/>
      <c r="D53" s="114" t="s">
        <v>49</v>
      </c>
      <c r="E53" s="115"/>
      <c r="F53" s="116">
        <f>F49</f>
        <v>119.5</v>
      </c>
      <c r="G53" s="14">
        <v>49</v>
      </c>
      <c r="H53" s="64">
        <f>G53*F53</f>
        <v>5855.5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4.25" hidden="1" customHeight="1" outlineLevel="2" x14ac:dyDescent="0.3">
      <c r="A54" s="56" t="s">
        <v>157</v>
      </c>
      <c r="B54" s="23" t="s">
        <v>128</v>
      </c>
      <c r="C54" s="24"/>
      <c r="D54" s="118" t="s">
        <v>24</v>
      </c>
      <c r="E54" s="119">
        <f>0.4*1.26</f>
        <v>0.504</v>
      </c>
      <c r="F54" s="120">
        <f>150.57*E54</f>
        <v>75.887280000000004</v>
      </c>
      <c r="G54" s="121"/>
      <c r="H54" s="65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4.25" customHeight="1" outlineLevel="2" x14ac:dyDescent="0.3">
      <c r="A55" s="53" t="s">
        <v>158</v>
      </c>
      <c r="B55" s="9" t="s">
        <v>54</v>
      </c>
      <c r="C55" s="10"/>
      <c r="D55" s="114" t="s">
        <v>49</v>
      </c>
      <c r="E55" s="115"/>
      <c r="F55" s="116">
        <f>F53</f>
        <v>119.5</v>
      </c>
      <c r="G55" s="14">
        <v>219</v>
      </c>
      <c r="H55" s="64">
        <f>G55*F55</f>
        <v>26170.5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4.25" hidden="1" customHeight="1" outlineLevel="2" x14ac:dyDescent="0.3">
      <c r="A56" s="56" t="s">
        <v>159</v>
      </c>
      <c r="B56" s="23" t="s">
        <v>129</v>
      </c>
      <c r="C56" s="24"/>
      <c r="D56" s="118" t="s">
        <v>24</v>
      </c>
      <c r="E56" s="119">
        <f>2.5*1.26</f>
        <v>3.15</v>
      </c>
      <c r="F56" s="120">
        <f>150.57*E56</f>
        <v>474.29549999999995</v>
      </c>
      <c r="G56" s="121"/>
      <c r="H56" s="65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4.25" customHeight="1" outlineLevel="1" x14ac:dyDescent="0.3">
      <c r="A57" s="57" t="s">
        <v>100</v>
      </c>
      <c r="B57" s="33" t="s">
        <v>65</v>
      </c>
      <c r="C57" s="34"/>
      <c r="D57" s="35" t="s">
        <v>49</v>
      </c>
      <c r="E57" s="36"/>
      <c r="F57" s="37">
        <f>Q33</f>
        <v>146.04</v>
      </c>
      <c r="G57" s="63">
        <f>ROUND(H57/F57,0)</f>
        <v>1353</v>
      </c>
      <c r="H57" s="58">
        <f>SUM(H58:H71)</f>
        <v>197592.12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4.25" customHeight="1" outlineLevel="2" x14ac:dyDescent="0.3">
      <c r="A58" s="53" t="s">
        <v>101</v>
      </c>
      <c r="B58" s="9" t="s">
        <v>21</v>
      </c>
      <c r="C58" s="10"/>
      <c r="D58" s="114" t="s">
        <v>49</v>
      </c>
      <c r="E58" s="115"/>
      <c r="F58" s="116">
        <f>F57</f>
        <v>146.04</v>
      </c>
      <c r="G58" s="14">
        <v>54</v>
      </c>
      <c r="H58" s="64">
        <f>G58*F58</f>
        <v>7886.16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4.25" hidden="1" customHeight="1" outlineLevel="2" x14ac:dyDescent="0.3">
      <c r="A59" s="56" t="s">
        <v>160</v>
      </c>
      <c r="B59" s="23" t="s">
        <v>23</v>
      </c>
      <c r="C59" s="24"/>
      <c r="D59" s="118" t="s">
        <v>24</v>
      </c>
      <c r="E59" s="119">
        <f>0.15*0.852</f>
        <v>0.1278</v>
      </c>
      <c r="F59" s="120">
        <f>124.134*E59</f>
        <v>15.8643252</v>
      </c>
      <c r="G59" s="121"/>
      <c r="H59" s="65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4.25" customHeight="1" outlineLevel="2" x14ac:dyDescent="0.3">
      <c r="A60" s="53" t="s">
        <v>102</v>
      </c>
      <c r="B60" s="9" t="s">
        <v>26</v>
      </c>
      <c r="C60" s="10"/>
      <c r="D60" s="114" t="s">
        <v>49</v>
      </c>
      <c r="E60" s="115"/>
      <c r="F60" s="116">
        <f>F58</f>
        <v>146.04</v>
      </c>
      <c r="G60" s="14">
        <v>652</v>
      </c>
      <c r="H60" s="64">
        <f>G60*F60</f>
        <v>95218.08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4.25" hidden="1" customHeight="1" outlineLevel="2" x14ac:dyDescent="0.3">
      <c r="A61" s="56" t="s">
        <v>161</v>
      </c>
      <c r="B61" s="30" t="s">
        <v>28</v>
      </c>
      <c r="C61" s="24"/>
      <c r="D61" s="118" t="s">
        <v>24</v>
      </c>
      <c r="E61" s="119">
        <f>6*0.852</f>
        <v>5.1120000000000001</v>
      </c>
      <c r="F61" s="120">
        <f t="shared" ref="F61:F63" si="4">124.134*E61</f>
        <v>634.57300799999996</v>
      </c>
      <c r="G61" s="121"/>
      <c r="H61" s="65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4.25" hidden="1" customHeight="1" outlineLevel="2" x14ac:dyDescent="0.3">
      <c r="A62" s="56" t="s">
        <v>162</v>
      </c>
      <c r="B62" s="31" t="s">
        <v>127</v>
      </c>
      <c r="C62" s="24"/>
      <c r="D62" s="118" t="s">
        <v>30</v>
      </c>
      <c r="E62" s="122">
        <f>0.05*1.07*0.852</f>
        <v>4.5582000000000004E-2</v>
      </c>
      <c r="F62" s="120">
        <f t="shared" si="4"/>
        <v>5.6582759880000006</v>
      </c>
      <c r="G62" s="121"/>
      <c r="H62" s="65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4.25" hidden="1" customHeight="1" outlineLevel="2" x14ac:dyDescent="0.3">
      <c r="A63" s="56" t="s">
        <v>163</v>
      </c>
      <c r="B63" s="30" t="s">
        <v>32</v>
      </c>
      <c r="C63" s="24"/>
      <c r="D63" s="118" t="s">
        <v>33</v>
      </c>
      <c r="E63" s="119">
        <v>24</v>
      </c>
      <c r="F63" s="120">
        <f t="shared" si="4"/>
        <v>2979.2159999999999</v>
      </c>
      <c r="G63" s="121"/>
      <c r="H63" s="65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4.25" customHeight="1" outlineLevel="2" x14ac:dyDescent="0.3">
      <c r="A64" s="53" t="s">
        <v>99</v>
      </c>
      <c r="B64" s="9" t="s">
        <v>42</v>
      </c>
      <c r="C64" s="10"/>
      <c r="D64" s="114" t="s">
        <v>49</v>
      </c>
      <c r="E64" s="115"/>
      <c r="F64" s="116">
        <f>F58</f>
        <v>146.04</v>
      </c>
      <c r="G64" s="14">
        <v>375</v>
      </c>
      <c r="H64" s="64">
        <f>G64*F64</f>
        <v>54765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4.25" hidden="1" customHeight="1" outlineLevel="2" x14ac:dyDescent="0.3">
      <c r="A65" s="56" t="s">
        <v>153</v>
      </c>
      <c r="B65" s="23" t="s">
        <v>44</v>
      </c>
      <c r="C65" s="24"/>
      <c r="D65" s="118" t="s">
        <v>24</v>
      </c>
      <c r="E65" s="119">
        <f>6*0.852</f>
        <v>5.1120000000000001</v>
      </c>
      <c r="F65" s="120">
        <f t="shared" ref="F65:F67" si="5">124.134*E65</f>
        <v>634.57300799999996</v>
      </c>
      <c r="G65" s="121"/>
      <c r="H65" s="65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4.25" hidden="1" customHeight="1" outlineLevel="2" x14ac:dyDescent="0.3">
      <c r="A66" s="56" t="s">
        <v>154</v>
      </c>
      <c r="B66" s="23" t="s">
        <v>46</v>
      </c>
      <c r="C66" s="24"/>
      <c r="D66" s="118" t="s">
        <v>11</v>
      </c>
      <c r="E66" s="119">
        <f>1.1*0.852</f>
        <v>0.93720000000000003</v>
      </c>
      <c r="F66" s="120">
        <f t="shared" si="5"/>
        <v>116.3383848</v>
      </c>
      <c r="G66" s="121"/>
      <c r="H66" s="65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4.25" hidden="1" customHeight="1" outlineLevel="2" x14ac:dyDescent="0.3">
      <c r="A67" s="56" t="s">
        <v>155</v>
      </c>
      <c r="B67" s="23" t="s">
        <v>48</v>
      </c>
      <c r="C67" s="24"/>
      <c r="D67" s="118" t="s">
        <v>49</v>
      </c>
      <c r="E67" s="119">
        <f>1.05*2</f>
        <v>2.1</v>
      </c>
      <c r="F67" s="120">
        <f t="shared" si="5"/>
        <v>260.6814</v>
      </c>
      <c r="G67" s="121"/>
      <c r="H67" s="65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4.25" customHeight="1" outlineLevel="2" x14ac:dyDescent="0.3">
      <c r="A68" s="53" t="s">
        <v>164</v>
      </c>
      <c r="B68" s="9" t="s">
        <v>51</v>
      </c>
      <c r="C68" s="10"/>
      <c r="D68" s="114" t="s">
        <v>49</v>
      </c>
      <c r="E68" s="115"/>
      <c r="F68" s="116">
        <f>F64</f>
        <v>146.04</v>
      </c>
      <c r="G68" s="14">
        <v>49</v>
      </c>
      <c r="H68" s="64">
        <f>G68*F68</f>
        <v>7155.96</v>
      </c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4.25" hidden="1" customHeight="1" outlineLevel="2" x14ac:dyDescent="0.3">
      <c r="A69" s="56" t="s">
        <v>165</v>
      </c>
      <c r="B69" s="23" t="s">
        <v>128</v>
      </c>
      <c r="C69" s="24"/>
      <c r="D69" s="118" t="s">
        <v>24</v>
      </c>
      <c r="E69" s="119">
        <f>0.4*0.852</f>
        <v>0.34079999999999999</v>
      </c>
      <c r="F69" s="120">
        <f>124.134*E69</f>
        <v>42.304867199999997</v>
      </c>
      <c r="G69" s="121"/>
      <c r="H69" s="65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4.25" customHeight="1" outlineLevel="2" x14ac:dyDescent="0.3">
      <c r="A70" s="53" t="s">
        <v>166</v>
      </c>
      <c r="B70" s="9" t="s">
        <v>54</v>
      </c>
      <c r="C70" s="10"/>
      <c r="D70" s="114" t="s">
        <v>49</v>
      </c>
      <c r="E70" s="115"/>
      <c r="F70" s="116">
        <f>F68</f>
        <v>146.04</v>
      </c>
      <c r="G70" s="14">
        <v>223</v>
      </c>
      <c r="H70" s="64">
        <f>G70*F70</f>
        <v>32566.92</v>
      </c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4.25" hidden="1" customHeight="1" outlineLevel="2" x14ac:dyDescent="0.3">
      <c r="A71" s="56" t="s">
        <v>167</v>
      </c>
      <c r="B71" s="23" t="s">
        <v>129</v>
      </c>
      <c r="C71" s="24"/>
      <c r="D71" s="118" t="s">
        <v>24</v>
      </c>
      <c r="E71" s="119">
        <f>2.5*0.852</f>
        <v>2.13</v>
      </c>
      <c r="F71" s="120">
        <f>124.134*E71</f>
        <v>264.40541999999999</v>
      </c>
      <c r="G71" s="121"/>
      <c r="H71" s="65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ht="14.25" customHeight="1" outlineLevel="1" x14ac:dyDescent="0.3">
      <c r="A72" s="57" t="s">
        <v>41</v>
      </c>
      <c r="B72" s="33" t="s">
        <v>66</v>
      </c>
      <c r="C72" s="34"/>
      <c r="D72" s="35" t="s">
        <v>49</v>
      </c>
      <c r="E72" s="36"/>
      <c r="F72" s="37">
        <f>Q34</f>
        <v>62.73</v>
      </c>
      <c r="G72" s="63">
        <f>ROUND(H72/F72,0)</f>
        <v>1923</v>
      </c>
      <c r="H72" s="58">
        <f>SUM(H73:H86)</f>
        <v>120629.78999999998</v>
      </c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ht="14.25" customHeight="1" outlineLevel="2" x14ac:dyDescent="0.3">
      <c r="A73" s="53" t="s">
        <v>43</v>
      </c>
      <c r="B73" s="9" t="s">
        <v>21</v>
      </c>
      <c r="C73" s="10"/>
      <c r="D73" s="114" t="s">
        <v>49</v>
      </c>
      <c r="E73" s="115"/>
      <c r="F73" s="116">
        <f>F72</f>
        <v>62.73</v>
      </c>
      <c r="G73" s="14">
        <v>66</v>
      </c>
      <c r="H73" s="64">
        <f>G73*F73</f>
        <v>4140.1799999999994</v>
      </c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ht="14.25" hidden="1" customHeight="1" outlineLevel="2" x14ac:dyDescent="0.3">
      <c r="A74" s="56" t="s">
        <v>67</v>
      </c>
      <c r="B74" s="23" t="s">
        <v>23</v>
      </c>
      <c r="C74" s="24"/>
      <c r="D74" s="118" t="s">
        <v>24</v>
      </c>
      <c r="E74" s="119">
        <f>0.15*1.546</f>
        <v>0.2319</v>
      </c>
      <c r="F74" s="120">
        <f>97.11*E74</f>
        <v>22.519808999999999</v>
      </c>
      <c r="G74" s="121"/>
      <c r="H74" s="65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4.25" customHeight="1" outlineLevel="2" x14ac:dyDescent="0.3">
      <c r="A75" s="53" t="s">
        <v>45</v>
      </c>
      <c r="B75" s="9" t="s">
        <v>26</v>
      </c>
      <c r="C75" s="10"/>
      <c r="D75" s="114" t="s">
        <v>49</v>
      </c>
      <c r="E75" s="115"/>
      <c r="F75" s="116">
        <f>F73</f>
        <v>62.73</v>
      </c>
      <c r="G75" s="14">
        <v>982</v>
      </c>
      <c r="H75" s="64">
        <f>G75*F75</f>
        <v>61600.859999999993</v>
      </c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ht="14.25" hidden="1" customHeight="1" outlineLevel="2" x14ac:dyDescent="0.3">
      <c r="A76" s="56" t="s">
        <v>68</v>
      </c>
      <c r="B76" s="30" t="s">
        <v>28</v>
      </c>
      <c r="C76" s="24"/>
      <c r="D76" s="118" t="s">
        <v>24</v>
      </c>
      <c r="E76" s="119">
        <f>6*1.546</f>
        <v>9.2759999999999998</v>
      </c>
      <c r="F76" s="120">
        <f t="shared" ref="F76:F78" si="6">97.11*E76</f>
        <v>900.79236000000003</v>
      </c>
      <c r="G76" s="121"/>
      <c r="H76" s="65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ht="14.25" hidden="1" customHeight="1" outlineLevel="2" x14ac:dyDescent="0.3">
      <c r="A77" s="56" t="s">
        <v>69</v>
      </c>
      <c r="B77" s="31" t="s">
        <v>127</v>
      </c>
      <c r="C77" s="24"/>
      <c r="D77" s="118" t="s">
        <v>30</v>
      </c>
      <c r="E77" s="122">
        <f>0.05*1.07*1.546</f>
        <v>8.2711000000000007E-2</v>
      </c>
      <c r="F77" s="120">
        <f t="shared" si="6"/>
        <v>8.0320652100000007</v>
      </c>
      <c r="G77" s="121"/>
      <c r="H77" s="65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 ht="14.25" hidden="1" customHeight="1" outlineLevel="2" x14ac:dyDescent="0.3">
      <c r="A78" s="56" t="s">
        <v>70</v>
      </c>
      <c r="B78" s="30" t="s">
        <v>32</v>
      </c>
      <c r="C78" s="24"/>
      <c r="D78" s="118" t="s">
        <v>33</v>
      </c>
      <c r="E78" s="119">
        <v>32</v>
      </c>
      <c r="F78" s="120">
        <f t="shared" si="6"/>
        <v>3107.52</v>
      </c>
      <c r="G78" s="121"/>
      <c r="H78" s="65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 ht="14.25" customHeight="1" outlineLevel="2" x14ac:dyDescent="0.3">
      <c r="A79" s="53" t="s">
        <v>47</v>
      </c>
      <c r="B79" s="9" t="s">
        <v>42</v>
      </c>
      <c r="C79" s="10"/>
      <c r="D79" s="114" t="s">
        <v>49</v>
      </c>
      <c r="E79" s="115"/>
      <c r="F79" s="116">
        <f>F73</f>
        <v>62.73</v>
      </c>
      <c r="G79" s="14">
        <v>509</v>
      </c>
      <c r="H79" s="64">
        <f>G79*F79</f>
        <v>31929.57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 ht="14.25" hidden="1" customHeight="1" outlineLevel="2" x14ac:dyDescent="0.3">
      <c r="A80" s="56" t="s">
        <v>71</v>
      </c>
      <c r="B80" s="23" t="s">
        <v>44</v>
      </c>
      <c r="C80" s="24"/>
      <c r="D80" s="118" t="s">
        <v>24</v>
      </c>
      <c r="E80" s="119">
        <f>6*1.546</f>
        <v>9.2759999999999998</v>
      </c>
      <c r="F80" s="120">
        <f t="shared" ref="F80:F82" si="7">97.11*E80</f>
        <v>900.79236000000003</v>
      </c>
      <c r="G80" s="121"/>
      <c r="H80" s="65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ht="14.25" hidden="1" customHeight="1" outlineLevel="2" x14ac:dyDescent="0.3">
      <c r="A81" s="56" t="s">
        <v>72</v>
      </c>
      <c r="B81" s="23" t="s">
        <v>46</v>
      </c>
      <c r="C81" s="24"/>
      <c r="D81" s="118" t="s">
        <v>11</v>
      </c>
      <c r="E81" s="119">
        <f>1.1*1.546</f>
        <v>1.7006000000000001</v>
      </c>
      <c r="F81" s="120">
        <f t="shared" si="7"/>
        <v>165.14526600000002</v>
      </c>
      <c r="G81" s="121"/>
      <c r="H81" s="65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ht="14.25" hidden="1" customHeight="1" outlineLevel="2" x14ac:dyDescent="0.3">
      <c r="A82" s="56" t="s">
        <v>73</v>
      </c>
      <c r="B82" s="23" t="s">
        <v>48</v>
      </c>
      <c r="C82" s="24"/>
      <c r="D82" s="118" t="s">
        <v>49</v>
      </c>
      <c r="E82" s="119">
        <f>1.05*3</f>
        <v>3.1500000000000004</v>
      </c>
      <c r="F82" s="120">
        <f t="shared" si="7"/>
        <v>305.89650000000006</v>
      </c>
      <c r="G82" s="121"/>
      <c r="H82" s="65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4.25" customHeight="1" outlineLevel="2" x14ac:dyDescent="0.3">
      <c r="A83" s="53" t="s">
        <v>74</v>
      </c>
      <c r="B83" s="9" t="s">
        <v>51</v>
      </c>
      <c r="C83" s="10"/>
      <c r="D83" s="114" t="s">
        <v>49</v>
      </c>
      <c r="E83" s="115"/>
      <c r="F83" s="116">
        <f>F79</f>
        <v>62.73</v>
      </c>
      <c r="G83" s="14">
        <v>71</v>
      </c>
      <c r="H83" s="64">
        <f>G83*F83</f>
        <v>4453.83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4.25" hidden="1" customHeight="1" outlineLevel="2" x14ac:dyDescent="0.3">
      <c r="A84" s="56" t="s">
        <v>75</v>
      </c>
      <c r="B84" s="23" t="s">
        <v>128</v>
      </c>
      <c r="C84" s="24"/>
      <c r="D84" s="118" t="s">
        <v>24</v>
      </c>
      <c r="E84" s="119">
        <f>0.4*1.546</f>
        <v>0.61840000000000006</v>
      </c>
      <c r="F84" s="120">
        <f>97.11*E84</f>
        <v>60.052824000000008</v>
      </c>
      <c r="G84" s="121"/>
      <c r="H84" s="65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4.25" customHeight="1" outlineLevel="2" x14ac:dyDescent="0.3">
      <c r="A85" s="53" t="s">
        <v>76</v>
      </c>
      <c r="B85" s="9" t="s">
        <v>54</v>
      </c>
      <c r="C85" s="10"/>
      <c r="D85" s="114" t="s">
        <v>49</v>
      </c>
      <c r="E85" s="115"/>
      <c r="F85" s="116">
        <f>F83</f>
        <v>62.73</v>
      </c>
      <c r="G85" s="14">
        <v>295</v>
      </c>
      <c r="H85" s="64">
        <f>G85*F85</f>
        <v>18505.349999999999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4.25" hidden="1" customHeight="1" outlineLevel="2" x14ac:dyDescent="0.3">
      <c r="A86" s="56" t="s">
        <v>77</v>
      </c>
      <c r="B86" s="23" t="s">
        <v>129</v>
      </c>
      <c r="C86" s="24"/>
      <c r="D86" s="118" t="s">
        <v>24</v>
      </c>
      <c r="E86" s="119">
        <f>2.5*1.546</f>
        <v>3.8650000000000002</v>
      </c>
      <c r="F86" s="120">
        <f>97.11*E86</f>
        <v>375.33015</v>
      </c>
      <c r="G86" s="121"/>
      <c r="H86" s="65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ht="14.25" hidden="1" customHeight="1" outlineLevel="1" x14ac:dyDescent="0.3">
      <c r="A87" s="57" t="s">
        <v>50</v>
      </c>
      <c r="B87" s="33" t="s">
        <v>78</v>
      </c>
      <c r="C87" s="34"/>
      <c r="D87" s="35" t="s">
        <v>49</v>
      </c>
      <c r="E87" s="36"/>
      <c r="F87" s="37">
        <v>0</v>
      </c>
      <c r="G87" s="38"/>
      <c r="H87" s="58">
        <f>SUM(H88:H101)</f>
        <v>0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ht="14.25" hidden="1" customHeight="1" outlineLevel="2" x14ac:dyDescent="0.3">
      <c r="A88" s="53" t="s">
        <v>52</v>
      </c>
      <c r="B88" s="9" t="s">
        <v>21</v>
      </c>
      <c r="C88" s="10"/>
      <c r="D88" s="114" t="s">
        <v>49</v>
      </c>
      <c r="E88" s="115"/>
      <c r="F88" s="116">
        <f>F87</f>
        <v>0</v>
      </c>
      <c r="G88" s="14">
        <v>58</v>
      </c>
      <c r="H88" s="64">
        <f>G88*F88</f>
        <v>0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ht="14.25" hidden="1" customHeight="1" outlineLevel="2" x14ac:dyDescent="0.3">
      <c r="A89" s="56" t="s">
        <v>79</v>
      </c>
      <c r="B89" s="23" t="s">
        <v>23</v>
      </c>
      <c r="C89" s="24"/>
      <c r="D89" s="118" t="s">
        <v>24</v>
      </c>
      <c r="E89" s="119">
        <f>0.15*1.2</f>
        <v>0.18</v>
      </c>
      <c r="F89" s="120">
        <f>221.76*E89</f>
        <v>39.916799999999995</v>
      </c>
      <c r="G89" s="121"/>
      <c r="H89" s="65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ht="14.25" hidden="1" customHeight="1" outlineLevel="2" x14ac:dyDescent="0.3">
      <c r="A90" s="53" t="s">
        <v>80</v>
      </c>
      <c r="B90" s="9" t="s">
        <v>26</v>
      </c>
      <c r="C90" s="10"/>
      <c r="D90" s="114" t="s">
        <v>49</v>
      </c>
      <c r="E90" s="115"/>
      <c r="F90" s="116">
        <f>F88</f>
        <v>0</v>
      </c>
      <c r="G90" s="14">
        <v>730</v>
      </c>
      <c r="H90" s="64">
        <f>G90*F90</f>
        <v>0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ht="14.25" hidden="1" customHeight="1" outlineLevel="2" x14ac:dyDescent="0.3">
      <c r="A91" s="56" t="s">
        <v>81</v>
      </c>
      <c r="B91" s="30" t="s">
        <v>28</v>
      </c>
      <c r="C91" s="24"/>
      <c r="D91" s="118" t="s">
        <v>24</v>
      </c>
      <c r="E91" s="119">
        <f>6*1.2</f>
        <v>7.1999999999999993</v>
      </c>
      <c r="F91" s="120">
        <f t="shared" ref="F91:F93" si="8">221.76*E91</f>
        <v>1596.6719999999998</v>
      </c>
      <c r="G91" s="121"/>
      <c r="H91" s="65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ht="14.25" hidden="1" customHeight="1" outlineLevel="2" x14ac:dyDescent="0.3">
      <c r="A92" s="56" t="s">
        <v>82</v>
      </c>
      <c r="B92" s="31" t="s">
        <v>127</v>
      </c>
      <c r="C92" s="24"/>
      <c r="D92" s="118" t="s">
        <v>30</v>
      </c>
      <c r="E92" s="122">
        <f>0.05*1.07*1.2</f>
        <v>6.4200000000000007E-2</v>
      </c>
      <c r="F92" s="120">
        <f t="shared" si="8"/>
        <v>14.236992000000001</v>
      </c>
      <c r="G92" s="121"/>
      <c r="H92" s="65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ht="14.25" hidden="1" customHeight="1" outlineLevel="2" x14ac:dyDescent="0.3">
      <c r="A93" s="56" t="s">
        <v>83</v>
      </c>
      <c r="B93" s="30" t="s">
        <v>32</v>
      </c>
      <c r="C93" s="24"/>
      <c r="D93" s="118" t="s">
        <v>33</v>
      </c>
      <c r="E93" s="119">
        <f>8*1.2</f>
        <v>9.6</v>
      </c>
      <c r="F93" s="120">
        <f t="shared" si="8"/>
        <v>2128.8959999999997</v>
      </c>
      <c r="G93" s="121"/>
      <c r="H93" s="65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ht="14.25" hidden="1" customHeight="1" outlineLevel="2" x14ac:dyDescent="0.3">
      <c r="A94" s="53" t="s">
        <v>84</v>
      </c>
      <c r="B94" s="9" t="s">
        <v>42</v>
      </c>
      <c r="C94" s="10"/>
      <c r="D94" s="114" t="s">
        <v>49</v>
      </c>
      <c r="E94" s="115"/>
      <c r="F94" s="116">
        <f>F88</f>
        <v>0</v>
      </c>
      <c r="G94" s="14">
        <v>400</v>
      </c>
      <c r="H94" s="64">
        <f>G94*F94</f>
        <v>0</v>
      </c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ht="14.25" hidden="1" customHeight="1" outlineLevel="2" x14ac:dyDescent="0.3">
      <c r="A95" s="56" t="s">
        <v>85</v>
      </c>
      <c r="B95" s="23" t="s">
        <v>44</v>
      </c>
      <c r="C95" s="24"/>
      <c r="D95" s="118" t="s">
        <v>24</v>
      </c>
      <c r="E95" s="119">
        <f>6*1.2</f>
        <v>7.1999999999999993</v>
      </c>
      <c r="F95" s="120">
        <f t="shared" ref="F95:F97" si="9">221.76*E95</f>
        <v>1596.6719999999998</v>
      </c>
      <c r="G95" s="121"/>
      <c r="H95" s="65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ht="14.25" hidden="1" customHeight="1" outlineLevel="2" x14ac:dyDescent="0.3">
      <c r="A96" s="56" t="s">
        <v>86</v>
      </c>
      <c r="B96" s="23" t="s">
        <v>46</v>
      </c>
      <c r="C96" s="24"/>
      <c r="D96" s="118" t="s">
        <v>11</v>
      </c>
      <c r="E96" s="119">
        <f>1.1*1.2</f>
        <v>1.32</v>
      </c>
      <c r="F96" s="120">
        <f t="shared" si="9"/>
        <v>292.72320000000002</v>
      </c>
      <c r="G96" s="121"/>
      <c r="H96" s="65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ht="14.25" hidden="1" customHeight="1" outlineLevel="2" x14ac:dyDescent="0.3">
      <c r="A97" s="56" t="s">
        <v>87</v>
      </c>
      <c r="B97" s="23" t="s">
        <v>48</v>
      </c>
      <c r="C97" s="24"/>
      <c r="D97" s="118" t="s">
        <v>49</v>
      </c>
      <c r="E97" s="119">
        <f>1.05*2</f>
        <v>2.1</v>
      </c>
      <c r="F97" s="120">
        <f t="shared" si="9"/>
        <v>465.69600000000003</v>
      </c>
      <c r="G97" s="121"/>
      <c r="H97" s="65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ht="14.25" hidden="1" customHeight="1" outlineLevel="2" x14ac:dyDescent="0.3">
      <c r="A98" s="53" t="s">
        <v>88</v>
      </c>
      <c r="B98" s="9" t="s">
        <v>51</v>
      </c>
      <c r="C98" s="10"/>
      <c r="D98" s="114" t="s">
        <v>49</v>
      </c>
      <c r="E98" s="115"/>
      <c r="F98" s="116">
        <f>F94</f>
        <v>0</v>
      </c>
      <c r="G98" s="14">
        <v>55</v>
      </c>
      <c r="H98" s="64">
        <f>G98*F98</f>
        <v>0</v>
      </c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ht="14.25" hidden="1" customHeight="1" outlineLevel="2" x14ac:dyDescent="0.3">
      <c r="A99" s="56" t="s">
        <v>89</v>
      </c>
      <c r="B99" s="23" t="s">
        <v>128</v>
      </c>
      <c r="C99" s="24"/>
      <c r="D99" s="118" t="s">
        <v>24</v>
      </c>
      <c r="E99" s="119">
        <f>0.4*1.2</f>
        <v>0.48</v>
      </c>
      <c r="F99" s="120">
        <f>221.76*E99</f>
        <v>106.44479999999999</v>
      </c>
      <c r="G99" s="121"/>
      <c r="H99" s="65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ht="14.25" hidden="1" customHeight="1" outlineLevel="2" x14ac:dyDescent="0.3">
      <c r="A100" s="53" t="s">
        <v>90</v>
      </c>
      <c r="B100" s="9" t="s">
        <v>54</v>
      </c>
      <c r="C100" s="10"/>
      <c r="D100" s="114" t="s">
        <v>49</v>
      </c>
      <c r="E100" s="115"/>
      <c r="F100" s="116">
        <f>F98</f>
        <v>0</v>
      </c>
      <c r="G100" s="14">
        <v>250</v>
      </c>
      <c r="H100" s="64">
        <f>G100*F100</f>
        <v>0</v>
      </c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ht="14.25" hidden="1" customHeight="1" outlineLevel="2" x14ac:dyDescent="0.3">
      <c r="A101" s="56" t="s">
        <v>91</v>
      </c>
      <c r="B101" s="23" t="s">
        <v>129</v>
      </c>
      <c r="C101" s="24"/>
      <c r="D101" s="118" t="s">
        <v>24</v>
      </c>
      <c r="E101" s="119">
        <f>2.5*1.2</f>
        <v>3</v>
      </c>
      <c r="F101" s="120">
        <f>221.76*E101</f>
        <v>665.28</v>
      </c>
      <c r="G101" s="121"/>
      <c r="H101" s="65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ht="14.25" customHeight="1" x14ac:dyDescent="0.3">
      <c r="A102" s="54" t="s">
        <v>92</v>
      </c>
      <c r="B102" s="17" t="s">
        <v>93</v>
      </c>
      <c r="C102" s="18"/>
      <c r="D102" s="19" t="s">
        <v>11</v>
      </c>
      <c r="E102" s="20"/>
      <c r="F102" s="21">
        <v>145.43</v>
      </c>
      <c r="G102" s="63">
        <f>H102/F102</f>
        <v>637</v>
      </c>
      <c r="H102" s="55">
        <f>SUM(H103:H115)</f>
        <v>92638.91</v>
      </c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ht="14.25" customHeight="1" outlineLevel="2" x14ac:dyDescent="0.3">
      <c r="A103" s="53" t="s">
        <v>94</v>
      </c>
      <c r="B103" s="9" t="s">
        <v>21</v>
      </c>
      <c r="C103" s="10"/>
      <c r="D103" s="114" t="s">
        <v>11</v>
      </c>
      <c r="E103" s="115"/>
      <c r="F103" s="116">
        <f>F102</f>
        <v>145.43</v>
      </c>
      <c r="G103" s="14">
        <v>25</v>
      </c>
      <c r="H103" s="64">
        <f>G103*F103</f>
        <v>3635.75</v>
      </c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ht="14.25" hidden="1" customHeight="1" outlineLevel="2" x14ac:dyDescent="0.3">
      <c r="A104" s="56" t="s">
        <v>95</v>
      </c>
      <c r="B104" s="23" t="s">
        <v>23</v>
      </c>
      <c r="C104" s="24"/>
      <c r="D104" s="118" t="s">
        <v>24</v>
      </c>
      <c r="E104" s="119">
        <v>0.15</v>
      </c>
      <c r="F104" s="120">
        <f>F103*E104</f>
        <v>21.814499999999999</v>
      </c>
      <c r="G104" s="121"/>
      <c r="H104" s="65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ht="14.25" customHeight="1" outlineLevel="2" x14ac:dyDescent="0.3">
      <c r="A105" s="53" t="s">
        <v>96</v>
      </c>
      <c r="B105" s="9" t="s">
        <v>26</v>
      </c>
      <c r="C105" s="10"/>
      <c r="D105" s="114" t="s">
        <v>11</v>
      </c>
      <c r="E105" s="115"/>
      <c r="F105" s="116">
        <f>F103</f>
        <v>145.43</v>
      </c>
      <c r="G105" s="14">
        <v>330</v>
      </c>
      <c r="H105" s="64">
        <f>G105*F105</f>
        <v>47991.9</v>
      </c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ht="14.25" hidden="1" customHeight="1" outlineLevel="2" x14ac:dyDescent="0.3">
      <c r="A106" s="56" t="s">
        <v>97</v>
      </c>
      <c r="B106" s="30" t="s">
        <v>28</v>
      </c>
      <c r="C106" s="24"/>
      <c r="D106" s="118" t="s">
        <v>24</v>
      </c>
      <c r="E106" s="119">
        <v>6</v>
      </c>
      <c r="F106" s="120">
        <f>F103*E106</f>
        <v>872.58</v>
      </c>
      <c r="G106" s="121"/>
      <c r="H106" s="65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ht="14.25" hidden="1" customHeight="1" outlineLevel="2" x14ac:dyDescent="0.3">
      <c r="A107" s="56" t="s">
        <v>98</v>
      </c>
      <c r="B107" s="31" t="s">
        <v>127</v>
      </c>
      <c r="C107" s="24"/>
      <c r="D107" s="118" t="s">
        <v>30</v>
      </c>
      <c r="E107" s="122">
        <f>0.05*1.07</f>
        <v>5.3500000000000006E-2</v>
      </c>
      <c r="F107" s="120">
        <f>F103*E107</f>
        <v>7.7805050000000016</v>
      </c>
      <c r="G107" s="121"/>
      <c r="H107" s="65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ht="14.25" hidden="1" customHeight="1" outlineLevel="2" x14ac:dyDescent="0.3">
      <c r="A108" s="56" t="s">
        <v>99</v>
      </c>
      <c r="B108" s="30" t="s">
        <v>32</v>
      </c>
      <c r="C108" s="24"/>
      <c r="D108" s="118" t="s">
        <v>33</v>
      </c>
      <c r="E108" s="119">
        <v>8</v>
      </c>
      <c r="F108" s="120">
        <f>_xlfn.CEILING.MATH(F103*E108)</f>
        <v>1164</v>
      </c>
      <c r="G108" s="121"/>
      <c r="H108" s="65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ht="14.25" customHeight="1" outlineLevel="2" x14ac:dyDescent="0.3">
      <c r="A109" s="53" t="s">
        <v>100</v>
      </c>
      <c r="B109" s="9" t="s">
        <v>42</v>
      </c>
      <c r="C109" s="10"/>
      <c r="D109" s="114" t="s">
        <v>11</v>
      </c>
      <c r="E109" s="115"/>
      <c r="F109" s="116">
        <f>F103</f>
        <v>145.43</v>
      </c>
      <c r="G109" s="14">
        <v>179</v>
      </c>
      <c r="H109" s="64">
        <f>G109*F109</f>
        <v>26031.97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ht="14.25" hidden="1" customHeight="1" outlineLevel="2" x14ac:dyDescent="0.3">
      <c r="A110" s="56" t="s">
        <v>101</v>
      </c>
      <c r="B110" s="23" t="s">
        <v>44</v>
      </c>
      <c r="C110" s="24"/>
      <c r="D110" s="118" t="s">
        <v>24</v>
      </c>
      <c r="E110" s="119">
        <v>6</v>
      </c>
      <c r="F110" s="120">
        <f>F109*E110</f>
        <v>872.58</v>
      </c>
      <c r="G110" s="121"/>
      <c r="H110" s="65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ht="14.25" hidden="1" customHeight="1" outlineLevel="2" x14ac:dyDescent="0.3">
      <c r="A111" s="56" t="s">
        <v>102</v>
      </c>
      <c r="B111" s="23" t="s">
        <v>46</v>
      </c>
      <c r="C111" s="24"/>
      <c r="D111" s="118" t="s">
        <v>11</v>
      </c>
      <c r="E111" s="119">
        <v>1.1000000000000001</v>
      </c>
      <c r="F111" s="120">
        <f>F109*E111</f>
        <v>159.97300000000001</v>
      </c>
      <c r="G111" s="121"/>
      <c r="H111" s="65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ht="14.25" customHeight="1" outlineLevel="2" x14ac:dyDescent="0.3">
      <c r="A112" s="53" t="s">
        <v>103</v>
      </c>
      <c r="B112" s="9" t="s">
        <v>51</v>
      </c>
      <c r="C112" s="10"/>
      <c r="D112" s="114" t="s">
        <v>11</v>
      </c>
      <c r="E112" s="115"/>
      <c r="F112" s="116">
        <f>F109</f>
        <v>145.43</v>
      </c>
      <c r="G112" s="14">
        <v>27</v>
      </c>
      <c r="H112" s="64">
        <f>G112*F112</f>
        <v>3926.61</v>
      </c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ht="14.25" hidden="1" customHeight="1" outlineLevel="2" x14ac:dyDescent="0.3">
      <c r="A113" s="56" t="s">
        <v>104</v>
      </c>
      <c r="B113" s="23" t="s">
        <v>128</v>
      </c>
      <c r="C113" s="24"/>
      <c r="D113" s="118" t="s">
        <v>24</v>
      </c>
      <c r="E113" s="119">
        <v>0.4</v>
      </c>
      <c r="F113" s="120">
        <f>F112*E113</f>
        <v>58.172000000000004</v>
      </c>
      <c r="G113" s="121"/>
      <c r="H113" s="65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ht="14.25" customHeight="1" outlineLevel="2" x14ac:dyDescent="0.3">
      <c r="A114" s="53" t="s">
        <v>105</v>
      </c>
      <c r="B114" s="9" t="s">
        <v>54</v>
      </c>
      <c r="C114" s="10"/>
      <c r="D114" s="114" t="s">
        <v>11</v>
      </c>
      <c r="E114" s="115"/>
      <c r="F114" s="116">
        <f>F112</f>
        <v>145.43</v>
      </c>
      <c r="G114" s="14">
        <v>76</v>
      </c>
      <c r="H114" s="64">
        <f>G114*F114</f>
        <v>11052.68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ht="14.25" hidden="1" customHeight="1" outlineLevel="2" x14ac:dyDescent="0.3">
      <c r="A115" s="56" t="s">
        <v>106</v>
      </c>
      <c r="B115" s="23" t="s">
        <v>129</v>
      </c>
      <c r="C115" s="24"/>
      <c r="D115" s="118" t="s">
        <v>24</v>
      </c>
      <c r="E115" s="119">
        <v>2.5</v>
      </c>
      <c r="F115" s="120">
        <f>F114*E115</f>
        <v>363.57500000000005</v>
      </c>
      <c r="G115" s="121"/>
      <c r="H115" s="65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 ht="14.25" customHeight="1" x14ac:dyDescent="0.3">
      <c r="A116" s="54" t="s">
        <v>92</v>
      </c>
      <c r="B116" s="17" t="s">
        <v>107</v>
      </c>
      <c r="C116" s="40"/>
      <c r="D116" s="41" t="str">
        <f>D117</f>
        <v>м.п.</v>
      </c>
      <c r="E116" s="20"/>
      <c r="F116" s="21">
        <v>1090.4000000000001</v>
      </c>
      <c r="G116" s="63">
        <f>ROUND(H116/F116,0)</f>
        <v>263</v>
      </c>
      <c r="H116" s="55">
        <f>SUM(H117:H127)</f>
        <v>286569.80000000005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4.25" customHeight="1" outlineLevel="2" x14ac:dyDescent="0.3">
      <c r="A117" s="53" t="s">
        <v>94</v>
      </c>
      <c r="B117" s="9" t="s">
        <v>108</v>
      </c>
      <c r="C117" s="10"/>
      <c r="D117" s="114" t="s">
        <v>49</v>
      </c>
      <c r="E117" s="115"/>
      <c r="F117" s="116">
        <v>1090.4000000000001</v>
      </c>
      <c r="G117" s="14">
        <v>107</v>
      </c>
      <c r="H117" s="64">
        <f>G117*F117</f>
        <v>116672.8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4.25" hidden="1" customHeight="1" outlineLevel="2" x14ac:dyDescent="0.3">
      <c r="A118" s="56" t="s">
        <v>95</v>
      </c>
      <c r="B118" s="30" t="s">
        <v>28</v>
      </c>
      <c r="C118" s="24"/>
      <c r="D118" s="118" t="s">
        <v>24</v>
      </c>
      <c r="E118" s="119">
        <f>6*0.3</f>
        <v>1.7999999999999998</v>
      </c>
      <c r="F118" s="120">
        <f>F117*E118</f>
        <v>1962.72</v>
      </c>
      <c r="G118" s="121"/>
      <c r="H118" s="65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ht="14.25" hidden="1" customHeight="1" outlineLevel="2" x14ac:dyDescent="0.3">
      <c r="A119" s="56" t="s">
        <v>109</v>
      </c>
      <c r="B119" s="31" t="s">
        <v>130</v>
      </c>
      <c r="C119" s="24"/>
      <c r="D119" s="118" t="s">
        <v>30</v>
      </c>
      <c r="E119" s="122">
        <f>0.03*1.07*0.3</f>
        <v>9.6300000000000014E-3</v>
      </c>
      <c r="F119" s="120">
        <f>F117*E119</f>
        <v>10.500552000000003</v>
      </c>
      <c r="G119" s="121"/>
      <c r="H119" s="65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 ht="14.25" customHeight="1" outlineLevel="2" x14ac:dyDescent="0.3">
      <c r="A120" s="53" t="s">
        <v>96</v>
      </c>
      <c r="B120" s="9" t="s">
        <v>110</v>
      </c>
      <c r="C120" s="10"/>
      <c r="D120" s="114" t="s">
        <v>49</v>
      </c>
      <c r="E120" s="115"/>
      <c r="F120" s="116">
        <f>F117</f>
        <v>1090.4000000000001</v>
      </c>
      <c r="G120" s="14">
        <v>89</v>
      </c>
      <c r="H120" s="64">
        <f>G120*F120</f>
        <v>97045.6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4.25" hidden="1" customHeight="1" outlineLevel="2" x14ac:dyDescent="0.3">
      <c r="A121" s="56" t="s">
        <v>97</v>
      </c>
      <c r="B121" s="23" t="s">
        <v>44</v>
      </c>
      <c r="C121" s="24"/>
      <c r="D121" s="118" t="s">
        <v>24</v>
      </c>
      <c r="E121" s="119">
        <f>6*0.3</f>
        <v>1.7999999999999998</v>
      </c>
      <c r="F121" s="120">
        <f>F120*E121</f>
        <v>1962.72</v>
      </c>
      <c r="G121" s="121"/>
      <c r="H121" s="65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 ht="14.25" hidden="1" customHeight="1" outlineLevel="2" x14ac:dyDescent="0.3">
      <c r="A122" s="56" t="s">
        <v>98</v>
      </c>
      <c r="B122" s="23" t="s">
        <v>46</v>
      </c>
      <c r="C122" s="24"/>
      <c r="D122" s="118" t="s">
        <v>11</v>
      </c>
      <c r="E122" s="119">
        <f>1.1*0.3</f>
        <v>0.33</v>
      </c>
      <c r="F122" s="120">
        <f>F120*E122</f>
        <v>359.83200000000005</v>
      </c>
      <c r="G122" s="121"/>
      <c r="H122" s="65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ht="14.25" hidden="1" customHeight="1" outlineLevel="2" x14ac:dyDescent="0.3">
      <c r="A123" s="56" t="s">
        <v>99</v>
      </c>
      <c r="B123" s="23" t="s">
        <v>48</v>
      </c>
      <c r="C123" s="24"/>
      <c r="D123" s="118" t="s">
        <v>24</v>
      </c>
      <c r="E123" s="119">
        <v>1.05</v>
      </c>
      <c r="F123" s="120">
        <f>F120*E123</f>
        <v>1144.92</v>
      </c>
      <c r="G123" s="121"/>
      <c r="H123" s="65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ht="14.25" customHeight="1" outlineLevel="2" x14ac:dyDescent="0.3">
      <c r="A124" s="53" t="s">
        <v>100</v>
      </c>
      <c r="B124" s="9" t="s">
        <v>111</v>
      </c>
      <c r="C124" s="10"/>
      <c r="D124" s="114" t="s">
        <v>49</v>
      </c>
      <c r="E124" s="115"/>
      <c r="F124" s="116">
        <f>F120-191</f>
        <v>899.40000000000009</v>
      </c>
      <c r="G124" s="14">
        <v>18</v>
      </c>
      <c r="H124" s="64">
        <f>G124*F124</f>
        <v>16189.2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4.25" hidden="1" customHeight="1" outlineLevel="2" x14ac:dyDescent="0.3">
      <c r="A125" s="56" t="s">
        <v>101</v>
      </c>
      <c r="B125" s="23" t="s">
        <v>131</v>
      </c>
      <c r="C125" s="24"/>
      <c r="D125" s="118" t="s">
        <v>24</v>
      </c>
      <c r="E125" s="119">
        <f>0.4*0.3</f>
        <v>0.12</v>
      </c>
      <c r="F125" s="120">
        <f>F124*E125</f>
        <v>107.92800000000001</v>
      </c>
      <c r="G125" s="121"/>
      <c r="H125" s="65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 ht="14.25" customHeight="1" outlineLevel="2" x14ac:dyDescent="0.3">
      <c r="A126" s="53" t="s">
        <v>103</v>
      </c>
      <c r="B126" s="9" t="s">
        <v>112</v>
      </c>
      <c r="C126" s="10"/>
      <c r="D126" s="114" t="s">
        <v>49</v>
      </c>
      <c r="E126" s="115"/>
      <c r="F126" s="116">
        <f>F124</f>
        <v>899.40000000000009</v>
      </c>
      <c r="G126" s="14">
        <v>63</v>
      </c>
      <c r="H126" s="64">
        <f>G126*F126</f>
        <v>56662.200000000004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4.25" hidden="1" customHeight="1" outlineLevel="2" x14ac:dyDescent="0.3">
      <c r="A127" s="56" t="s">
        <v>104</v>
      </c>
      <c r="B127" s="23" t="s">
        <v>132</v>
      </c>
      <c r="C127" s="24"/>
      <c r="D127" s="118" t="s">
        <v>24</v>
      </c>
      <c r="E127" s="119">
        <f>2.5*0.3</f>
        <v>0.75</v>
      </c>
      <c r="F127" s="120">
        <f>F126*E127</f>
        <v>674.55000000000007</v>
      </c>
      <c r="G127" s="121"/>
      <c r="H127" s="65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ht="14.25" customHeight="1" x14ac:dyDescent="0.3">
      <c r="A128" s="54" t="s">
        <v>113</v>
      </c>
      <c r="B128" s="17" t="s">
        <v>114</v>
      </c>
      <c r="C128" s="40"/>
      <c r="D128" s="19" t="s">
        <v>49</v>
      </c>
      <c r="E128" s="20"/>
      <c r="F128" s="21">
        <v>191</v>
      </c>
      <c r="G128" s="63">
        <f>H128/F128</f>
        <v>268</v>
      </c>
      <c r="H128" s="55">
        <f>SUM(H129:H134)</f>
        <v>51188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3.8" customHeight="1" outlineLevel="2" x14ac:dyDescent="0.3">
      <c r="A129" s="59" t="s">
        <v>115</v>
      </c>
      <c r="B129" s="9" t="s">
        <v>116</v>
      </c>
      <c r="C129" s="10"/>
      <c r="D129" s="114" t="s">
        <v>49</v>
      </c>
      <c r="E129" s="115"/>
      <c r="F129" s="116">
        <f>F128</f>
        <v>191</v>
      </c>
      <c r="G129" s="14">
        <v>63</v>
      </c>
      <c r="H129" s="64">
        <f>G129*F129</f>
        <v>12033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33.6" customHeight="1" outlineLevel="2" thickBot="1" x14ac:dyDescent="0.35">
      <c r="A130" s="53" t="s">
        <v>117</v>
      </c>
      <c r="B130" s="9" t="s">
        <v>118</v>
      </c>
      <c r="C130" s="10"/>
      <c r="D130" s="114" t="s">
        <v>49</v>
      </c>
      <c r="E130" s="115"/>
      <c r="F130" s="116">
        <f>F128</f>
        <v>191</v>
      </c>
      <c r="G130" s="14">
        <v>205</v>
      </c>
      <c r="H130" s="64">
        <f>G130*F130</f>
        <v>39155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4.25" hidden="1" customHeight="1" outlineLevel="2" x14ac:dyDescent="0.3">
      <c r="A131" s="56" t="s">
        <v>119</v>
      </c>
      <c r="B131" s="23" t="s">
        <v>120</v>
      </c>
      <c r="C131" s="24"/>
      <c r="D131" s="118" t="s">
        <v>11</v>
      </c>
      <c r="E131" s="119">
        <v>1.2</v>
      </c>
      <c r="F131" s="120">
        <f>F130*0.38*E131</f>
        <v>87.095999999999989</v>
      </c>
      <c r="G131" s="121"/>
      <c r="H131" s="65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ht="14.25" hidden="1" customHeight="1" outlineLevel="2" x14ac:dyDescent="0.3">
      <c r="A132" s="56" t="s">
        <v>121</v>
      </c>
      <c r="B132" s="23" t="s">
        <v>122</v>
      </c>
      <c r="C132" s="24"/>
      <c r="D132" s="118" t="s">
        <v>33</v>
      </c>
      <c r="E132" s="119">
        <f>6*1.05</f>
        <v>6.3000000000000007</v>
      </c>
      <c r="F132" s="120">
        <f>_xlfn.CEILING.MATH(F130*E132)</f>
        <v>1204</v>
      </c>
      <c r="G132" s="121"/>
      <c r="H132" s="65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ht="14.25" hidden="1" customHeight="1" outlineLevel="2" x14ac:dyDescent="0.3">
      <c r="A133" s="56" t="s">
        <v>123</v>
      </c>
      <c r="B133" s="23" t="s">
        <v>124</v>
      </c>
      <c r="C133" s="24"/>
      <c r="D133" s="118" t="s">
        <v>33</v>
      </c>
      <c r="E133" s="119">
        <v>0.05</v>
      </c>
      <c r="F133" s="120">
        <f>_xlfn.CEILING.MATH(F130*E133)</f>
        <v>10</v>
      </c>
      <c r="G133" s="121"/>
      <c r="H133" s="65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ht="14.25" hidden="1" customHeight="1" outlineLevel="2" x14ac:dyDescent="0.3">
      <c r="A134" s="56" t="s">
        <v>125</v>
      </c>
      <c r="B134" s="23" t="s">
        <v>126</v>
      </c>
      <c r="C134" s="24"/>
      <c r="D134" s="118" t="s">
        <v>33</v>
      </c>
      <c r="E134" s="119">
        <v>0.09</v>
      </c>
      <c r="F134" s="120">
        <f>_xlfn.CEILING.MATH(F130*E134)</f>
        <v>18</v>
      </c>
      <c r="G134" s="121"/>
      <c r="H134" s="65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 ht="19.8" customHeight="1" thickBot="1" x14ac:dyDescent="0.35">
      <c r="A135" s="123" t="s">
        <v>136</v>
      </c>
      <c r="B135" s="67"/>
      <c r="C135" s="67"/>
      <c r="D135" s="67"/>
      <c r="E135" s="67"/>
      <c r="F135" s="67"/>
      <c r="G135" s="68"/>
      <c r="H135" s="62">
        <f>H3+H7+H26+H102+H116+H128</f>
        <v>3286577.5525150001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9.8" customHeight="1" thickBot="1" x14ac:dyDescent="0.35">
      <c r="A136" s="123" t="s">
        <v>171</v>
      </c>
      <c r="B136" s="67"/>
      <c r="C136" s="67"/>
      <c r="D136" s="67"/>
      <c r="E136" s="67"/>
      <c r="F136" s="67"/>
      <c r="G136" s="68"/>
      <c r="H136" s="62">
        <f>H135/5</f>
        <v>657315.510503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9.8" customHeight="1" thickBot="1" x14ac:dyDescent="0.35">
      <c r="A137" s="123" t="s">
        <v>172</v>
      </c>
      <c r="B137" s="67"/>
      <c r="C137" s="67"/>
      <c r="D137" s="67"/>
      <c r="E137" s="67"/>
      <c r="F137" s="67"/>
      <c r="G137" s="68"/>
      <c r="H137" s="62">
        <f>SUM(H135:H136)</f>
        <v>3943893.0630180002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</sheetData>
  <autoFilter ref="A3:S135" xr:uid="{00000000-0009-0000-0000-000000000000}"/>
  <mergeCells count="10">
    <mergeCell ref="A135:G135"/>
    <mergeCell ref="A136:G136"/>
    <mergeCell ref="A137:G137"/>
    <mergeCell ref="G1:H1"/>
    <mergeCell ref="A1:A2"/>
    <mergeCell ref="B1:B2"/>
    <mergeCell ref="C1:C2"/>
    <mergeCell ref="D1:D2"/>
    <mergeCell ref="E1:E2"/>
    <mergeCell ref="F1:F2"/>
  </mergeCells>
  <phoneticPr fontId="13" type="noConversion"/>
  <conditionalFormatting sqref="G4:G5">
    <cfRule type="cellIs" dxfId="41" priority="72" operator="equal">
      <formula>0</formula>
    </cfRule>
  </conditionalFormatting>
  <conditionalFormatting sqref="G8">
    <cfRule type="cellIs" dxfId="40" priority="73" operator="equal">
      <formula>0</formula>
    </cfRule>
  </conditionalFormatting>
  <conditionalFormatting sqref="G10">
    <cfRule type="cellIs" dxfId="39" priority="74" operator="equal">
      <formula>0</formula>
    </cfRule>
  </conditionalFormatting>
  <conditionalFormatting sqref="G14">
    <cfRule type="cellIs" dxfId="38" priority="75" operator="equal">
      <formula>0</formula>
    </cfRule>
  </conditionalFormatting>
  <conditionalFormatting sqref="G18">
    <cfRule type="cellIs" dxfId="37" priority="76" operator="equal">
      <formula>0</formula>
    </cfRule>
  </conditionalFormatting>
  <conditionalFormatting sqref="G22">
    <cfRule type="cellIs" dxfId="36" priority="77" operator="equal">
      <formula>0</formula>
    </cfRule>
  </conditionalFormatting>
  <conditionalFormatting sqref="G24">
    <cfRule type="cellIs" dxfId="35" priority="78" operator="equal">
      <formula>0</formula>
    </cfRule>
  </conditionalFormatting>
  <conditionalFormatting sqref="G28">
    <cfRule type="cellIs" dxfId="34" priority="79" operator="equal">
      <formula>0</formula>
    </cfRule>
  </conditionalFormatting>
  <conditionalFormatting sqref="G30">
    <cfRule type="cellIs" dxfId="33" priority="80" operator="equal">
      <formula>0</formula>
    </cfRule>
  </conditionalFormatting>
  <conditionalFormatting sqref="G34">
    <cfRule type="cellIs" dxfId="32" priority="81" operator="equal">
      <formula>0</formula>
    </cfRule>
  </conditionalFormatting>
  <conditionalFormatting sqref="G38">
    <cfRule type="cellIs" dxfId="31" priority="82" operator="equal">
      <formula>0</formula>
    </cfRule>
  </conditionalFormatting>
  <conditionalFormatting sqref="G40">
    <cfRule type="cellIs" dxfId="30" priority="83" operator="equal">
      <formula>0</formula>
    </cfRule>
  </conditionalFormatting>
  <conditionalFormatting sqref="G43">
    <cfRule type="cellIs" dxfId="29" priority="55" operator="equal">
      <formula>0</formula>
    </cfRule>
  </conditionalFormatting>
  <conditionalFormatting sqref="G45">
    <cfRule type="cellIs" dxfId="28" priority="56" operator="equal">
      <formula>0</formula>
    </cfRule>
  </conditionalFormatting>
  <conditionalFormatting sqref="G49">
    <cfRule type="cellIs" dxfId="27" priority="57" operator="equal">
      <formula>0</formula>
    </cfRule>
  </conditionalFormatting>
  <conditionalFormatting sqref="G53">
    <cfRule type="cellIs" dxfId="26" priority="58" operator="equal">
      <formula>0</formula>
    </cfRule>
  </conditionalFormatting>
  <conditionalFormatting sqref="G55">
    <cfRule type="cellIs" dxfId="25" priority="59" operator="equal">
      <formula>0</formula>
    </cfRule>
  </conditionalFormatting>
  <conditionalFormatting sqref="G58">
    <cfRule type="cellIs" dxfId="24" priority="50" operator="equal">
      <formula>0</formula>
    </cfRule>
  </conditionalFormatting>
  <conditionalFormatting sqref="G60">
    <cfRule type="cellIs" dxfId="23" priority="51" operator="equal">
      <formula>0</formula>
    </cfRule>
  </conditionalFormatting>
  <conditionalFormatting sqref="G64">
    <cfRule type="cellIs" dxfId="22" priority="52" operator="equal">
      <formula>0</formula>
    </cfRule>
  </conditionalFormatting>
  <conditionalFormatting sqref="G68">
    <cfRule type="cellIs" dxfId="21" priority="53" operator="equal">
      <formula>0</formula>
    </cfRule>
  </conditionalFormatting>
  <conditionalFormatting sqref="G70">
    <cfRule type="cellIs" dxfId="20" priority="54" operator="equal">
      <formula>0</formula>
    </cfRule>
  </conditionalFormatting>
  <conditionalFormatting sqref="G73">
    <cfRule type="cellIs" dxfId="19" priority="45" operator="equal">
      <formula>0</formula>
    </cfRule>
  </conditionalFormatting>
  <conditionalFormatting sqref="G75">
    <cfRule type="cellIs" dxfId="18" priority="46" operator="equal">
      <formula>0</formula>
    </cfRule>
  </conditionalFormatting>
  <conditionalFormatting sqref="G79">
    <cfRule type="cellIs" dxfId="17" priority="47" operator="equal">
      <formula>0</formula>
    </cfRule>
  </conditionalFormatting>
  <conditionalFormatting sqref="G83">
    <cfRule type="cellIs" dxfId="16" priority="48" operator="equal">
      <formula>0</formula>
    </cfRule>
  </conditionalFormatting>
  <conditionalFormatting sqref="G85">
    <cfRule type="cellIs" dxfId="15" priority="49" operator="equal">
      <formula>0</formula>
    </cfRule>
  </conditionalFormatting>
  <conditionalFormatting sqref="G88">
    <cfRule type="cellIs" dxfId="14" priority="84" operator="equal">
      <formula>0</formula>
    </cfRule>
  </conditionalFormatting>
  <conditionalFormatting sqref="G90">
    <cfRule type="cellIs" dxfId="13" priority="85" operator="equal">
      <formula>0</formula>
    </cfRule>
  </conditionalFormatting>
  <conditionalFormatting sqref="G94">
    <cfRule type="cellIs" dxfId="12" priority="86" operator="equal">
      <formula>0</formula>
    </cfRule>
  </conditionalFormatting>
  <conditionalFormatting sqref="G98">
    <cfRule type="cellIs" dxfId="11" priority="87" operator="equal">
      <formula>0</formula>
    </cfRule>
  </conditionalFormatting>
  <conditionalFormatting sqref="G100">
    <cfRule type="cellIs" dxfId="10" priority="88" operator="equal">
      <formula>0</formula>
    </cfRule>
  </conditionalFormatting>
  <conditionalFormatting sqref="G103">
    <cfRule type="cellIs" dxfId="9" priority="89" operator="equal">
      <formula>0</formula>
    </cfRule>
  </conditionalFormatting>
  <conditionalFormatting sqref="G105">
    <cfRule type="cellIs" dxfId="8" priority="90" operator="equal">
      <formula>0</formula>
    </cfRule>
  </conditionalFormatting>
  <conditionalFormatting sqref="G109">
    <cfRule type="cellIs" dxfId="7" priority="91" operator="equal">
      <formula>0</formula>
    </cfRule>
  </conditionalFormatting>
  <conditionalFormatting sqref="G112">
    <cfRule type="cellIs" dxfId="6" priority="92" operator="equal">
      <formula>0</formula>
    </cfRule>
  </conditionalFormatting>
  <conditionalFormatting sqref="G114">
    <cfRule type="cellIs" dxfId="5" priority="93" operator="equal">
      <formula>0</formula>
    </cfRule>
  </conditionalFormatting>
  <conditionalFormatting sqref="G117">
    <cfRule type="cellIs" dxfId="4" priority="94" operator="equal">
      <formula>0</formula>
    </cfRule>
  </conditionalFormatting>
  <conditionalFormatting sqref="G120">
    <cfRule type="cellIs" dxfId="3" priority="95" operator="equal">
      <formula>0</formula>
    </cfRule>
  </conditionalFormatting>
  <conditionalFormatting sqref="G124">
    <cfRule type="cellIs" dxfId="2" priority="96" operator="equal">
      <formula>0</formula>
    </cfRule>
  </conditionalFormatting>
  <conditionalFormatting sqref="G126">
    <cfRule type="cellIs" dxfId="1" priority="97" operator="equal">
      <formula>0</formula>
    </cfRule>
  </conditionalFormatting>
  <conditionalFormatting sqref="G129:G130">
    <cfRule type="cellIs" dxfId="0" priority="98" operator="equal">
      <formula>0</formula>
    </cfRule>
  </conditionalFormatting>
  <printOptions horizontalCentered="1"/>
  <pageMargins left="0.25" right="0.25" top="0.75" bottom="0.75" header="0" footer="0"/>
  <pageSetup paperSize="9" scale="89" fitToHeight="0" orientation="landscape" r:id="rId1"/>
  <headerFooter>
    <oddFooter>&amp;RАркуш. &amp;P Аркушів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575FB-9A8D-46D3-B8E5-F3FD4A517FB9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1f2061e5-d3d5-4a1c-a34d-e549926875d7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0dff5752-ff18-4084-8703-f6de6e7b121a"/>
  </ds:schemaRefs>
</ds:datastoreItem>
</file>

<file path=customXml/itemProps2.xml><?xml version="1.0" encoding="utf-8"?>
<ds:datastoreItem xmlns:ds="http://schemas.openxmlformats.org/officeDocument/2006/customXml" ds:itemID="{28480323-A63D-4462-8A54-042E61E5C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68ABC-255B-4E54-943F-7DA5736A00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М-ДЦ1</vt:lpstr>
      <vt:lpstr>М-ДЦ1 повна</vt:lpstr>
      <vt:lpstr>'М-ДЦ1'!Область_друку</vt:lpstr>
      <vt:lpstr>'М-ДЦ1 повна'!Область_друку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Павел Коварж</dc:creator>
  <cp:keywords/>
  <dc:description/>
  <cp:lastModifiedBy>Aleksandr Alekseichenko</cp:lastModifiedBy>
  <cp:revision/>
  <cp:lastPrinted>2026-04-14T13:34:56Z</cp:lastPrinted>
  <dcterms:created xsi:type="dcterms:W3CDTF">2015-06-05T18:19:34Z</dcterms:created>
  <dcterms:modified xsi:type="dcterms:W3CDTF">2026-05-24T19:50:19Z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