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ka\Desktop\ТЕНДЕРИ моноліт кровля мурування\"/>
    </mc:Choice>
  </mc:AlternateContent>
  <xr:revisionPtr revIDLastSave="0" documentId="13_ncr:1_{773480CD-052B-4791-B3B2-713F0B8AA1AA}" xr6:coauthVersionLast="47" xr6:coauthVersionMax="47" xr10:uidLastSave="{00000000-0000-0000-0000-000000000000}"/>
  <bookViews>
    <workbookView xWindow="-110" yWindow="-110" windowWidth="19420" windowHeight="11500" xr2:uid="{F40C0F1C-A9C5-4BC2-A0E4-C9AF0E67A46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13" i="1" l="1"/>
  <c r="H512" i="1"/>
  <c r="L510" i="1"/>
  <c r="N510" i="1" s="1"/>
  <c r="H510" i="1"/>
  <c r="K509" i="1"/>
  <c r="L509" i="1" s="1"/>
  <c r="N509" i="1" s="1"/>
  <c r="L508" i="1"/>
  <c r="H508" i="1"/>
  <c r="L507" i="1"/>
  <c r="N507" i="1" s="1"/>
  <c r="H507" i="1"/>
  <c r="L506" i="1"/>
  <c r="N506" i="1" s="1"/>
  <c r="H506" i="1"/>
  <c r="L505" i="1"/>
  <c r="N505" i="1" s="1"/>
  <c r="N504" i="1"/>
  <c r="L503" i="1"/>
  <c r="N503" i="1" s="1"/>
  <c r="L502" i="1"/>
  <c r="N502" i="1" s="1"/>
  <c r="L501" i="1"/>
  <c r="N501" i="1" s="1"/>
  <c r="L500" i="1"/>
  <c r="N500" i="1" s="1"/>
  <c r="F500" i="1"/>
  <c r="H500" i="1" s="1"/>
  <c r="L497" i="1"/>
  <c r="N497" i="1" s="1"/>
  <c r="L496" i="1"/>
  <c r="N496" i="1" s="1"/>
  <c r="L495" i="1"/>
  <c r="N495" i="1" s="1"/>
  <c r="L494" i="1"/>
  <c r="N494" i="1" s="1"/>
  <c r="L493" i="1"/>
  <c r="N493" i="1" s="1"/>
  <c r="F493" i="1"/>
  <c r="H493" i="1" s="1"/>
  <c r="L490" i="1"/>
  <c r="N490" i="1" s="1"/>
  <c r="L489" i="1"/>
  <c r="N489" i="1" s="1"/>
  <c r="L488" i="1"/>
  <c r="N488" i="1" s="1"/>
  <c r="L487" i="1"/>
  <c r="N487" i="1" s="1"/>
  <c r="F487" i="1"/>
  <c r="H487" i="1" s="1"/>
  <c r="F479" i="1"/>
  <c r="H479" i="1" s="1"/>
  <c r="K476" i="1"/>
  <c r="F475" i="1"/>
  <c r="L475" i="1" s="1"/>
  <c r="L474" i="1"/>
  <c r="N474" i="1" s="1"/>
  <c r="L473" i="1"/>
  <c r="N473" i="1" s="1"/>
  <c r="H473" i="1"/>
  <c r="L472" i="1"/>
  <c r="N472" i="1" s="1"/>
  <c r="H472" i="1"/>
  <c r="L470" i="1"/>
  <c r="N470" i="1" s="1"/>
  <c r="L469" i="1"/>
  <c r="N469" i="1" s="1"/>
  <c r="L468" i="1"/>
  <c r="N468" i="1" s="1"/>
  <c r="L467" i="1"/>
  <c r="N467" i="1" s="1"/>
  <c r="F467" i="1"/>
  <c r="H467" i="1" s="1"/>
  <c r="L465" i="1"/>
  <c r="N465" i="1" s="1"/>
  <c r="H465" i="1"/>
  <c r="L463" i="1"/>
  <c r="N463" i="1" s="1"/>
  <c r="L462" i="1"/>
  <c r="N462" i="1" s="1"/>
  <c r="L461" i="1"/>
  <c r="N461" i="1" s="1"/>
  <c r="L460" i="1"/>
  <c r="N460" i="1" s="1"/>
  <c r="L459" i="1"/>
  <c r="N459" i="1" s="1"/>
  <c r="L458" i="1"/>
  <c r="N458" i="1" s="1"/>
  <c r="F458" i="1"/>
  <c r="L464" i="1" s="1"/>
  <c r="N464" i="1" s="1"/>
  <c r="L456" i="1"/>
  <c r="N456" i="1" s="1"/>
  <c r="H456" i="1"/>
  <c r="L454" i="1"/>
  <c r="N454" i="1" s="1"/>
  <c r="L453" i="1"/>
  <c r="N453" i="1" s="1"/>
  <c r="L452" i="1"/>
  <c r="N452" i="1" s="1"/>
  <c r="L451" i="1"/>
  <c r="N451" i="1" s="1"/>
  <c r="L450" i="1"/>
  <c r="N450" i="1" s="1"/>
  <c r="L449" i="1"/>
  <c r="N449" i="1" s="1"/>
  <c r="F449" i="1"/>
  <c r="L455" i="1" s="1"/>
  <c r="N455" i="1" s="1"/>
  <c r="F441" i="1"/>
  <c r="F442" i="1" s="1"/>
  <c r="H442" i="1" s="1"/>
  <c r="K438" i="1"/>
  <c r="L438" i="1" s="1"/>
  <c r="N438" i="1" s="1"/>
  <c r="N437" i="1"/>
  <c r="F437" i="1"/>
  <c r="L437" i="1" s="1"/>
  <c r="L436" i="1"/>
  <c r="N436" i="1" s="1"/>
  <c r="H436" i="1"/>
  <c r="L435" i="1"/>
  <c r="N435" i="1" s="1"/>
  <c r="L434" i="1"/>
  <c r="N434" i="1" s="1"/>
  <c r="L433" i="1"/>
  <c r="N433" i="1" s="1"/>
  <c r="L432" i="1"/>
  <c r="N432" i="1" s="1"/>
  <c r="L431" i="1"/>
  <c r="N431" i="1" s="1"/>
  <c r="H431" i="1"/>
  <c r="L430" i="1"/>
  <c r="N430" i="1" s="1"/>
  <c r="H430" i="1"/>
  <c r="H429" i="1"/>
  <c r="K427" i="1"/>
  <c r="F426" i="1"/>
  <c r="L426" i="1" s="1"/>
  <c r="L425" i="1"/>
  <c r="N425" i="1" s="1"/>
  <c r="H425" i="1"/>
  <c r="L423" i="1"/>
  <c r="N423" i="1" s="1"/>
  <c r="L422" i="1"/>
  <c r="N422" i="1" s="1"/>
  <c r="N421" i="1"/>
  <c r="L421" i="1"/>
  <c r="L420" i="1"/>
  <c r="N420" i="1" s="1"/>
  <c r="L419" i="1"/>
  <c r="N419" i="1" s="1"/>
  <c r="F419" i="1"/>
  <c r="L424" i="1" s="1"/>
  <c r="N424" i="1" s="1"/>
  <c r="L418" i="1"/>
  <c r="N418" i="1" s="1"/>
  <c r="H418" i="1"/>
  <c r="H417" i="1"/>
  <c r="F410" i="1"/>
  <c r="L411" i="1" s="1"/>
  <c r="F408" i="1"/>
  <c r="H408" i="1" s="1"/>
  <c r="F407" i="1"/>
  <c r="F413" i="1" s="1"/>
  <c r="L413" i="1" s="1"/>
  <c r="N413" i="1" s="1"/>
  <c r="L404" i="1"/>
  <c r="N404" i="1" s="1"/>
  <c r="H404" i="1"/>
  <c r="L402" i="1"/>
  <c r="N402" i="1" s="1"/>
  <c r="L401" i="1"/>
  <c r="N401" i="1" s="1"/>
  <c r="L400" i="1"/>
  <c r="N400" i="1" s="1"/>
  <c r="L399" i="1"/>
  <c r="N399" i="1" s="1"/>
  <c r="L398" i="1"/>
  <c r="N398" i="1" s="1"/>
  <c r="F398" i="1"/>
  <c r="L403" i="1" s="1"/>
  <c r="N403" i="1" s="1"/>
  <c r="F397" i="1"/>
  <c r="H397" i="1" s="1"/>
  <c r="L395" i="1"/>
  <c r="N395" i="1" s="1"/>
  <c r="H395" i="1"/>
  <c r="N393" i="1"/>
  <c r="L393" i="1"/>
  <c r="L392" i="1"/>
  <c r="N392" i="1" s="1"/>
  <c r="L391" i="1"/>
  <c r="N391" i="1" s="1"/>
  <c r="L390" i="1"/>
  <c r="N390" i="1" s="1"/>
  <c r="L389" i="1"/>
  <c r="N389" i="1" s="1"/>
  <c r="F389" i="1"/>
  <c r="H389" i="1" s="1"/>
  <c r="F388" i="1"/>
  <c r="H388" i="1" s="1"/>
  <c r="L386" i="1"/>
  <c r="N386" i="1" s="1"/>
  <c r="H386" i="1"/>
  <c r="L384" i="1"/>
  <c r="N384" i="1" s="1"/>
  <c r="L383" i="1"/>
  <c r="N383" i="1" s="1"/>
  <c r="L382" i="1"/>
  <c r="N382" i="1" s="1"/>
  <c r="L381" i="1"/>
  <c r="N381" i="1" s="1"/>
  <c r="N380" i="1"/>
  <c r="L380" i="1"/>
  <c r="F380" i="1"/>
  <c r="H380" i="1" s="1"/>
  <c r="F379" i="1"/>
  <c r="H379" i="1" s="1"/>
  <c r="L377" i="1"/>
  <c r="N377" i="1" s="1"/>
  <c r="H377" i="1"/>
  <c r="L375" i="1"/>
  <c r="N375" i="1" s="1"/>
  <c r="L374" i="1"/>
  <c r="N374" i="1" s="1"/>
  <c r="L373" i="1"/>
  <c r="N373" i="1" s="1"/>
  <c r="L372" i="1"/>
  <c r="N372" i="1" s="1"/>
  <c r="L371" i="1"/>
  <c r="N371" i="1" s="1"/>
  <c r="H371" i="1"/>
  <c r="F371" i="1"/>
  <c r="L376" i="1" s="1"/>
  <c r="N376" i="1" s="1"/>
  <c r="F370" i="1"/>
  <c r="H370" i="1" s="1"/>
  <c r="F368" i="1"/>
  <c r="H368" i="1" s="1"/>
  <c r="L366" i="1"/>
  <c r="N366" i="1" s="1"/>
  <c r="L365" i="1"/>
  <c r="N365" i="1" s="1"/>
  <c r="L364" i="1"/>
  <c r="N364" i="1" s="1"/>
  <c r="L363" i="1"/>
  <c r="N363" i="1" s="1"/>
  <c r="L362" i="1"/>
  <c r="N362" i="1" s="1"/>
  <c r="F362" i="1"/>
  <c r="H362" i="1" s="1"/>
  <c r="F361" i="1"/>
  <c r="H361" i="1" s="1"/>
  <c r="F359" i="1"/>
  <c r="L359" i="1" s="1"/>
  <c r="N359" i="1" s="1"/>
  <c r="L357" i="1"/>
  <c r="N357" i="1" s="1"/>
  <c r="L356" i="1"/>
  <c r="N356" i="1" s="1"/>
  <c r="L355" i="1"/>
  <c r="N355" i="1" s="1"/>
  <c r="N354" i="1"/>
  <c r="L354" i="1"/>
  <c r="L353" i="1"/>
  <c r="N353" i="1" s="1"/>
  <c r="F353" i="1"/>
  <c r="H353" i="1" s="1"/>
  <c r="H352" i="1"/>
  <c r="F352" i="1"/>
  <c r="L350" i="1"/>
  <c r="N350" i="1" s="1"/>
  <c r="H350" i="1"/>
  <c r="L348" i="1"/>
  <c r="N348" i="1" s="1"/>
  <c r="L347" i="1"/>
  <c r="N347" i="1" s="1"/>
  <c r="L346" i="1"/>
  <c r="N346" i="1" s="1"/>
  <c r="L345" i="1"/>
  <c r="N345" i="1" s="1"/>
  <c r="L344" i="1"/>
  <c r="N344" i="1" s="1"/>
  <c r="F344" i="1"/>
  <c r="L349" i="1" s="1"/>
  <c r="N349" i="1" s="1"/>
  <c r="F343" i="1"/>
  <c r="H343" i="1" s="1"/>
  <c r="L339" i="1"/>
  <c r="N339" i="1" s="1"/>
  <c r="H339" i="1"/>
  <c r="F338" i="1"/>
  <c r="L338" i="1" s="1"/>
  <c r="N338" i="1" s="1"/>
  <c r="H337" i="1"/>
  <c r="F337" i="1"/>
  <c r="L335" i="1"/>
  <c r="N335" i="1" s="1"/>
  <c r="H335" i="1"/>
  <c r="L333" i="1"/>
  <c r="N333" i="1" s="1"/>
  <c r="L332" i="1"/>
  <c r="N332" i="1" s="1"/>
  <c r="L331" i="1"/>
  <c r="N331" i="1" s="1"/>
  <c r="L330" i="1"/>
  <c r="N330" i="1" s="1"/>
  <c r="F330" i="1"/>
  <c r="L334" i="1" s="1"/>
  <c r="N334" i="1" s="1"/>
  <c r="F329" i="1"/>
  <c r="H329" i="1" s="1"/>
  <c r="L327" i="1"/>
  <c r="N327" i="1" s="1"/>
  <c r="H327" i="1"/>
  <c r="L325" i="1"/>
  <c r="N325" i="1" s="1"/>
  <c r="L324" i="1"/>
  <c r="N324" i="1" s="1"/>
  <c r="F324" i="1"/>
  <c r="H324" i="1" s="1"/>
  <c r="F323" i="1"/>
  <c r="H323" i="1" s="1"/>
  <c r="L321" i="1"/>
  <c r="N321" i="1" s="1"/>
  <c r="H321" i="1"/>
  <c r="L319" i="1"/>
  <c r="N319" i="1" s="1"/>
  <c r="L318" i="1"/>
  <c r="N318" i="1" s="1"/>
  <c r="L317" i="1"/>
  <c r="N317" i="1" s="1"/>
  <c r="L316" i="1"/>
  <c r="N316" i="1" s="1"/>
  <c r="L315" i="1"/>
  <c r="N315" i="1" s="1"/>
  <c r="H315" i="1"/>
  <c r="F315" i="1"/>
  <c r="L320" i="1" s="1"/>
  <c r="N320" i="1" s="1"/>
  <c r="F314" i="1"/>
  <c r="H314" i="1" s="1"/>
  <c r="L312" i="1"/>
  <c r="N312" i="1" s="1"/>
  <c r="H312" i="1"/>
  <c r="L310" i="1"/>
  <c r="N310" i="1" s="1"/>
  <c r="L309" i="1"/>
  <c r="N309" i="1" s="1"/>
  <c r="L308" i="1"/>
  <c r="N308" i="1" s="1"/>
  <c r="L307" i="1"/>
  <c r="N307" i="1" s="1"/>
  <c r="L306" i="1"/>
  <c r="N306" i="1" s="1"/>
  <c r="F306" i="1"/>
  <c r="L311" i="1" s="1"/>
  <c r="N311" i="1" s="1"/>
  <c r="F305" i="1"/>
  <c r="H305" i="1" s="1"/>
  <c r="L303" i="1"/>
  <c r="N303" i="1" s="1"/>
  <c r="H303" i="1"/>
  <c r="L301" i="1"/>
  <c r="N301" i="1" s="1"/>
  <c r="L300" i="1"/>
  <c r="N300" i="1" s="1"/>
  <c r="L299" i="1"/>
  <c r="N299" i="1" s="1"/>
  <c r="F299" i="1"/>
  <c r="H299" i="1" s="1"/>
  <c r="F298" i="1"/>
  <c r="H298" i="1" s="1"/>
  <c r="L296" i="1"/>
  <c r="N296" i="1" s="1"/>
  <c r="H296" i="1"/>
  <c r="N294" i="1"/>
  <c r="L294" i="1"/>
  <c r="L293" i="1"/>
  <c r="N293" i="1" s="1"/>
  <c r="L292" i="1"/>
  <c r="N292" i="1" s="1"/>
  <c r="F292" i="1"/>
  <c r="L295" i="1" s="1"/>
  <c r="N295" i="1" s="1"/>
  <c r="F291" i="1"/>
  <c r="H291" i="1" s="1"/>
  <c r="F289" i="1"/>
  <c r="L289" i="1" s="1"/>
  <c r="N289" i="1" s="1"/>
  <c r="L287" i="1"/>
  <c r="N287" i="1" s="1"/>
  <c r="L286" i="1"/>
  <c r="N286" i="1" s="1"/>
  <c r="F286" i="1"/>
  <c r="L288" i="1" s="1"/>
  <c r="N288" i="1" s="1"/>
  <c r="F285" i="1"/>
  <c r="H285" i="1" s="1"/>
  <c r="L281" i="1"/>
  <c r="N281" i="1" s="1"/>
  <c r="H281" i="1"/>
  <c r="L279" i="1"/>
  <c r="N279" i="1" s="1"/>
  <c r="L278" i="1"/>
  <c r="N278" i="1" s="1"/>
  <c r="L277" i="1"/>
  <c r="N277" i="1" s="1"/>
  <c r="F277" i="1"/>
  <c r="H277" i="1" s="1"/>
  <c r="H276" i="1"/>
  <c r="H282" i="1" s="1"/>
  <c r="F276" i="1"/>
  <c r="F273" i="1"/>
  <c r="L273" i="1" s="1"/>
  <c r="N273" i="1" s="1"/>
  <c r="L271" i="1"/>
  <c r="N271" i="1" s="1"/>
  <c r="N270" i="1"/>
  <c r="L270" i="1"/>
  <c r="L269" i="1"/>
  <c r="N269" i="1" s="1"/>
  <c r="L268" i="1"/>
  <c r="N268" i="1" s="1"/>
  <c r="L267" i="1"/>
  <c r="N267" i="1" s="1"/>
  <c r="F267" i="1"/>
  <c r="H267" i="1" s="1"/>
  <c r="F266" i="1"/>
  <c r="H266" i="1" s="1"/>
  <c r="L263" i="1"/>
  <c r="N263" i="1" s="1"/>
  <c r="H263" i="1"/>
  <c r="L262" i="1"/>
  <c r="H262" i="1"/>
  <c r="N261" i="1"/>
  <c r="N260" i="1"/>
  <c r="N259" i="1"/>
  <c r="N258" i="1"/>
  <c r="N257" i="1"/>
  <c r="N256" i="1"/>
  <c r="N255" i="1"/>
  <c r="K254" i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N246" i="1"/>
  <c r="L246" i="1"/>
  <c r="F246" i="1"/>
  <c r="H246" i="1" s="1"/>
  <c r="L244" i="1"/>
  <c r="N244" i="1" s="1"/>
  <c r="H244" i="1"/>
  <c r="L242" i="1"/>
  <c r="N242" i="1" s="1"/>
  <c r="L241" i="1"/>
  <c r="N241" i="1" s="1"/>
  <c r="L240" i="1"/>
  <c r="N240" i="1" s="1"/>
  <c r="L239" i="1"/>
  <c r="N239" i="1" s="1"/>
  <c r="F239" i="1"/>
  <c r="H239" i="1" s="1"/>
  <c r="F238" i="1"/>
  <c r="H238" i="1" s="1"/>
  <c r="L236" i="1"/>
  <c r="N236" i="1" s="1"/>
  <c r="H236" i="1"/>
  <c r="L234" i="1"/>
  <c r="N234" i="1" s="1"/>
  <c r="L233" i="1"/>
  <c r="N233" i="1" s="1"/>
  <c r="L232" i="1"/>
  <c r="N232" i="1" s="1"/>
  <c r="L231" i="1"/>
  <c r="N231" i="1" s="1"/>
  <c r="L230" i="1"/>
  <c r="N230" i="1" s="1"/>
  <c r="F230" i="1"/>
  <c r="L235" i="1" s="1"/>
  <c r="N235" i="1" s="1"/>
  <c r="F229" i="1"/>
  <c r="H229" i="1" s="1"/>
  <c r="L227" i="1"/>
  <c r="N227" i="1" s="1"/>
  <c r="H227" i="1"/>
  <c r="L225" i="1"/>
  <c r="N225" i="1" s="1"/>
  <c r="L224" i="1"/>
  <c r="N224" i="1" s="1"/>
  <c r="L223" i="1"/>
  <c r="N223" i="1" s="1"/>
  <c r="F223" i="1"/>
  <c r="H223" i="1" s="1"/>
  <c r="F222" i="1"/>
  <c r="H222" i="1" s="1"/>
  <c r="F220" i="1"/>
  <c r="H220" i="1" s="1"/>
  <c r="L218" i="1"/>
  <c r="N218" i="1" s="1"/>
  <c r="L217" i="1"/>
  <c r="N217" i="1" s="1"/>
  <c r="L216" i="1"/>
  <c r="N216" i="1" s="1"/>
  <c r="F216" i="1"/>
  <c r="L219" i="1" s="1"/>
  <c r="N219" i="1" s="1"/>
  <c r="F215" i="1"/>
  <c r="H215" i="1" s="1"/>
  <c r="F213" i="1"/>
  <c r="H213" i="1" s="1"/>
  <c r="L211" i="1"/>
  <c r="N211" i="1" s="1"/>
  <c r="L210" i="1"/>
  <c r="N210" i="1" s="1"/>
  <c r="L209" i="1"/>
  <c r="N209" i="1" s="1"/>
  <c r="F209" i="1"/>
  <c r="H209" i="1" s="1"/>
  <c r="F208" i="1"/>
  <c r="H208" i="1" s="1"/>
  <c r="F206" i="1"/>
  <c r="L206" i="1" s="1"/>
  <c r="N206" i="1" s="1"/>
  <c r="L204" i="1"/>
  <c r="N204" i="1" s="1"/>
  <c r="L203" i="1"/>
  <c r="N203" i="1" s="1"/>
  <c r="L202" i="1"/>
  <c r="N202" i="1" s="1"/>
  <c r="F202" i="1"/>
  <c r="H202" i="1" s="1"/>
  <c r="F201" i="1"/>
  <c r="H201" i="1" s="1"/>
  <c r="F199" i="1"/>
  <c r="L199" i="1" s="1"/>
  <c r="N199" i="1" s="1"/>
  <c r="L197" i="1"/>
  <c r="N197" i="1" s="1"/>
  <c r="L196" i="1"/>
  <c r="N196" i="1" s="1"/>
  <c r="F196" i="1"/>
  <c r="L198" i="1" s="1"/>
  <c r="N198" i="1" s="1"/>
  <c r="F195" i="1"/>
  <c r="H195" i="1" s="1"/>
  <c r="F193" i="1"/>
  <c r="L193" i="1" s="1"/>
  <c r="N193" i="1" s="1"/>
  <c r="L191" i="1"/>
  <c r="N191" i="1" s="1"/>
  <c r="L190" i="1"/>
  <c r="N190" i="1" s="1"/>
  <c r="F190" i="1"/>
  <c r="L192" i="1" s="1"/>
  <c r="N192" i="1" s="1"/>
  <c r="F189" i="1"/>
  <c r="H189" i="1" s="1"/>
  <c r="F187" i="1"/>
  <c r="H187" i="1" s="1"/>
  <c r="L185" i="1"/>
  <c r="N185" i="1" s="1"/>
  <c r="L184" i="1"/>
  <c r="N184" i="1" s="1"/>
  <c r="L183" i="1"/>
  <c r="N183" i="1" s="1"/>
  <c r="F183" i="1"/>
  <c r="H183" i="1" s="1"/>
  <c r="F182" i="1"/>
  <c r="H182" i="1" s="1"/>
  <c r="F180" i="1"/>
  <c r="L180" i="1" s="1"/>
  <c r="N180" i="1" s="1"/>
  <c r="L178" i="1"/>
  <c r="N178" i="1" s="1"/>
  <c r="L177" i="1"/>
  <c r="N177" i="1" s="1"/>
  <c r="F177" i="1"/>
  <c r="H177" i="1" s="1"/>
  <c r="F176" i="1"/>
  <c r="H176" i="1" s="1"/>
  <c r="L172" i="1"/>
  <c r="N172" i="1" s="1"/>
  <c r="H172" i="1"/>
  <c r="L170" i="1"/>
  <c r="N170" i="1" s="1"/>
  <c r="L169" i="1"/>
  <c r="N169" i="1" s="1"/>
  <c r="L168" i="1"/>
  <c r="N168" i="1" s="1"/>
  <c r="L167" i="1"/>
  <c r="N167" i="1" s="1"/>
  <c r="L166" i="1"/>
  <c r="N166" i="1" s="1"/>
  <c r="F166" i="1"/>
  <c r="H166" i="1" s="1"/>
  <c r="F165" i="1"/>
  <c r="H165" i="1" s="1"/>
  <c r="L163" i="1"/>
  <c r="N163" i="1" s="1"/>
  <c r="H163" i="1"/>
  <c r="L161" i="1"/>
  <c r="N161" i="1" s="1"/>
  <c r="L160" i="1"/>
  <c r="N160" i="1" s="1"/>
  <c r="L159" i="1"/>
  <c r="N159" i="1" s="1"/>
  <c r="N158" i="1"/>
  <c r="L158" i="1"/>
  <c r="N157" i="1"/>
  <c r="L157" i="1"/>
  <c r="L156" i="1"/>
  <c r="N156" i="1" s="1"/>
  <c r="L155" i="1"/>
  <c r="N155" i="1" s="1"/>
  <c r="H155" i="1"/>
  <c r="F155" i="1"/>
  <c r="L162" i="1" s="1"/>
  <c r="N162" i="1" s="1"/>
  <c r="F154" i="1"/>
  <c r="H154" i="1" s="1"/>
  <c r="L152" i="1"/>
  <c r="N152" i="1" s="1"/>
  <c r="H152" i="1"/>
  <c r="L150" i="1"/>
  <c r="N150" i="1" s="1"/>
  <c r="L149" i="1"/>
  <c r="N149" i="1" s="1"/>
  <c r="L148" i="1"/>
  <c r="N148" i="1" s="1"/>
  <c r="L147" i="1"/>
  <c r="N147" i="1" s="1"/>
  <c r="L146" i="1"/>
  <c r="N146" i="1" s="1"/>
  <c r="F146" i="1"/>
  <c r="H146" i="1" s="1"/>
  <c r="F145" i="1"/>
  <c r="H145" i="1" s="1"/>
  <c r="L142" i="1"/>
  <c r="N142" i="1" s="1"/>
  <c r="H142" i="1"/>
  <c r="L141" i="1"/>
  <c r="H141" i="1"/>
  <c r="L140" i="1"/>
  <c r="N140" i="1" s="1"/>
  <c r="N139" i="1"/>
  <c r="N138" i="1"/>
  <c r="N137" i="1"/>
  <c r="N136" i="1"/>
  <c r="N135" i="1"/>
  <c r="N134" i="1"/>
  <c r="K133" i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F126" i="1"/>
  <c r="H126" i="1" s="1"/>
  <c r="L124" i="1"/>
  <c r="N124" i="1" s="1"/>
  <c r="H124" i="1"/>
  <c r="L122" i="1"/>
  <c r="N122" i="1" s="1"/>
  <c r="L121" i="1"/>
  <c r="N121" i="1" s="1"/>
  <c r="L120" i="1"/>
  <c r="N120" i="1" s="1"/>
  <c r="F120" i="1"/>
  <c r="L123" i="1" s="1"/>
  <c r="N123" i="1" s="1"/>
  <c r="F119" i="1"/>
  <c r="H119" i="1" s="1"/>
  <c r="L117" i="1"/>
  <c r="N117" i="1" s="1"/>
  <c r="H117" i="1"/>
  <c r="L115" i="1"/>
  <c r="N115" i="1" s="1"/>
  <c r="L114" i="1"/>
  <c r="N114" i="1" s="1"/>
  <c r="L113" i="1"/>
  <c r="N113" i="1" s="1"/>
  <c r="L112" i="1"/>
  <c r="N112" i="1" s="1"/>
  <c r="L111" i="1"/>
  <c r="N111" i="1" s="1"/>
  <c r="F111" i="1"/>
  <c r="H111" i="1" s="1"/>
  <c r="F110" i="1"/>
  <c r="H110" i="1" s="1"/>
  <c r="L108" i="1"/>
  <c r="N108" i="1" s="1"/>
  <c r="H108" i="1"/>
  <c r="L106" i="1"/>
  <c r="N106" i="1" s="1"/>
  <c r="L105" i="1"/>
  <c r="N105" i="1" s="1"/>
  <c r="L104" i="1"/>
  <c r="N104" i="1" s="1"/>
  <c r="L103" i="1"/>
  <c r="N103" i="1" s="1"/>
  <c r="L102" i="1"/>
  <c r="N102" i="1" s="1"/>
  <c r="F102" i="1"/>
  <c r="L107" i="1" s="1"/>
  <c r="N107" i="1" s="1"/>
  <c r="F101" i="1"/>
  <c r="H101" i="1" s="1"/>
  <c r="F99" i="1"/>
  <c r="L99" i="1" s="1"/>
  <c r="N99" i="1" s="1"/>
  <c r="L97" i="1"/>
  <c r="N97" i="1" s="1"/>
  <c r="L96" i="1"/>
  <c r="N96" i="1" s="1"/>
  <c r="L95" i="1"/>
  <c r="N95" i="1" s="1"/>
  <c r="F95" i="1"/>
  <c r="L98" i="1" s="1"/>
  <c r="N98" i="1" s="1"/>
  <c r="F94" i="1"/>
  <c r="H94" i="1" s="1"/>
  <c r="F92" i="1"/>
  <c r="L92" i="1" s="1"/>
  <c r="N92" i="1" s="1"/>
  <c r="L90" i="1"/>
  <c r="N90" i="1" s="1"/>
  <c r="L89" i="1"/>
  <c r="N89" i="1" s="1"/>
  <c r="L88" i="1"/>
  <c r="N88" i="1" s="1"/>
  <c r="F88" i="1"/>
  <c r="L91" i="1" s="1"/>
  <c r="N91" i="1" s="1"/>
  <c r="F87" i="1"/>
  <c r="H87" i="1" s="1"/>
  <c r="F85" i="1"/>
  <c r="L85" i="1" s="1"/>
  <c r="N85" i="1" s="1"/>
  <c r="L83" i="1"/>
  <c r="N83" i="1" s="1"/>
  <c r="L82" i="1"/>
  <c r="N82" i="1" s="1"/>
  <c r="F82" i="1"/>
  <c r="L84" i="1" s="1"/>
  <c r="N84" i="1" s="1"/>
  <c r="F81" i="1"/>
  <c r="H81" i="1" s="1"/>
  <c r="F79" i="1"/>
  <c r="L79" i="1" s="1"/>
  <c r="N79" i="1" s="1"/>
  <c r="L77" i="1"/>
  <c r="N77" i="1" s="1"/>
  <c r="L76" i="1"/>
  <c r="N76" i="1" s="1"/>
  <c r="H76" i="1"/>
  <c r="F76" i="1"/>
  <c r="L78" i="1" s="1"/>
  <c r="N78" i="1" s="1"/>
  <c r="F75" i="1"/>
  <c r="H75" i="1" s="1"/>
  <c r="F73" i="1"/>
  <c r="L73" i="1" s="1"/>
  <c r="N73" i="1" s="1"/>
  <c r="L71" i="1"/>
  <c r="N71" i="1" s="1"/>
  <c r="L70" i="1"/>
  <c r="N70" i="1" s="1"/>
  <c r="L69" i="1"/>
  <c r="N69" i="1" s="1"/>
  <c r="F69" i="1"/>
  <c r="L72" i="1" s="1"/>
  <c r="N72" i="1" s="1"/>
  <c r="F68" i="1"/>
  <c r="H68" i="1" s="1"/>
  <c r="F66" i="1"/>
  <c r="L66" i="1" s="1"/>
  <c r="N66" i="1" s="1"/>
  <c r="L64" i="1"/>
  <c r="N64" i="1" s="1"/>
  <c r="L63" i="1"/>
  <c r="N63" i="1" s="1"/>
  <c r="L62" i="1"/>
  <c r="N62" i="1" s="1"/>
  <c r="F62" i="1"/>
  <c r="L65" i="1" s="1"/>
  <c r="N65" i="1" s="1"/>
  <c r="F61" i="1"/>
  <c r="H61" i="1" s="1"/>
  <c r="F59" i="1"/>
  <c r="L59" i="1" s="1"/>
  <c r="N59" i="1" s="1"/>
  <c r="L57" i="1"/>
  <c r="N57" i="1" s="1"/>
  <c r="L56" i="1"/>
  <c r="N56" i="1" s="1"/>
  <c r="F56" i="1"/>
  <c r="L58" i="1" s="1"/>
  <c r="N58" i="1" s="1"/>
  <c r="F55" i="1"/>
  <c r="H55" i="1" s="1"/>
  <c r="H53" i="1"/>
  <c r="F53" i="1"/>
  <c r="L53" i="1" s="1"/>
  <c r="N53" i="1" s="1"/>
  <c r="L51" i="1"/>
  <c r="N51" i="1" s="1"/>
  <c r="L50" i="1"/>
  <c r="N50" i="1" s="1"/>
  <c r="F50" i="1"/>
  <c r="L52" i="1" s="1"/>
  <c r="N52" i="1" s="1"/>
  <c r="F49" i="1"/>
  <c r="H49" i="1" s="1"/>
  <c r="L44" i="1"/>
  <c r="N44" i="1" s="1"/>
  <c r="L43" i="1"/>
  <c r="N43" i="1" s="1"/>
  <c r="L42" i="1"/>
  <c r="N42" i="1" s="1"/>
  <c r="L41" i="1"/>
  <c r="N41" i="1" s="1"/>
  <c r="F41" i="1"/>
  <c r="L45" i="1" s="1"/>
  <c r="N45" i="1" s="1"/>
  <c r="L39" i="1"/>
  <c r="N39" i="1" s="1"/>
  <c r="H39" i="1"/>
  <c r="L37" i="1"/>
  <c r="N37" i="1" s="1"/>
  <c r="L36" i="1"/>
  <c r="N36" i="1" s="1"/>
  <c r="L35" i="1"/>
  <c r="N35" i="1" s="1"/>
  <c r="L34" i="1"/>
  <c r="N34" i="1" s="1"/>
  <c r="F34" i="1"/>
  <c r="H34" i="1" s="1"/>
  <c r="F33" i="1"/>
  <c r="H33" i="1" s="1"/>
  <c r="L31" i="1"/>
  <c r="N31" i="1" s="1"/>
  <c r="H31" i="1"/>
  <c r="L29" i="1"/>
  <c r="N29" i="1" s="1"/>
  <c r="L28" i="1"/>
  <c r="N28" i="1" s="1"/>
  <c r="L27" i="1"/>
  <c r="N27" i="1" s="1"/>
  <c r="L26" i="1"/>
  <c r="N26" i="1" s="1"/>
  <c r="L25" i="1"/>
  <c r="N25" i="1" s="1"/>
  <c r="F25" i="1"/>
  <c r="H25" i="1" s="1"/>
  <c r="F24" i="1"/>
  <c r="H24" i="1" s="1"/>
  <c r="L22" i="1"/>
  <c r="N22" i="1" s="1"/>
  <c r="H22" i="1"/>
  <c r="L20" i="1"/>
  <c r="N20" i="1" s="1"/>
  <c r="L19" i="1"/>
  <c r="N19" i="1" s="1"/>
  <c r="L18" i="1"/>
  <c r="N18" i="1" s="1"/>
  <c r="L17" i="1"/>
  <c r="N17" i="1" s="1"/>
  <c r="L16" i="1"/>
  <c r="N16" i="1" s="1"/>
  <c r="F16" i="1"/>
  <c r="L14" i="1"/>
  <c r="N14" i="1" s="1"/>
  <c r="H14" i="1"/>
  <c r="L12" i="1"/>
  <c r="N12" i="1" s="1"/>
  <c r="F12" i="1"/>
  <c r="L13" i="1" s="1"/>
  <c r="N13" i="1" s="1"/>
  <c r="L10" i="1"/>
  <c r="N10" i="1" s="1"/>
  <c r="H10" i="1"/>
  <c r="L8" i="1"/>
  <c r="N8" i="1" s="1"/>
  <c r="L7" i="1"/>
  <c r="N7" i="1" s="1"/>
  <c r="L6" i="1"/>
  <c r="N6" i="1" s="1"/>
  <c r="L5" i="1"/>
  <c r="N5" i="1" s="1"/>
  <c r="F5" i="1"/>
  <c r="L9" i="1" s="1"/>
  <c r="N9" i="1" s="1"/>
  <c r="F4" i="1"/>
  <c r="H4" i="1" s="1"/>
  <c r="L220" i="1" l="1"/>
  <c r="N220" i="1" s="1"/>
  <c r="H41" i="1"/>
  <c r="H79" i="1"/>
  <c r="H95" i="1"/>
  <c r="L187" i="1"/>
  <c r="N187" i="1" s="1"/>
  <c r="L213" i="1"/>
  <c r="N213" i="1" s="1"/>
  <c r="H330" i="1"/>
  <c r="L226" i="1"/>
  <c r="N226" i="1" s="1"/>
  <c r="L368" i="1"/>
  <c r="N368" i="1" s="1"/>
  <c r="L179" i="1"/>
  <c r="N179" i="1" s="1"/>
  <c r="L205" i="1"/>
  <c r="N205" i="1" s="1"/>
  <c r="F447" i="1"/>
  <c r="H447" i="1" s="1"/>
  <c r="H102" i="1"/>
  <c r="H289" i="1"/>
  <c r="H12" i="1"/>
  <c r="H69" i="1"/>
  <c r="H292" i="1"/>
  <c r="F481" i="1"/>
  <c r="H481" i="1" s="1"/>
  <c r="H5" i="1"/>
  <c r="H344" i="1"/>
  <c r="F482" i="1"/>
  <c r="L482" i="1" s="1"/>
  <c r="N482" i="1" s="1"/>
  <c r="F409" i="1"/>
  <c r="H409" i="1" s="1"/>
  <c r="L471" i="1"/>
  <c r="N471" i="1" s="1"/>
  <c r="F485" i="1"/>
  <c r="H485" i="1" s="1"/>
  <c r="H199" i="1"/>
  <c r="H398" i="1"/>
  <c r="H306" i="1"/>
  <c r="N262" i="1"/>
  <c r="F414" i="1"/>
  <c r="L414" i="1" s="1"/>
  <c r="N414" i="1" s="1"/>
  <c r="H73" i="1"/>
  <c r="H99" i="1"/>
  <c r="H230" i="1"/>
  <c r="H50" i="1"/>
  <c r="W2" i="1"/>
  <c r="L280" i="1"/>
  <c r="N280" i="1" s="1"/>
  <c r="N282" i="1" s="1"/>
  <c r="H16" i="1"/>
  <c r="H46" i="1" s="1"/>
  <c r="L243" i="1"/>
  <c r="N243" i="1" s="1"/>
  <c r="L326" i="1"/>
  <c r="N326" i="1" s="1"/>
  <c r="F443" i="1"/>
  <c r="H443" i="1" s="1"/>
  <c r="N508" i="1"/>
  <c r="N141" i="1"/>
  <c r="H273" i="1"/>
  <c r="L427" i="1"/>
  <c r="N427" i="1" s="1"/>
  <c r="L476" i="1"/>
  <c r="N476" i="1" s="1"/>
  <c r="L491" i="1"/>
  <c r="N491" i="1" s="1"/>
  <c r="L254" i="1"/>
  <c r="N254" i="1" s="1"/>
  <c r="H419" i="1"/>
  <c r="L133" i="1"/>
  <c r="N133" i="1" s="1"/>
  <c r="L302" i="1"/>
  <c r="N302" i="1" s="1"/>
  <c r="F480" i="1"/>
  <c r="H480" i="1" s="1"/>
  <c r="H173" i="1"/>
  <c r="N411" i="1"/>
  <c r="N426" i="1"/>
  <c r="N475" i="1"/>
  <c r="H274" i="1"/>
  <c r="H286" i="1"/>
  <c r="H359" i="1"/>
  <c r="H405" i="1" s="1"/>
  <c r="H410" i="1"/>
  <c r="H475" i="1"/>
  <c r="L21" i="1"/>
  <c r="N21" i="1" s="1"/>
  <c r="L38" i="1"/>
  <c r="N38" i="1" s="1"/>
  <c r="H56" i="1"/>
  <c r="H66" i="1"/>
  <c r="H82" i="1"/>
  <c r="H92" i="1"/>
  <c r="H120" i="1"/>
  <c r="H190" i="1"/>
  <c r="H216" i="1"/>
  <c r="L410" i="1"/>
  <c r="N410" i="1" s="1"/>
  <c r="N439" i="1" s="1"/>
  <c r="F444" i="1"/>
  <c r="L444" i="1" s="1"/>
  <c r="N444" i="1" s="1"/>
  <c r="H449" i="1"/>
  <c r="L498" i="1"/>
  <c r="N498" i="1" s="1"/>
  <c r="H62" i="1"/>
  <c r="H88" i="1"/>
  <c r="L151" i="1"/>
  <c r="N151" i="1" s="1"/>
  <c r="N173" i="1" s="1"/>
  <c r="H180" i="1"/>
  <c r="H196" i="1"/>
  <c r="H206" i="1"/>
  <c r="L394" i="1"/>
  <c r="N394" i="1" s="1"/>
  <c r="L186" i="1"/>
  <c r="N186" i="1" s="1"/>
  <c r="L212" i="1"/>
  <c r="N212" i="1" s="1"/>
  <c r="H338" i="1"/>
  <c r="F415" i="1"/>
  <c r="H415" i="1" s="1"/>
  <c r="H426" i="1"/>
  <c r="L116" i="1"/>
  <c r="N116" i="1" s="1"/>
  <c r="L367" i="1"/>
  <c r="N367" i="1" s="1"/>
  <c r="F445" i="1"/>
  <c r="L445" i="1" s="1"/>
  <c r="N445" i="1" s="1"/>
  <c r="H407" i="1"/>
  <c r="H437" i="1"/>
  <c r="F483" i="1"/>
  <c r="L483" i="1" s="1"/>
  <c r="N483" i="1" s="1"/>
  <c r="F412" i="1"/>
  <c r="L412" i="1" s="1"/>
  <c r="N412" i="1" s="1"/>
  <c r="L30" i="1"/>
  <c r="N30" i="1" s="1"/>
  <c r="L272" i="1"/>
  <c r="N272" i="1" s="1"/>
  <c r="N274" i="1" s="1"/>
  <c r="L385" i="1"/>
  <c r="N385" i="1" s="1"/>
  <c r="F446" i="1"/>
  <c r="L446" i="1" s="1"/>
  <c r="N446" i="1" s="1"/>
  <c r="H59" i="1"/>
  <c r="H85" i="1"/>
  <c r="L171" i="1"/>
  <c r="N171" i="1" s="1"/>
  <c r="H193" i="1"/>
  <c r="L358" i="1"/>
  <c r="N358" i="1" s="1"/>
  <c r="H441" i="1"/>
  <c r="H458" i="1"/>
  <c r="F484" i="1"/>
  <c r="L484" i="1" s="1"/>
  <c r="N484" i="1" s="1"/>
  <c r="N340" i="1" l="1"/>
  <c r="N405" i="1"/>
  <c r="H511" i="1"/>
  <c r="N264" i="1"/>
  <c r="H340" i="1"/>
  <c r="N511" i="1"/>
  <c r="N513" i="1" s="1"/>
  <c r="N46" i="1"/>
  <c r="N143" i="1"/>
  <c r="H264" i="1"/>
  <c r="H143" i="1"/>
  <c r="N477" i="1"/>
  <c r="H477" i="1"/>
  <c r="H439" i="1"/>
</calcChain>
</file>

<file path=xl/sharedStrings.xml><?xml version="1.0" encoding="utf-8"?>
<sst xmlns="http://schemas.openxmlformats.org/spreadsheetml/2006/main" count="2236" uniqueCount="676">
  <si>
    <t xml:space="preserve">Статті бюджету </t>
  </si>
  <si>
    <t>№ п/п</t>
  </si>
  <si>
    <t>№</t>
  </si>
  <si>
    <t>Найменування робіт</t>
  </si>
  <si>
    <t>Од. вим.</t>
  </si>
  <si>
    <t>Кількість (стадія П)</t>
  </si>
  <si>
    <t>РОБОТА</t>
  </si>
  <si>
    <t>Найменування матеріалів</t>
  </si>
  <si>
    <t>МАТЕРІАЛИ</t>
  </si>
  <si>
    <t>Різниця між майданчиком та підрядниками</t>
  </si>
  <si>
    <t>Залишок від проектного значення стадія П</t>
  </si>
  <si>
    <t>Фактичне значення з майданчику</t>
  </si>
  <si>
    <t xml:space="preserve">Сума Об'єму </t>
  </si>
  <si>
    <t>ОБ'ЄМ виконанних робіт згідно актів підрядника</t>
  </si>
  <si>
    <t>Ціна за од. грн з ПДВ</t>
  </si>
  <si>
    <t>Вартість всього грн з ПДВ</t>
  </si>
  <si>
    <t>Од.виміру</t>
  </si>
  <si>
    <t>Норма витрат</t>
  </si>
  <si>
    <t>Кількість</t>
  </si>
  <si>
    <t>м3</t>
  </si>
  <si>
    <t>14.</t>
  </si>
  <si>
    <t>Плита перекриття Пм-1.1 в осях 1-4 низ на відм.-0.300</t>
  </si>
  <si>
    <t>Р.5.46.4</t>
  </si>
  <si>
    <t>14.1</t>
  </si>
  <si>
    <t>Встановлення опалубки</t>
  </si>
  <si>
    <t>м2</t>
  </si>
  <si>
    <t>14.2</t>
  </si>
  <si>
    <t xml:space="preserve">Виготовлення та встановлення арматурного каркасу </t>
  </si>
  <si>
    <t>т</t>
  </si>
  <si>
    <t>Арматура А500С д-16мм</t>
  </si>
  <si>
    <t>14.3</t>
  </si>
  <si>
    <t>Арматура А500С д-10мм</t>
  </si>
  <si>
    <t>14.4</t>
  </si>
  <si>
    <t>Арматура А500С д-8мм</t>
  </si>
  <si>
    <t>14.5</t>
  </si>
  <si>
    <t>Арматура А240С д-6мм</t>
  </si>
  <si>
    <t>14.6</t>
  </si>
  <si>
    <t>Дріт в'язальний</t>
  </si>
  <si>
    <t>14.7</t>
  </si>
  <si>
    <t>Бетонування плити підлоги</t>
  </si>
  <si>
    <t>Бетон В25 (С20/25)</t>
  </si>
  <si>
    <t>14.8</t>
  </si>
  <si>
    <t>Плита підлоги ППм-1</t>
  </si>
  <si>
    <t>14.9</t>
  </si>
  <si>
    <t>Арматура А500С д-12мм</t>
  </si>
  <si>
    <t>14.10</t>
  </si>
  <si>
    <t>14.11</t>
  </si>
  <si>
    <t>14.12</t>
  </si>
  <si>
    <t>Плита накриття ПНм-1</t>
  </si>
  <si>
    <t>14.13</t>
  </si>
  <si>
    <t>14.14</t>
  </si>
  <si>
    <t>14.15</t>
  </si>
  <si>
    <t>14.16</t>
  </si>
  <si>
    <t>14.17</t>
  </si>
  <si>
    <t>Арматура А240С д-8мм</t>
  </si>
  <si>
    <t>14.18</t>
  </si>
  <si>
    <t>14.19</t>
  </si>
  <si>
    <t>14.20</t>
  </si>
  <si>
    <t>Плита перекриття Пм-1.2 в осях 4-7 низ на відм.-0.550</t>
  </si>
  <si>
    <t>14.21</t>
  </si>
  <si>
    <t>14.22</t>
  </si>
  <si>
    <t>Арматура А500С д-20мм</t>
  </si>
  <si>
    <t>14.23</t>
  </si>
  <si>
    <t>14.24</t>
  </si>
  <si>
    <t>14.25</t>
  </si>
  <si>
    <t>14.26</t>
  </si>
  <si>
    <t>14.27</t>
  </si>
  <si>
    <t>14.28</t>
  </si>
  <si>
    <t>14.29</t>
  </si>
  <si>
    <t>Плита перекриття Пм-1.3 в осях 4-7 низ на відм.-0.100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</si>
  <si>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</si>
  <si>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</si>
  <si>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</si>
  <si>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</si>
  <si>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</si>
  <si>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</si>
  <si>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</si>
  <si>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</si>
  <si>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Плита перекриття Пм-1.3 Балка Бм-1 в осях 4-7 низ на відм.-0.100</t>
  </si>
  <si>
    <t>14.38</t>
  </si>
  <si>
    <t>Арматура А500С д-25мм</t>
  </si>
  <si>
    <t>14.39</t>
  </si>
  <si>
    <t>14.40</t>
  </si>
  <si>
    <t>Арматура А240С д-12мм</t>
  </si>
  <si>
    <t>14.41</t>
  </si>
  <si>
    <t>14.42</t>
  </si>
  <si>
    <t>Всього вартість по розділу:</t>
  </si>
  <si>
    <t>15.</t>
  </si>
  <si>
    <t>Монолітні з/б елементи в осях 1-9низ. -0.100</t>
  </si>
  <si>
    <t>15.1</t>
  </si>
  <si>
    <t>Пілон монолітний Пм-50-1-1</t>
  </si>
  <si>
    <t>шт</t>
  </si>
  <si>
    <t>15.2</t>
  </si>
  <si>
    <t>15.3</t>
  </si>
  <si>
    <t>15.4</t>
  </si>
  <si>
    <t>15.5</t>
  </si>
  <si>
    <t>15.6</t>
  </si>
  <si>
    <t>Бетонування пілону</t>
  </si>
  <si>
    <t>15.7</t>
  </si>
  <si>
    <t>Пілон монолітний Пм-50-1-2</t>
  </si>
  <si>
    <t>15.8</t>
  </si>
  <si>
    <t>15.9</t>
  </si>
  <si>
    <t>15.10</t>
  </si>
  <si>
    <t>15.11</t>
  </si>
  <si>
    <t>15.12</t>
  </si>
  <si>
    <t>15.13</t>
  </si>
  <si>
    <t>Пілон монолітний Пм-50-1-3</t>
  </si>
  <si>
    <t>15.14</t>
  </si>
  <si>
    <t>15.15</t>
  </si>
  <si>
    <t>15.16</t>
  </si>
  <si>
    <t>15.17</t>
  </si>
  <si>
    <t>15.18</t>
  </si>
  <si>
    <t>15.19</t>
  </si>
  <si>
    <t>15.20</t>
  </si>
  <si>
    <t>Пілон монолітний Пм-50-1-4</t>
  </si>
  <si>
    <t>15.21</t>
  </si>
  <si>
    <t>15.22</t>
  </si>
  <si>
    <t>15.23</t>
  </si>
  <si>
    <t>15.24</t>
  </si>
  <si>
    <t>15.25</t>
  </si>
  <si>
    <t>15.26</t>
  </si>
  <si>
    <t>15.27</t>
  </si>
  <si>
    <t>Пілон монолітний Пм-50-1-5</t>
  </si>
  <si>
    <t>15.28</t>
  </si>
  <si>
    <t>15.29</t>
  </si>
  <si>
    <t>15.30</t>
  </si>
  <si>
    <t>15.31</t>
  </si>
  <si>
    <t>15.32</t>
  </si>
  <si>
    <t>15.33</t>
  </si>
  <si>
    <t>Пілон монолітний Пм-60-1-1</t>
  </si>
  <si>
    <t>5+3</t>
  </si>
  <si>
    <t>15.34</t>
  </si>
  <si>
    <t>15.35</t>
  </si>
  <si>
    <t>15.36</t>
  </si>
  <si>
    <t>15.37</t>
  </si>
  <si>
    <t>15.38</t>
  </si>
  <si>
    <t>15.39</t>
  </si>
  <si>
    <t>Пілон монолітний Пм-100-1-1</t>
  </si>
  <si>
    <t>15.40</t>
  </si>
  <si>
    <t>15.41</t>
  </si>
  <si>
    <t>15.42</t>
  </si>
  <si>
    <t>15.43</t>
  </si>
  <si>
    <t>15.44</t>
  </si>
  <si>
    <t>15.45</t>
  </si>
  <si>
    <t>15.46</t>
  </si>
  <si>
    <t>Пілон монолітний Пм-100-1-2</t>
  </si>
  <si>
    <t>15.47</t>
  </si>
  <si>
    <t>15.48</t>
  </si>
  <si>
    <t>15.49</t>
  </si>
  <si>
    <t>15.50</t>
  </si>
  <si>
    <t>15.51</t>
  </si>
  <si>
    <t>15.52</t>
  </si>
  <si>
    <t>15.53</t>
  </si>
  <si>
    <t>Ліфтовий блок ЛБ-1-1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</si>
  <si>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</si>
  <si>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</si>
  <si>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</si>
  <si>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</si>
  <si>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</si>
  <si>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</si>
  <si>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</si>
  <si>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</si>
  <si>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Бетонування ліфтового блоку</t>
  </si>
  <si>
    <t>15.62</t>
  </si>
  <si>
    <t>Стіна монолітна Стм-1-1</t>
  </si>
  <si>
    <t>15.63</t>
  </si>
  <si>
    <t>15.64</t>
  </si>
  <si>
    <t>15.65</t>
  </si>
  <si>
    <t>15.66</t>
  </si>
  <si>
    <t>15.67</t>
  </si>
  <si>
    <t>15.68</t>
  </si>
  <si>
    <t>15.69</t>
  </si>
  <si>
    <t>15.70</t>
  </si>
  <si>
    <t>Бетонування стіни</t>
  </si>
  <si>
    <t>15.71</t>
  </si>
  <si>
    <t>Стіна монолітна Стм-1-2</t>
  </si>
  <si>
    <t>15.72</t>
  </si>
  <si>
    <t>15.73</t>
  </si>
  <si>
    <t>15.74</t>
  </si>
  <si>
    <t>15.75</t>
  </si>
  <si>
    <t>15.76</t>
  </si>
  <si>
    <t>15.77</t>
  </si>
  <si>
    <t>15.78</t>
  </si>
  <si>
    <t>Стійка металева СтМ-1-1</t>
  </si>
  <si>
    <t>15.79</t>
  </si>
  <si>
    <t>Зварювання металоконструкцій</t>
  </si>
  <si>
    <t>Труба 160х6мм</t>
  </si>
  <si>
    <t>15.80</t>
  </si>
  <si>
    <t>Швелер №12</t>
  </si>
  <si>
    <t>15.81</t>
  </si>
  <si>
    <t>Смуга 5х60</t>
  </si>
  <si>
    <t>15.82</t>
  </si>
  <si>
    <t>Смуга 8х240</t>
  </si>
  <si>
    <t>15.83</t>
  </si>
  <si>
    <t>Смуга 12х280</t>
  </si>
  <si>
    <t>15.84</t>
  </si>
  <si>
    <t>Смуга 12х200</t>
  </si>
  <si>
    <t>15.85</t>
  </si>
  <si>
    <t>15.86</t>
  </si>
  <si>
    <t>Електроди Є42</t>
  </si>
  <si>
    <t>кг</t>
  </si>
  <si>
    <t>15.87</t>
  </si>
  <si>
    <t>Шпилька М12  L=150 мм</t>
  </si>
  <si>
    <t>15.88</t>
  </si>
  <si>
    <t>Шайба М12</t>
  </si>
  <si>
    <t>15.89</t>
  </si>
  <si>
    <t>Гайка М12</t>
  </si>
  <si>
    <t>15.90</t>
  </si>
  <si>
    <t>Шпилька М16  L=150 мм</t>
  </si>
  <si>
    <t>15.91</t>
  </si>
  <si>
    <t>Шайба М16</t>
  </si>
  <si>
    <t>15.92</t>
  </si>
  <si>
    <t>Гайка М16</t>
  </si>
  <si>
    <t>15.93</t>
  </si>
  <si>
    <t>Хімічний анкер Metal vis profix</t>
  </si>
  <si>
    <t>л</t>
  </si>
  <si>
    <t>15.94</t>
  </si>
  <si>
    <t>Грунтування металоконструкцій за 2 рази</t>
  </si>
  <si>
    <t>Грунтівка ГФ-021</t>
  </si>
  <si>
    <t>15.95</t>
  </si>
  <si>
    <t>Фарбування металоконструкцій</t>
  </si>
  <si>
    <t>Вогнезахисна суміш "Unitherm"/DEFENS</t>
  </si>
  <si>
    <t>16.</t>
  </si>
  <si>
    <t>Плита перекриття Пм-2.1 в осях 1-10 низ на відм.+3.800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</si>
  <si>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</si>
  <si>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</si>
  <si>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</si>
  <si>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</si>
  <si>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</si>
  <si>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</si>
  <si>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</si>
  <si>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</si>
  <si>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</si>
  <si>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Плита перекриття Пм-2.2 в осях 1-3 низ на відм.+3.500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</si>
  <si>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</si>
  <si>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</si>
  <si>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</si>
  <si>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</si>
  <si>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</si>
  <si>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</si>
  <si>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</si>
  <si>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</si>
  <si>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</si>
  <si>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</si>
  <si>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</si>
  <si>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Плита перекриття Пм-2.3 в осях 3-10 низ на відм.+3.600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</si>
  <si>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</si>
  <si>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</si>
  <si>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</si>
  <si>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</si>
  <si>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</si>
  <si>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</si>
  <si>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</si>
  <si>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</si>
  <si>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17.</t>
  </si>
  <si>
    <t>Монолітні з/б елементи в осях 1-9низ. +3.600</t>
  </si>
  <si>
    <t>17.1</t>
  </si>
  <si>
    <t>Пілон монолітний Пм50-2-1</t>
  </si>
  <si>
    <t>17.2</t>
  </si>
  <si>
    <t>17.3</t>
  </si>
  <si>
    <t>17.4</t>
  </si>
  <si>
    <t>17.5</t>
  </si>
  <si>
    <t>17.6</t>
  </si>
  <si>
    <t>17.7</t>
  </si>
  <si>
    <t>Пілон монолітний Пм50-2-2</t>
  </si>
  <si>
    <t>17.8</t>
  </si>
  <si>
    <t>17.9</t>
  </si>
  <si>
    <t>17.10</t>
  </si>
  <si>
    <t>17.11</t>
  </si>
  <si>
    <t>17.12</t>
  </si>
  <si>
    <t>17.13</t>
  </si>
  <si>
    <t>17.14</t>
  </si>
  <si>
    <t>Пілон монолітний Пм50-2-3</t>
  </si>
  <si>
    <t>17.15</t>
  </si>
  <si>
    <t>17.16</t>
  </si>
  <si>
    <t>17.17</t>
  </si>
  <si>
    <t>17.18</t>
  </si>
  <si>
    <t>17.19</t>
  </si>
  <si>
    <t>17.20</t>
  </si>
  <si>
    <t>Пілон монолітний Пм60-2-1</t>
  </si>
  <si>
    <t>17.21</t>
  </si>
  <si>
    <t>17.22</t>
  </si>
  <si>
    <t>17.23</t>
  </si>
  <si>
    <t>17.24</t>
  </si>
  <si>
    <t>17.25</t>
  </si>
  <si>
    <t>17.26</t>
  </si>
  <si>
    <t>Пілон монолітний Пм60-2-2</t>
  </si>
  <si>
    <t>17.27</t>
  </si>
  <si>
    <t>17.28</t>
  </si>
  <si>
    <t>17.29</t>
  </si>
  <si>
    <t>17.30</t>
  </si>
  <si>
    <t>17.31</t>
  </si>
  <si>
    <t>17.32</t>
  </si>
  <si>
    <t>17.33</t>
  </si>
  <si>
    <t>Пілон монолітний Пм100-2-1</t>
  </si>
  <si>
    <t>17.34</t>
  </si>
  <si>
    <t>17.35</t>
  </si>
  <si>
    <t>17.36</t>
  </si>
  <si>
    <t>17.37</t>
  </si>
  <si>
    <t>17.38</t>
  </si>
  <si>
    <t>17.39</t>
  </si>
  <si>
    <t>17.40</t>
  </si>
  <si>
    <t>Пілон монолітний Пм100-2-2</t>
  </si>
  <si>
    <t>17.41</t>
  </si>
  <si>
    <t>17.42</t>
  </si>
  <si>
    <t>17.43</t>
  </si>
  <si>
    <t>17.44</t>
  </si>
  <si>
    <t>17.45</t>
  </si>
  <si>
    <t>17.46</t>
  </si>
  <si>
    <t>17.47</t>
  </si>
  <si>
    <t>Пілон монолітний Пм100-2-3</t>
  </si>
  <si>
    <t>17.48</t>
  </si>
  <si>
    <t>17.49</t>
  </si>
  <si>
    <t>17.50</t>
  </si>
  <si>
    <t>17.51</t>
  </si>
  <si>
    <t>17.52</t>
  </si>
  <si>
    <t>17.53</t>
  </si>
  <si>
    <t>17.54</t>
  </si>
  <si>
    <t>Ліфтовий Блок ЛБ-2-1</t>
  </si>
  <si>
    <t>17.55</t>
  </si>
  <si>
    <t>17.56</t>
  </si>
  <si>
    <t>17.57</t>
  </si>
  <si>
    <t>17.58</t>
  </si>
  <si>
    <t>17.59</t>
  </si>
  <si>
    <t>17.60</t>
  </si>
  <si>
    <t>17.61</t>
  </si>
  <si>
    <t>17.62</t>
  </si>
  <si>
    <t>17.63</t>
  </si>
  <si>
    <t>Стіна монолітна Стм-2-2</t>
  </si>
  <si>
    <t>17.64</t>
  </si>
  <si>
    <t>17.65</t>
  </si>
  <si>
    <t>17.66</t>
  </si>
  <si>
    <t>17.67</t>
  </si>
  <si>
    <t>17.68</t>
  </si>
  <si>
    <t>17.69</t>
  </si>
  <si>
    <t>17.70</t>
  </si>
  <si>
    <t>Стіна металева СтМ-2-1</t>
  </si>
  <si>
    <t>17.71</t>
  </si>
  <si>
    <t>17.72</t>
  </si>
  <si>
    <t>17.73</t>
  </si>
  <si>
    <t>Кутик 75х5</t>
  </si>
  <si>
    <t>17.74</t>
  </si>
  <si>
    <t>17.75</t>
  </si>
  <si>
    <t>17.76</t>
  </si>
  <si>
    <t>17.77</t>
  </si>
  <si>
    <t>17.78</t>
  </si>
  <si>
    <t>17.79</t>
  </si>
  <si>
    <t>17.80</t>
  </si>
  <si>
    <t>Шпилька М12 L=150 мм</t>
  </si>
  <si>
    <t>17.81</t>
  </si>
  <si>
    <t>17.82</t>
  </si>
  <si>
    <t>17.83</t>
  </si>
  <si>
    <t>17.84</t>
  </si>
  <si>
    <t>17.85</t>
  </si>
  <si>
    <t>17.86</t>
  </si>
  <si>
    <t>17.87</t>
  </si>
  <si>
    <t>17.88</t>
  </si>
  <si>
    <t>18.</t>
  </si>
  <si>
    <t xml:space="preserve">Плита перекриття +6.900,+6.500, +7.200 </t>
  </si>
  <si>
    <t>18.1</t>
  </si>
  <si>
    <t>18.2</t>
  </si>
  <si>
    <t>18.3</t>
  </si>
  <si>
    <t>18.4</t>
  </si>
  <si>
    <t>18.5</t>
  </si>
  <si>
    <t>18.6</t>
  </si>
  <si>
    <t>18.7</t>
  </si>
  <si>
    <t>18.8</t>
  </si>
  <si>
    <t>19.</t>
  </si>
  <si>
    <t>Парапет плит перекриття +7.400</t>
  </si>
  <si>
    <t>19.1</t>
  </si>
  <si>
    <t>19.2</t>
  </si>
  <si>
    <t>19.3</t>
  </si>
  <si>
    <t>19.4</t>
  </si>
  <si>
    <t>19.5</t>
  </si>
  <si>
    <t>19.6</t>
  </si>
  <si>
    <t>`</t>
  </si>
  <si>
    <t>20.</t>
  </si>
  <si>
    <t>Монолітні з/б елементи в осях 1-9низ. +7.600</t>
  </si>
  <si>
    <t>20.1</t>
  </si>
  <si>
    <t>Пілон Пм-50-3-1 - 2 шт</t>
  </si>
  <si>
    <t>20.2</t>
  </si>
  <si>
    <t>20.3</t>
  </si>
  <si>
    <t>20.4</t>
  </si>
  <si>
    <t>Арматура А240С д - 8мм</t>
  </si>
  <si>
    <t>20.5</t>
  </si>
  <si>
    <t>20.6</t>
  </si>
  <si>
    <t>20.7</t>
  </si>
  <si>
    <t>Пілон Пм-100-3-1 - 1 шт</t>
  </si>
  <si>
    <t>20.8</t>
  </si>
  <si>
    <t>20.9</t>
  </si>
  <si>
    <t>20.10</t>
  </si>
  <si>
    <t>20.11</t>
  </si>
  <si>
    <t>Арматура А240С д - 6мм</t>
  </si>
  <si>
    <t>20.12</t>
  </si>
  <si>
    <t>20.13</t>
  </si>
  <si>
    <t>20.14</t>
  </si>
  <si>
    <t>Пілон Пм-100-3-2 - 1 шт</t>
  </si>
  <si>
    <t>20.15</t>
  </si>
  <si>
    <t>20.16</t>
  </si>
  <si>
    <t>20.17</t>
  </si>
  <si>
    <t>20.18</t>
  </si>
  <si>
    <t>20.19</t>
  </si>
  <si>
    <t>20.20</t>
  </si>
  <si>
    <t>20.21</t>
  </si>
  <si>
    <t>Ліфтовий блок ЛБ-3-1 - 1 шт</t>
  </si>
  <si>
    <t>20.22</t>
  </si>
  <si>
    <t>20.23</t>
  </si>
  <si>
    <t>20.24</t>
  </si>
  <si>
    <t>20.25</t>
  </si>
  <si>
    <t>20.26</t>
  </si>
  <si>
    <t>20.27</t>
  </si>
  <si>
    <t>20.28</t>
  </si>
  <si>
    <t>20.29</t>
  </si>
  <si>
    <t>20.30</t>
  </si>
  <si>
    <t>Стіна монолітна Стм-3-1 - 1 шт</t>
  </si>
  <si>
    <t>20.31</t>
  </si>
  <si>
    <t>20.32</t>
  </si>
  <si>
    <t>20.33</t>
  </si>
  <si>
    <t>20.34</t>
  </si>
  <si>
    <t>20.35</t>
  </si>
  <si>
    <t>20.36</t>
  </si>
  <si>
    <t>20.37</t>
  </si>
  <si>
    <t>20.38</t>
  </si>
  <si>
    <t>21.</t>
  </si>
  <si>
    <t>Плита перекриття над ліфтом</t>
  </si>
  <si>
    <t>21.1</t>
  </si>
  <si>
    <t>21.2</t>
  </si>
  <si>
    <t>21.3</t>
  </si>
  <si>
    <t>Арматура А240С д-16мм</t>
  </si>
  <si>
    <t>21.4</t>
  </si>
  <si>
    <t>21.5</t>
  </si>
  <si>
    <t>21.6</t>
  </si>
  <si>
    <t>Балка Бм-1</t>
  </si>
  <si>
    <t>21.7</t>
  </si>
  <si>
    <t>21.8</t>
  </si>
  <si>
    <t>21.9</t>
  </si>
  <si>
    <t>21.10</t>
  </si>
  <si>
    <t>21.11</t>
  </si>
  <si>
    <t>21.12</t>
  </si>
  <si>
    <t>21.13</t>
  </si>
  <si>
    <t>22.</t>
  </si>
  <si>
    <t>Сходи зовнішні</t>
  </si>
  <si>
    <t>22.1</t>
  </si>
  <si>
    <t>22.2</t>
  </si>
  <si>
    <t>Арматура</t>
  </si>
  <si>
    <t>22.3</t>
  </si>
  <si>
    <t>23.</t>
  </si>
  <si>
    <t>РОБОЧКА Є</t>
  </si>
  <si>
    <t>Сходові марші внутрішні СМ-1,СМ-2,СМ-3,СМ-4,СМ-5,СМ-6,СМ-7</t>
  </si>
  <si>
    <t>23.1</t>
  </si>
  <si>
    <t>Сходовий марш СМ-1</t>
  </si>
  <si>
    <t>23.2</t>
  </si>
  <si>
    <t>Влаштування опалубки</t>
  </si>
  <si>
    <t>23.3</t>
  </si>
  <si>
    <t>23.4</t>
  </si>
  <si>
    <t>23.5</t>
  </si>
  <si>
    <t>23.6</t>
  </si>
  <si>
    <t>23.7</t>
  </si>
  <si>
    <t>23.8</t>
  </si>
  <si>
    <t>23.9</t>
  </si>
  <si>
    <t>Бетонування сходів</t>
  </si>
  <si>
    <t>Бетон С20/25</t>
  </si>
  <si>
    <t>23.10</t>
  </si>
  <si>
    <t>Сходовий марш СМ-2</t>
  </si>
  <si>
    <t>23.11</t>
  </si>
  <si>
    <t>23.12</t>
  </si>
  <si>
    <t>23.13</t>
  </si>
  <si>
    <t>23.14</t>
  </si>
  <si>
    <t>23.15</t>
  </si>
  <si>
    <t>23.16</t>
  </si>
  <si>
    <t>23.17</t>
  </si>
  <si>
    <t>23.18</t>
  </si>
  <si>
    <t>23.19</t>
  </si>
  <si>
    <t>Сходовий марш СМ-3</t>
  </si>
  <si>
    <t>23.20</t>
  </si>
  <si>
    <t>23.21</t>
  </si>
  <si>
    <t>23.22</t>
  </si>
  <si>
    <t>23.23</t>
  </si>
  <si>
    <t>23.24</t>
  </si>
  <si>
    <t>23.25</t>
  </si>
  <si>
    <t>23.26</t>
  </si>
  <si>
    <t>23.27</t>
  </si>
  <si>
    <t>23.28</t>
  </si>
  <si>
    <t>Сходовий марш СМ-4</t>
  </si>
  <si>
    <t>23.29</t>
  </si>
  <si>
    <t>23.30</t>
  </si>
  <si>
    <t>23.31</t>
  </si>
  <si>
    <t>23.32</t>
  </si>
  <si>
    <t>23.33</t>
  </si>
  <si>
    <t>23.34</t>
  </si>
  <si>
    <t>23.35</t>
  </si>
  <si>
    <t>23.36</t>
  </si>
  <si>
    <t>23.37</t>
  </si>
  <si>
    <t>Сходовий марш СМ-5</t>
  </si>
  <si>
    <t>23.38</t>
  </si>
  <si>
    <t>23.39</t>
  </si>
  <si>
    <t>23.40</t>
  </si>
  <si>
    <t>23.41</t>
  </si>
  <si>
    <t>23.42</t>
  </si>
  <si>
    <t>23.43</t>
  </si>
  <si>
    <t>23.44</t>
  </si>
  <si>
    <t>23.45</t>
  </si>
  <si>
    <t>23.46</t>
  </si>
  <si>
    <t>Сходовий марш СМ-6</t>
  </si>
  <si>
    <t>23.47</t>
  </si>
  <si>
    <t>23.48</t>
  </si>
  <si>
    <t>23.49</t>
  </si>
  <si>
    <t>23.50</t>
  </si>
  <si>
    <t>23.51</t>
  </si>
  <si>
    <t>23.52</t>
  </si>
  <si>
    <t>23.53</t>
  </si>
  <si>
    <t>23.54</t>
  </si>
  <si>
    <t>23.55</t>
  </si>
  <si>
    <t>Сходовий марш СМ-7</t>
  </si>
  <si>
    <t>23.56</t>
  </si>
  <si>
    <t>23.57</t>
  </si>
  <si>
    <t>23.58</t>
  </si>
  <si>
    <t>23.59</t>
  </si>
  <si>
    <t>23.60</t>
  </si>
  <si>
    <t>23.61</t>
  </si>
  <si>
    <t>23.62</t>
  </si>
  <si>
    <t>23.63</t>
  </si>
  <si>
    <t>24.</t>
  </si>
  <si>
    <t>Підпірні стіни Пс1 і Пс2</t>
  </si>
  <si>
    <t>Р.5.45.1</t>
  </si>
  <si>
    <t>24.1</t>
  </si>
  <si>
    <t>Розробка грунту</t>
  </si>
  <si>
    <t>24.2</t>
  </si>
  <si>
    <t>Ущільнення грунту</t>
  </si>
  <si>
    <t>24.3</t>
  </si>
  <si>
    <t>Розробка грунту вручну</t>
  </si>
  <si>
    <t>Р.5.45.2</t>
  </si>
  <si>
    <t>24.4</t>
  </si>
  <si>
    <t>Влаштування щебеневої основи з пошаровим ущільненням</t>
  </si>
  <si>
    <t>Щебенева піщана суміш 0-40мм</t>
  </si>
  <si>
    <t>24.5</t>
  </si>
  <si>
    <t>Щебінь фр.40-70</t>
  </si>
  <si>
    <t>24.6</t>
  </si>
  <si>
    <t>Робота машиномеханізмів</t>
  </si>
  <si>
    <t>Екскаватор</t>
  </si>
  <si>
    <t xml:space="preserve"> маш год</t>
  </si>
  <si>
    <t>24.7</t>
  </si>
  <si>
    <t>ЗІЛ</t>
  </si>
  <si>
    <t>24.8</t>
  </si>
  <si>
    <t>Урал</t>
  </si>
  <si>
    <t>24.9</t>
  </si>
  <si>
    <t>Зворотня засипка з пошаровим ущільненням</t>
  </si>
  <si>
    <t>24.10</t>
  </si>
  <si>
    <t>ПС1</t>
  </si>
  <si>
    <t>24.11</t>
  </si>
  <si>
    <t>Р.5.46.1</t>
  </si>
  <si>
    <t>24.12</t>
  </si>
  <si>
    <t>Бетоновування бетонної підготовки</t>
  </si>
  <si>
    <t>Бетон В10 (С8/10)</t>
  </si>
  <si>
    <t>24.13</t>
  </si>
  <si>
    <t>24.14</t>
  </si>
  <si>
    <t>24.15</t>
  </si>
  <si>
    <t>24.16</t>
  </si>
  <si>
    <t>24.17</t>
  </si>
  <si>
    <t>24.18</t>
  </si>
  <si>
    <t>Дріт вязальний</t>
  </si>
  <si>
    <t>24.19</t>
  </si>
  <si>
    <t xml:space="preserve">Бетоновування підпірної стіни </t>
  </si>
  <si>
    <t>Р.5.46.3</t>
  </si>
  <si>
    <t>24.20</t>
  </si>
  <si>
    <t>Гідроізоляція підпірної стіни в два шари</t>
  </si>
  <si>
    <t>Грунтівка Техноеласт праймер бітумний</t>
  </si>
  <si>
    <t>24.21</t>
  </si>
  <si>
    <t>Техноеласт ЕПП 4,0 в два шари</t>
  </si>
  <si>
    <t>24.22</t>
  </si>
  <si>
    <t>ПС2</t>
  </si>
  <si>
    <t>24.23</t>
  </si>
  <si>
    <t>24.24</t>
  </si>
  <si>
    <t>24.25</t>
  </si>
  <si>
    <t>24.26</t>
  </si>
  <si>
    <t>24.27</t>
  </si>
  <si>
    <t>24.28</t>
  </si>
  <si>
    <t>24.29</t>
  </si>
  <si>
    <t>24.30</t>
  </si>
  <si>
    <t>24.31</t>
  </si>
  <si>
    <t>24.32</t>
  </si>
  <si>
    <t>Підсобні роботи</t>
  </si>
  <si>
    <t>26.</t>
  </si>
  <si>
    <t>Вентшахти</t>
  </si>
  <si>
    <t>26.1</t>
  </si>
  <si>
    <t>26.2</t>
  </si>
  <si>
    <t>26.3</t>
  </si>
  <si>
    <t>26.4</t>
  </si>
  <si>
    <t>26.5</t>
  </si>
  <si>
    <t>26.6</t>
  </si>
  <si>
    <t>26.7</t>
  </si>
  <si>
    <t>26.8</t>
  </si>
  <si>
    <t>Шахта Шм-1</t>
  </si>
  <si>
    <t>26.9</t>
  </si>
  <si>
    <t>26.10</t>
  </si>
  <si>
    <t>26.11</t>
  </si>
  <si>
    <t>26.12</t>
  </si>
  <si>
    <t>26.13</t>
  </si>
  <si>
    <t>26.14</t>
  </si>
  <si>
    <t>26.15</t>
  </si>
  <si>
    <t>26.16</t>
  </si>
  <si>
    <t>Бетоновування шахти</t>
  </si>
  <si>
    <t>26.17</t>
  </si>
  <si>
    <t>Шахта Шм-2</t>
  </si>
  <si>
    <t>26.18</t>
  </si>
  <si>
    <t>26.19</t>
  </si>
  <si>
    <t>26.20</t>
  </si>
  <si>
    <t>26.21</t>
  </si>
  <si>
    <t>26.22</t>
  </si>
  <si>
    <t>26.23</t>
  </si>
  <si>
    <t>26.24</t>
  </si>
  <si>
    <t>26.25</t>
  </si>
  <si>
    <t>26.26</t>
  </si>
  <si>
    <t>Шахта Шм-3</t>
  </si>
  <si>
    <t>26.27</t>
  </si>
  <si>
    <t>26.28</t>
  </si>
  <si>
    <t>26.29</t>
  </si>
  <si>
    <t>Арматура А240С д-10мм</t>
  </si>
  <si>
    <t>26.30</t>
  </si>
  <si>
    <t>26.31</t>
  </si>
  <si>
    <t>26.32</t>
  </si>
  <si>
    <t>Р.5.46.2</t>
  </si>
  <si>
    <t>26.33</t>
  </si>
  <si>
    <t>Утеплення шахт</t>
  </si>
  <si>
    <t>ЕППС</t>
  </si>
  <si>
    <t>26.34</t>
  </si>
  <si>
    <t>Монтажна піна</t>
  </si>
  <si>
    <t>26.35</t>
  </si>
  <si>
    <t>26.36</t>
  </si>
  <si>
    <t>27.</t>
  </si>
  <si>
    <t>Пож резервуар</t>
  </si>
  <si>
    <t>27.1</t>
  </si>
  <si>
    <t>27.2</t>
  </si>
  <si>
    <t>27.3</t>
  </si>
  <si>
    <t>27.4</t>
  </si>
  <si>
    <t>27.5</t>
  </si>
  <si>
    <t>27.6</t>
  </si>
  <si>
    <t>27.7</t>
  </si>
  <si>
    <t>27.8</t>
  </si>
  <si>
    <t>Плита покриття ППм-1</t>
  </si>
  <si>
    <t>27.9</t>
  </si>
  <si>
    <t>27.10</t>
  </si>
  <si>
    <t>27.11</t>
  </si>
  <si>
    <t>27.12</t>
  </si>
  <si>
    <t>27.13</t>
  </si>
  <si>
    <t>27.14</t>
  </si>
  <si>
    <t>Стіни Стм-1</t>
  </si>
  <si>
    <t>27.15</t>
  </si>
  <si>
    <t>27.16</t>
  </si>
  <si>
    <t>27.17</t>
  </si>
  <si>
    <t>27.18</t>
  </si>
  <si>
    <t>27.19</t>
  </si>
  <si>
    <t>27.20</t>
  </si>
  <si>
    <t>27.21</t>
  </si>
  <si>
    <t>Плита днища ПДм-1 і приямок ПРм-1</t>
  </si>
  <si>
    <t>27.22</t>
  </si>
  <si>
    <t>27.23</t>
  </si>
  <si>
    <t>27.24</t>
  </si>
  <si>
    <t>27.25</t>
  </si>
  <si>
    <t>27.26</t>
  </si>
  <si>
    <t>27.27</t>
  </si>
  <si>
    <t>27.28</t>
  </si>
  <si>
    <t>Бетонування підготовки під пож резервуар</t>
  </si>
  <si>
    <t>27.29</t>
  </si>
  <si>
    <t>Бетоновування пож резервуару</t>
  </si>
  <si>
    <t>27.30</t>
  </si>
  <si>
    <t>27.31</t>
  </si>
  <si>
    <t>27.32</t>
  </si>
  <si>
    <t>Влаштування бентонівого джгута</t>
  </si>
  <si>
    <t>м.п.</t>
  </si>
  <si>
    <t>Шнур бентонітовий для гідроізоляції 15х25 мм 5 пог.м.</t>
  </si>
  <si>
    <t xml:space="preserve">Вартість одиниці </t>
  </si>
  <si>
    <t>Всього вартість по кошторису:</t>
  </si>
  <si>
    <t xml:space="preserve">*техніка за замовником </t>
  </si>
  <si>
    <t xml:space="preserve">*матеріали за замовником </t>
  </si>
  <si>
    <t>люд.год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</si>
</sst>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₴_-;\-* #,##0\ _₴_-;_-* &quot;-&quot;\ _₴_-;_-@"/>
  </numFmts>
  <fonts count="2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sz val="12"/>
      <color rgb="FFFF0000"/>
      <name val="Aptos Narrow"/>
      <family val="2"/>
      <scheme val="minor"/>
    </font>
    <font>
      <b/>
      <sz val="16"/>
      <color theme="1"/>
      <name val="Aptos Narrow"/>
      <family val="2"/>
      <charset val="204"/>
      <scheme val="minor"/>
    </font>
    <font>
      <b/>
      <sz val="16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left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2" fontId="9" fillId="2" borderId="12" xfId="0" applyNumberFormat="1" applyFont="1" applyFill="1" applyBorder="1" applyAlignment="1">
      <alignment horizontal="left" vertical="center"/>
    </xf>
    <xf numFmtId="2" fontId="9" fillId="2" borderId="13" xfId="0" applyNumberFormat="1" applyFont="1" applyFill="1" applyBorder="1" applyAlignment="1">
      <alignment horizontal="left" vertical="center"/>
    </xf>
    <xf numFmtId="2" fontId="9" fillId="2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49" fontId="6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/>
    </xf>
    <xf numFmtId="2" fontId="7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3" borderId="48" xfId="0" applyNumberFormat="1" applyFill="1" applyBorder="1" applyAlignment="1">
      <alignment horizontal="center"/>
    </xf>
    <xf numFmtId="0" fontId="0" fillId="0" borderId="25" xfId="0" applyBorder="1" applyAlignment="1">
      <alignment horizontal="right"/>
    </xf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49" fontId="0" fillId="0" borderId="27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28" xfId="0" applyNumberFormat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2" fontId="0" fillId="0" borderId="35" xfId="0" applyNumberFormat="1" applyBorder="1" applyAlignment="1">
      <alignment horizontal="right"/>
    </xf>
    <xf numFmtId="2" fontId="0" fillId="5" borderId="1" xfId="0" applyNumberFormat="1" applyFill="1" applyBorder="1" applyAlignment="1">
      <alignment horizontal="center"/>
    </xf>
    <xf numFmtId="2" fontId="0" fillId="5" borderId="37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49" fontId="11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/>
    <xf numFmtId="2" fontId="0" fillId="3" borderId="0" xfId="0" applyNumberForma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13" xfId="0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12" fillId="0" borderId="25" xfId="0" applyNumberFormat="1" applyFont="1" applyBorder="1" applyAlignment="1">
      <alignment horizontal="center"/>
    </xf>
    <xf numFmtId="0" fontId="13" fillId="0" borderId="25" xfId="0" applyFont="1" applyBorder="1" applyAlignment="1"/>
    <xf numFmtId="2" fontId="0" fillId="0" borderId="26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2" fontId="0" fillId="0" borderId="28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29" xfId="1" applyNumberFormat="1" applyFont="1" applyFill="1" applyBorder="1" applyAlignment="1">
      <alignment horizontal="center"/>
    </xf>
    <xf numFmtId="0" fontId="0" fillId="0" borderId="29" xfId="0" applyBorder="1" applyAlignment="1"/>
    <xf numFmtId="2" fontId="0" fillId="0" borderId="30" xfId="0" applyNumberForma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0" fillId="0" borderId="32" xfId="0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2" xfId="1" applyNumberFormat="1" applyFont="1" applyFill="1" applyBorder="1" applyAlignment="1">
      <alignment horizontal="center"/>
    </xf>
    <xf numFmtId="0" fontId="0" fillId="0" borderId="32" xfId="0" applyBorder="1" applyAlignment="1"/>
    <xf numFmtId="2" fontId="0" fillId="0" borderId="33" xfId="0" applyNumberFormat="1" applyBorder="1" applyAlignment="1">
      <alignment horizontal="center"/>
    </xf>
    <xf numFmtId="0" fontId="0" fillId="0" borderId="34" xfId="0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23" xfId="0" applyBorder="1" applyAlignment="1"/>
    <xf numFmtId="2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37" xfId="1" applyNumberFormat="1" applyFont="1" applyFill="1" applyBorder="1" applyAlignment="1">
      <alignment horizontal="center"/>
    </xf>
    <xf numFmtId="0" fontId="0" fillId="0" borderId="37" xfId="0" applyBorder="1" applyAlignment="1"/>
    <xf numFmtId="2" fontId="0" fillId="0" borderId="38" xfId="0" applyNumberFormat="1" applyBorder="1" applyAlignment="1">
      <alignment horizontal="center"/>
    </xf>
    <xf numFmtId="2" fontId="0" fillId="4" borderId="32" xfId="0" applyNumberFormat="1" applyFill="1" applyBorder="1" applyAlignment="1">
      <alignment horizontal="center"/>
    </xf>
    <xf numFmtId="2" fontId="0" fillId="5" borderId="32" xfId="0" applyNumberFormat="1" applyFill="1" applyBorder="1" applyAlignment="1">
      <alignment horizontal="center"/>
    </xf>
    <xf numFmtId="2" fontId="0" fillId="0" borderId="32" xfId="1" applyNumberFormat="1" applyFont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0" fontId="0" fillId="0" borderId="39" xfId="0" applyBorder="1" applyAlignment="1">
      <alignment horizontal="left" wrapText="1"/>
    </xf>
    <xf numFmtId="0" fontId="0" fillId="0" borderId="39" xfId="0" applyBorder="1" applyAlignment="1">
      <alignment horizontal="left"/>
    </xf>
    <xf numFmtId="2" fontId="0" fillId="0" borderId="37" xfId="1" applyNumberFormat="1" applyFont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9" fillId="0" borderId="41" xfId="0" applyNumberFormat="1" applyFont="1" applyBorder="1" applyAlignment="1">
      <alignment horizontal="center"/>
    </xf>
    <xf numFmtId="0" fontId="0" fillId="0" borderId="41" xfId="0" applyBorder="1" applyAlignment="1"/>
    <xf numFmtId="2" fontId="0" fillId="0" borderId="42" xfId="0" applyNumberFormat="1" applyBorder="1" applyAlignment="1">
      <alignment horizontal="center"/>
    </xf>
    <xf numFmtId="0" fontId="0" fillId="0" borderId="34" xfId="0" applyBorder="1" applyAlignment="1">
      <alignment horizontal="left"/>
    </xf>
    <xf numFmtId="2" fontId="12" fillId="5" borderId="23" xfId="0" applyNumberFormat="1" applyFont="1" applyFill="1" applyBorder="1" applyAlignment="1">
      <alignment horizontal="center"/>
    </xf>
    <xf numFmtId="0" fontId="13" fillId="0" borderId="23" xfId="0" applyFont="1" applyBorder="1" applyAlignment="1"/>
    <xf numFmtId="2" fontId="0" fillId="4" borderId="1" xfId="0" applyNumberFormat="1" applyFill="1" applyBorder="1" applyAlignment="1">
      <alignment horizontal="center"/>
    </xf>
    <xf numFmtId="2" fontId="0" fillId="4" borderId="37" xfId="0" applyNumberFormat="1" applyFill="1" applyBorder="1" applyAlignment="1">
      <alignment horizontal="center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9" fillId="0" borderId="44" xfId="0" applyNumberFormat="1" applyFont="1" applyBorder="1" applyAlignment="1">
      <alignment horizontal="center"/>
    </xf>
    <xf numFmtId="0" fontId="0" fillId="0" borderId="44" xfId="0" applyBorder="1" applyAlignment="1"/>
    <xf numFmtId="0" fontId="0" fillId="0" borderId="23" xfId="0" applyBorder="1" applyAlignment="1">
      <alignment horizontal="left" wrapText="1"/>
    </xf>
    <xf numFmtId="2" fontId="0" fillId="4" borderId="23" xfId="0" applyNumberFormat="1" applyFill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9" fontId="14" fillId="5" borderId="43" xfId="0" applyNumberFormat="1" applyFont="1" applyFill="1" applyBorder="1" applyAlignment="1">
      <alignment horizontal="center"/>
    </xf>
    <xf numFmtId="0" fontId="14" fillId="5" borderId="44" xfId="0" applyFont="1" applyFill="1" applyBorder="1" applyAlignment="1">
      <alignment horizontal="left"/>
    </xf>
    <xf numFmtId="0" fontId="14" fillId="5" borderId="44" xfId="0" applyFont="1" applyFill="1" applyBorder="1" applyAlignment="1"/>
    <xf numFmtId="2" fontId="14" fillId="5" borderId="44" xfId="0" applyNumberFormat="1" applyFont="1" applyFill="1" applyBorder="1" applyAlignment="1">
      <alignment horizontal="center"/>
    </xf>
    <xf numFmtId="2" fontId="11" fillId="5" borderId="45" xfId="0" applyNumberFormat="1" applyFont="1" applyFill="1" applyBorder="1" applyAlignment="1"/>
    <xf numFmtId="0" fontId="11" fillId="5" borderId="44" xfId="0" applyFont="1" applyFill="1" applyBorder="1" applyAlignment="1">
      <alignment wrapText="1"/>
    </xf>
    <xf numFmtId="0" fontId="11" fillId="5" borderId="44" xfId="0" applyFont="1" applyFill="1" applyBorder="1" applyAlignment="1">
      <alignment horizontal="center"/>
    </xf>
    <xf numFmtId="2" fontId="11" fillId="5" borderId="44" xfId="0" applyNumberFormat="1" applyFont="1" applyFill="1" applyBorder="1" applyAlignment="1">
      <alignment horizontal="center"/>
    </xf>
    <xf numFmtId="2" fontId="15" fillId="3" borderId="0" xfId="0" applyNumberFormat="1" applyFont="1" applyFill="1" applyAlignment="1">
      <alignment horizontal="center"/>
    </xf>
    <xf numFmtId="49" fontId="0" fillId="0" borderId="46" xfId="0" applyNumberFormat="1" applyBorder="1" applyAlignment="1">
      <alignment horizontal="center"/>
    </xf>
    <xf numFmtId="0" fontId="0" fillId="2" borderId="31" xfId="0" applyFill="1" applyBorder="1" applyAlignment="1">
      <alignment horizontal="left" wrapText="1"/>
    </xf>
    <xf numFmtId="0" fontId="0" fillId="2" borderId="32" xfId="0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0" fontId="0" fillId="2" borderId="32" xfId="0" applyFill="1" applyBorder="1" applyAlignment="1"/>
    <xf numFmtId="2" fontId="0" fillId="2" borderId="33" xfId="0" applyNumberFormat="1" applyFill="1" applyBorder="1" applyAlignment="1">
      <alignment horizontal="center"/>
    </xf>
    <xf numFmtId="0" fontId="0" fillId="0" borderId="23" xfId="0" applyBorder="1" applyAlignment="1">
      <alignment horizontal="left"/>
    </xf>
    <xf numFmtId="2" fontId="0" fillId="4" borderId="29" xfId="0" applyNumberFormat="1" applyFill="1" applyBorder="1" applyAlignment="1">
      <alignment horizontal="center"/>
    </xf>
    <xf numFmtId="2" fontId="0" fillId="0" borderId="29" xfId="1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0" fontId="0" fillId="2" borderId="44" xfId="0" applyFill="1" applyBorder="1" applyAlignment="1">
      <alignment horizontal="center"/>
    </xf>
    <xf numFmtId="2" fontId="0" fillId="2" borderId="44" xfId="0" applyNumberFormat="1" applyFill="1" applyBorder="1" applyAlignment="1">
      <alignment horizontal="center"/>
    </xf>
    <xf numFmtId="0" fontId="0" fillId="2" borderId="44" xfId="0" applyFill="1" applyBorder="1" applyAlignment="1"/>
    <xf numFmtId="2" fontId="0" fillId="2" borderId="45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16" fillId="0" borderId="29" xfId="0" applyFont="1" applyBorder="1" applyAlignment="1">
      <alignment horizontal="left" wrapText="1"/>
    </xf>
    <xf numFmtId="2" fontId="0" fillId="0" borderId="48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0" fillId="5" borderId="1" xfId="1" applyNumberFormat="1" applyFont="1" applyFill="1" applyBorder="1" applyAlignment="1">
      <alignment horizontal="center"/>
    </xf>
    <xf numFmtId="2" fontId="13" fillId="0" borderId="23" xfId="0" applyNumberFormat="1" applyFont="1" applyBorder="1" applyAlignment="1">
      <alignment horizontal="center"/>
    </xf>
    <xf numFmtId="2" fontId="13" fillId="0" borderId="37" xfId="0" applyNumberFormat="1" applyFont="1" applyBorder="1" applyAlignment="1">
      <alignment horizontal="center"/>
    </xf>
    <xf numFmtId="0" fontId="0" fillId="0" borderId="37" xfId="0" applyBorder="1" applyAlignment="1">
      <alignment wrapText="1"/>
    </xf>
    <xf numFmtId="2" fontId="11" fillId="5" borderId="45" xfId="0" applyNumberFormat="1" applyFont="1" applyFill="1" applyBorder="1" applyAlignment="1">
      <alignment horizontal="center"/>
    </xf>
    <xf numFmtId="49" fontId="11" fillId="3" borderId="43" xfId="0" applyNumberFormat="1" applyFont="1" applyFill="1" applyBorder="1" applyAlignment="1">
      <alignment horizontal="center"/>
    </xf>
    <xf numFmtId="0" fontId="0" fillId="3" borderId="44" xfId="0" applyFill="1" applyBorder="1" applyAlignment="1">
      <alignment horizontal="left"/>
    </xf>
    <xf numFmtId="0" fontId="0" fillId="3" borderId="44" xfId="0" applyFill="1" applyBorder="1" applyAlignment="1"/>
    <xf numFmtId="2" fontId="0" fillId="3" borderId="44" xfId="0" applyNumberFormat="1" applyFill="1" applyBorder="1" applyAlignment="1">
      <alignment horizontal="center"/>
    </xf>
    <xf numFmtId="2" fontId="15" fillId="3" borderId="44" xfId="0" applyNumberFormat="1" applyFont="1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2" fontId="0" fillId="3" borderId="45" xfId="0" applyNumberFormat="1" applyFill="1" applyBorder="1" applyAlignment="1">
      <alignment horizontal="center"/>
    </xf>
    <xf numFmtId="49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left"/>
    </xf>
    <xf numFmtId="0" fontId="0" fillId="0" borderId="27" xfId="0" applyBorder="1" applyAlignment="1">
      <alignment horizontal="left" wrapText="1"/>
    </xf>
    <xf numFmtId="0" fontId="0" fillId="0" borderId="27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0" xfId="0" applyAlignment="1">
      <alignment horizontal="left"/>
    </xf>
    <xf numFmtId="2" fontId="9" fillId="0" borderId="0" xfId="0" applyNumberFormat="1" applyFont="1" applyAlignment="1">
      <alignment horizontal="center"/>
    </xf>
    <xf numFmtId="0" fontId="0" fillId="0" borderId="0" xfId="0" applyAlignment="1"/>
    <xf numFmtId="2" fontId="0" fillId="0" borderId="52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2" fontId="0" fillId="5" borderId="25" xfId="0" applyNumberFormat="1" applyFill="1" applyBorder="1" applyAlignment="1">
      <alignment horizontal="center"/>
    </xf>
    <xf numFmtId="49" fontId="0" fillId="0" borderId="53" xfId="0" applyNumberFormat="1" applyBorder="1" applyAlignment="1">
      <alignment horizontal="center"/>
    </xf>
    <xf numFmtId="49" fontId="11" fillId="3" borderId="10" xfId="0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17" fillId="3" borderId="10" xfId="0" applyNumberFormat="1" applyFont="1" applyFill="1" applyBorder="1" applyAlignment="1">
      <alignment horizontal="center"/>
    </xf>
    <xf numFmtId="0" fontId="0" fillId="3" borderId="10" xfId="0" applyFill="1" applyBorder="1" applyAlignment="1"/>
    <xf numFmtId="2" fontId="0" fillId="3" borderId="54" xfId="0" applyNumberFormat="1" applyFill="1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0" fontId="0" fillId="2" borderId="25" xfId="0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2" fontId="16" fillId="2" borderId="25" xfId="0" applyNumberFormat="1" applyFont="1" applyFill="1" applyBorder="1" applyAlignment="1">
      <alignment horizontal="center"/>
    </xf>
    <xf numFmtId="0" fontId="0" fillId="2" borderId="25" xfId="0" applyFill="1" applyBorder="1" applyAlignment="1"/>
    <xf numFmtId="2" fontId="0" fillId="2" borderId="26" xfId="0" applyNumberFormat="1" applyFill="1" applyBorder="1" applyAlignment="1">
      <alignment horizontal="center"/>
    </xf>
    <xf numFmtId="0" fontId="13" fillId="0" borderId="1" xfId="0" applyFont="1" applyBorder="1" applyAlignme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16" fillId="2" borderId="0" xfId="0" applyNumberFormat="1" applyFont="1" applyFill="1" applyAlignment="1">
      <alignment horizontal="center"/>
    </xf>
    <xf numFmtId="0" fontId="0" fillId="2" borderId="0" xfId="0" applyFill="1" applyAlignment="1"/>
    <xf numFmtId="2" fontId="0" fillId="2" borderId="52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/>
    <xf numFmtId="2" fontId="0" fillId="2" borderId="28" xfId="0" applyNumberFormat="1" applyFill="1" applyBorder="1" applyAlignment="1">
      <alignment horizontal="center"/>
    </xf>
    <xf numFmtId="0" fontId="0" fillId="0" borderId="55" xfId="0" applyBorder="1" applyAlignment="1">
      <alignment horizontal="left"/>
    </xf>
    <xf numFmtId="2" fontId="0" fillId="4" borderId="25" xfId="0" applyNumberFormat="1" applyFill="1" applyBorder="1" applyAlignment="1">
      <alignment horizontal="center"/>
    </xf>
    <xf numFmtId="2" fontId="13" fillId="0" borderId="25" xfId="0" applyNumberFormat="1" applyFont="1" applyBorder="1" applyAlignment="1">
      <alignment horizontal="center"/>
    </xf>
    <xf numFmtId="2" fontId="0" fillId="5" borderId="25" xfId="1" applyNumberFormat="1" applyFont="1" applyFill="1" applyBorder="1" applyAlignment="1">
      <alignment horizontal="center"/>
    </xf>
    <xf numFmtId="0" fontId="0" fillId="0" borderId="25" xfId="0" applyBorder="1" applyAlignment="1"/>
    <xf numFmtId="49" fontId="0" fillId="0" borderId="51" xfId="0" applyNumberFormat="1" applyBorder="1" applyAlignment="1">
      <alignment horizontal="center"/>
    </xf>
    <xf numFmtId="49" fontId="9" fillId="3" borderId="56" xfId="0" applyNumberFormat="1" applyFont="1" applyFill="1" applyBorder="1" applyAlignment="1">
      <alignment horizontal="center"/>
    </xf>
    <xf numFmtId="0" fontId="0" fillId="3" borderId="57" xfId="0" applyFill="1" applyBorder="1" applyAlignment="1">
      <alignment horizontal="left"/>
    </xf>
    <xf numFmtId="0" fontId="0" fillId="3" borderId="57" xfId="0" applyFill="1" applyBorder="1" applyAlignment="1">
      <alignment horizontal="center"/>
    </xf>
    <xf numFmtId="2" fontId="0" fillId="3" borderId="57" xfId="0" applyNumberFormat="1" applyFill="1" applyBorder="1" applyAlignment="1">
      <alignment horizontal="center"/>
    </xf>
    <xf numFmtId="0" fontId="0" fillId="3" borderId="57" xfId="0" applyFill="1" applyBorder="1" applyAlignment="1"/>
    <xf numFmtId="2" fontId="12" fillId="5" borderId="25" xfId="0" applyNumberFormat="1" applyFont="1" applyFill="1" applyBorder="1" applyAlignment="1">
      <alignment horizontal="center"/>
    </xf>
    <xf numFmtId="49" fontId="9" fillId="3" borderId="29" xfId="0" applyNumberFormat="1" applyFont="1" applyFill="1" applyBorder="1" applyAlignment="1">
      <alignment horizontal="center"/>
    </xf>
    <xf numFmtId="0" fontId="0" fillId="3" borderId="29" xfId="0" applyFill="1" applyBorder="1" applyAlignment="1">
      <alignment horizontal="left"/>
    </xf>
    <xf numFmtId="0" fontId="0" fillId="3" borderId="29" xfId="0" applyFill="1" applyBorder="1" applyAlignment="1">
      <alignment horizontal="center"/>
    </xf>
    <xf numFmtId="2" fontId="18" fillId="3" borderId="29" xfId="0" applyNumberFormat="1" applyFont="1" applyFill="1" applyBorder="1" applyAlignment="1">
      <alignment horizontal="center"/>
    </xf>
    <xf numFmtId="2" fontId="17" fillId="3" borderId="29" xfId="0" applyNumberFormat="1" applyFont="1" applyFill="1" applyBorder="1" applyAlignment="1">
      <alignment horizontal="center"/>
    </xf>
    <xf numFmtId="2" fontId="0" fillId="3" borderId="29" xfId="0" applyNumberFormat="1" applyFill="1" applyBorder="1" applyAlignment="1">
      <alignment horizontal="center"/>
    </xf>
    <xf numFmtId="0" fontId="0" fillId="3" borderId="29" xfId="0" applyFill="1" applyBorder="1" applyAlignment="1"/>
    <xf numFmtId="49" fontId="19" fillId="3" borderId="29" xfId="0" applyNumberFormat="1" applyFont="1" applyFill="1" applyBorder="1" applyAlignment="1">
      <alignment horizontal="center"/>
    </xf>
    <xf numFmtId="2" fontId="20" fillId="3" borderId="29" xfId="0" applyNumberFormat="1" applyFont="1" applyFill="1" applyBorder="1" applyAlignment="1">
      <alignment horizontal="center"/>
    </xf>
    <xf numFmtId="0" fontId="0" fillId="6" borderId="25" xfId="0" applyFill="1" applyBorder="1" applyAlignment="1">
      <alignment horizontal="left"/>
    </xf>
    <xf numFmtId="0" fontId="0" fillId="6" borderId="25" xfId="0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21" fillId="6" borderId="25" xfId="0" applyNumberFormat="1" applyFont="1" applyFill="1" applyBorder="1" applyAlignment="1">
      <alignment horizontal="center"/>
    </xf>
    <xf numFmtId="0" fontId="0" fillId="6" borderId="25" xfId="0" applyFill="1" applyBorder="1" applyAlignment="1"/>
    <xf numFmtId="2" fontId="0" fillId="6" borderId="26" xfId="0" applyNumberForma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2" fontId="22" fillId="5" borderId="23" xfId="0" applyNumberFormat="1" applyFont="1" applyFill="1" applyBorder="1" applyAlignment="1">
      <alignment horizontal="center"/>
    </xf>
    <xf numFmtId="0" fontId="0" fillId="6" borderId="23" xfId="0" applyFill="1" applyBorder="1" applyAlignment="1">
      <alignment horizontal="left"/>
    </xf>
    <xf numFmtId="0" fontId="0" fillId="6" borderId="23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21" fillId="6" borderId="23" xfId="0" applyNumberFormat="1" applyFont="1" applyFill="1" applyBorder="1" applyAlignment="1">
      <alignment horizontal="center"/>
    </xf>
    <xf numFmtId="0" fontId="0" fillId="6" borderId="23" xfId="0" applyFill="1" applyBorder="1" applyAlignment="1"/>
    <xf numFmtId="2" fontId="0" fillId="6" borderId="35" xfId="0" applyNumberFormat="1" applyFill="1" applyBorder="1" applyAlignment="1">
      <alignment horizontal="center"/>
    </xf>
    <xf numFmtId="2" fontId="21" fillId="0" borderId="23" xfId="0" applyNumberFormat="1" applyFont="1" applyBorder="1" applyAlignment="1">
      <alignment horizontal="center"/>
    </xf>
    <xf numFmtId="0" fontId="0" fillId="0" borderId="58" xfId="0" applyBorder="1" applyAlignment="1">
      <alignment horizontal="left" wrapText="1"/>
    </xf>
    <xf numFmtId="0" fontId="0" fillId="0" borderId="58" xfId="0" applyBorder="1" applyAlignment="1">
      <alignment horizontal="center"/>
    </xf>
    <xf numFmtId="2" fontId="0" fillId="4" borderId="58" xfId="0" applyNumberFormat="1" applyFill="1" applyBorder="1" applyAlignment="1">
      <alignment horizontal="center"/>
    </xf>
    <xf numFmtId="2" fontId="23" fillId="5" borderId="58" xfId="0" applyNumberFormat="1" applyFont="1" applyFill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49" fontId="24" fillId="3" borderId="24" xfId="0" applyNumberFormat="1" applyFont="1" applyFill="1" applyBorder="1" applyAlignment="1">
      <alignment horizontal="center"/>
    </xf>
    <xf numFmtId="0" fontId="25" fillId="3" borderId="25" xfId="0" applyFont="1" applyFill="1" applyBorder="1" applyAlignment="1">
      <alignment horizontal="left"/>
    </xf>
    <xf numFmtId="0" fontId="25" fillId="3" borderId="25" xfId="0" applyFont="1" applyFill="1" applyBorder="1" applyAlignment="1">
      <alignment horizontal="center"/>
    </xf>
    <xf numFmtId="2" fontId="25" fillId="3" borderId="25" xfId="0" applyNumberFormat="1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/>
    </xf>
    <xf numFmtId="0" fontId="25" fillId="3" borderId="25" xfId="0" applyFont="1" applyFill="1" applyBorder="1" applyAlignment="1"/>
    <xf numFmtId="2" fontId="25" fillId="3" borderId="26" xfId="0" applyNumberFormat="1" applyFont="1" applyFill="1" applyBorder="1" applyAlignment="1">
      <alignment horizontal="center"/>
    </xf>
    <xf numFmtId="2" fontId="12" fillId="5" borderId="1" xfId="0" applyNumberFormat="1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left"/>
    </xf>
    <xf numFmtId="2" fontId="1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24" fillId="7" borderId="24" xfId="0" applyNumberFormat="1" applyFont="1" applyFill="1" applyBorder="1" applyAlignment="1">
      <alignment horizontal="center"/>
    </xf>
    <xf numFmtId="2" fontId="26" fillId="0" borderId="25" xfId="0" applyNumberFormat="1" applyFont="1" applyBorder="1" applyAlignment="1">
      <alignment horizontal="center"/>
    </xf>
    <xf numFmtId="49" fontId="0" fillId="7" borderId="27" xfId="0" applyNumberFormat="1" applyFill="1" applyBorder="1" applyAlignment="1">
      <alignment horizontal="center"/>
    </xf>
    <xf numFmtId="49" fontId="0" fillId="7" borderId="5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2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2" fontId="0" fillId="8" borderId="0" xfId="0" applyNumberFormat="1" applyFill="1" applyAlignment="1">
      <alignment horizontal="center"/>
    </xf>
    <xf numFmtId="2" fontId="8" fillId="8" borderId="0" xfId="0" applyNumberFormat="1" applyFont="1" applyFill="1" applyAlignment="1">
      <alignment horizontal="left"/>
    </xf>
    <xf numFmtId="0" fontId="0" fillId="8" borderId="0" xfId="0" applyFill="1" applyAlignment="1"/>
    <xf numFmtId="0" fontId="0" fillId="8" borderId="0" xfId="0" applyFill="1" applyAlignment="1">
      <alignment horizontal="center"/>
    </xf>
    <xf numFmtId="2" fontId="0" fillId="8" borderId="48" xfId="0" applyNumberFormat="1" applyFill="1" applyBorder="1" applyAlignment="1">
      <alignment horizontal="center"/>
    </xf>
    <xf numFmtId="2" fontId="0" fillId="8" borderId="59" xfId="0" applyNumberFormat="1" applyFill="1" applyBorder="1" applyAlignment="1">
      <alignment horizontal="center"/>
    </xf>
    <xf numFmtId="49" fontId="0" fillId="9" borderId="24" xfId="0" applyNumberFormat="1" applyFill="1" applyBorder="1" applyAlignment="1">
      <alignment horizontal="center"/>
    </xf>
    <xf numFmtId="0" fontId="0" fillId="9" borderId="25" xfId="0" applyFill="1" applyBorder="1" applyAlignment="1">
      <alignment horizontal="left"/>
    </xf>
    <xf numFmtId="0" fontId="0" fillId="9" borderId="25" xfId="0" applyFill="1" applyBorder="1" applyAlignment="1">
      <alignment horizontal="center"/>
    </xf>
    <xf numFmtId="2" fontId="0" fillId="9" borderId="25" xfId="0" applyNumberFormat="1" applyFill="1" applyBorder="1" applyAlignment="1">
      <alignment horizontal="center"/>
    </xf>
    <xf numFmtId="0" fontId="0" fillId="9" borderId="25" xfId="0" applyFill="1" applyBorder="1" applyAlignment="1"/>
    <xf numFmtId="2" fontId="0" fillId="9" borderId="26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/>
    <xf numFmtId="2" fontId="0" fillId="9" borderId="28" xfId="0" applyNumberFormat="1" applyFill="1" applyBorder="1" applyAlignment="1">
      <alignment horizontal="center"/>
    </xf>
    <xf numFmtId="0" fontId="0" fillId="0" borderId="51" xfId="0" applyBorder="1" applyAlignment="1">
      <alignment horizontal="center"/>
    </xf>
    <xf numFmtId="2" fontId="0" fillId="8" borderId="37" xfId="0" applyNumberFormat="1" applyFill="1" applyBorder="1" applyAlignment="1">
      <alignment horizontal="center"/>
    </xf>
    <xf numFmtId="0" fontId="15" fillId="3" borderId="48" xfId="0" applyFont="1" applyFill="1" applyBorder="1" applyAlignment="1">
      <alignment horizontal="center"/>
    </xf>
    <xf numFmtId="0" fontId="27" fillId="3" borderId="48" xfId="0" applyFont="1" applyFill="1" applyBorder="1" applyAlignment="1">
      <alignment horizontal="left"/>
    </xf>
    <xf numFmtId="0" fontId="0" fillId="3" borderId="48" xfId="0" applyFill="1" applyBorder="1" applyAlignment="1"/>
    <xf numFmtId="2" fontId="0" fillId="3" borderId="48" xfId="0" applyNumberFormat="1" applyFill="1" applyBorder="1" applyAlignment="1"/>
    <xf numFmtId="49" fontId="28" fillId="0" borderId="24" xfId="0" applyNumberFormat="1" applyFon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0" fontId="0" fillId="0" borderId="29" xfId="0" applyBorder="1" applyAlignment="1">
      <alignment horizontal="left" wrapText="1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2" fontId="0" fillId="5" borderId="29" xfId="0" applyNumberForma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49" fontId="28" fillId="0" borderId="27" xfId="0" applyNumberFormat="1" applyFont="1" applyBorder="1" applyAlignment="1">
      <alignment horizontal="center"/>
    </xf>
    <xf numFmtId="49" fontId="28" fillId="0" borderId="51" xfId="0" applyNumberFormat="1" applyFont="1" applyBorder="1" applyAlignment="1">
      <alignment horizontal="center"/>
    </xf>
    <xf numFmtId="49" fontId="28" fillId="0" borderId="61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3" borderId="48" xfId="0" applyFill="1" applyBorder="1" applyAlignment="1">
      <alignment horizontal="center"/>
    </xf>
    <xf numFmtId="0" fontId="11" fillId="0" borderId="25" xfId="0" applyFont="1" applyBorder="1" applyAlignment="1">
      <alignment wrapText="1"/>
    </xf>
    <xf numFmtId="0" fontId="11" fillId="0" borderId="25" xfId="0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4" fillId="0" borderId="1" xfId="0" applyFont="1" applyBorder="1" applyAlignment="1"/>
    <xf numFmtId="2" fontId="14" fillId="0" borderId="1" xfId="0" applyNumberFormat="1" applyFont="1" applyBorder="1" applyAlignment="1">
      <alignment horizontal="center"/>
    </xf>
    <xf numFmtId="2" fontId="22" fillId="5" borderId="37" xfId="0" applyNumberFormat="1" applyFont="1" applyFill="1" applyBorder="1" applyAlignment="1">
      <alignment horizontal="center"/>
    </xf>
    <xf numFmtId="0" fontId="2" fillId="0" borderId="0" xfId="0" applyFont="1"/>
    <xf numFmtId="0" fontId="3" fillId="5" borderId="44" xfId="0" applyFont="1" applyFill="1" applyBorder="1" applyAlignment="1"/>
  </cellXfs>
  <cellStyles count="2">
    <cellStyle name="Звичайний" xfId="0" builtinId="0"/>
    <cellStyle name="Фінансовий" xfId="1" builtinId="3"/>
  </cellStyles>
  <dxfs count="2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45D0-9A4D-42B7-A382-F6837D7F36DF}">
  <dimension ref="A1:AT519"/>
  <sheetViews>
    <sheetView tabSelected="1" topLeftCell="A505" workbookViewId="0">
      <selection activeCell="H514" sqref="H514"/>
    </sheetView>
  </sheetViews>
  <sheetFormatPr defaultRowHeight="14.5" x14ac:dyDescent="0.35"/>
  <cols>
    <col min="1" max="1" width="8.54296875" bestFit="1" customWidth="1"/>
    <col min="2" max="2" width="6" bestFit="1" customWidth="1"/>
    <col min="4" max="4" width="27.36328125" customWidth="1"/>
    <col min="8" max="8" width="13.1796875" bestFit="1" customWidth="1"/>
    <col min="9" max="9" width="27.90625" bestFit="1" customWidth="1"/>
    <col min="14" max="14" width="13.1796875" bestFit="1" customWidth="1"/>
  </cols>
  <sheetData>
    <row r="1" spans="1:46" ht="112.5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/>
      <c r="I1" s="9" t="s">
        <v>7</v>
      </c>
      <c r="J1" s="10" t="s">
        <v>8</v>
      </c>
      <c r="K1" s="11"/>
      <c r="L1" s="11"/>
      <c r="M1" s="12"/>
      <c r="N1" s="13"/>
      <c r="AG1" s="14" t="s">
        <v>9</v>
      </c>
      <c r="AH1" s="15" t="s">
        <v>10</v>
      </c>
      <c r="AI1" s="14" t="s">
        <v>11</v>
      </c>
      <c r="AJ1" s="16"/>
      <c r="AK1" s="17" t="s">
        <v>10</v>
      </c>
      <c r="AL1" s="18" t="s">
        <v>12</v>
      </c>
      <c r="AM1" s="19" t="s">
        <v>13</v>
      </c>
      <c r="AN1" s="20"/>
      <c r="AO1" s="20"/>
      <c r="AP1" s="20"/>
      <c r="AQ1" s="20"/>
      <c r="AR1" s="21"/>
      <c r="AS1" s="21"/>
      <c r="AT1" s="21"/>
    </row>
    <row r="2" spans="1:46" ht="42.5" thickBot="1" x14ac:dyDescent="0.4">
      <c r="A2" s="1"/>
      <c r="B2" s="22"/>
      <c r="C2" s="23"/>
      <c r="D2" s="24"/>
      <c r="E2" s="25"/>
      <c r="F2" s="26"/>
      <c r="G2" s="27" t="s">
        <v>14</v>
      </c>
      <c r="H2" s="28" t="s">
        <v>15</v>
      </c>
      <c r="I2" s="29"/>
      <c r="J2" s="30" t="s">
        <v>16</v>
      </c>
      <c r="K2" s="31" t="s">
        <v>17</v>
      </c>
      <c r="L2" s="31" t="s">
        <v>18</v>
      </c>
      <c r="M2" s="31" t="s">
        <v>671</v>
      </c>
      <c r="N2" s="32" t="s">
        <v>15</v>
      </c>
      <c r="W2" s="33" t="e">
        <f>F16+F25+F52+F64+F72+F78+F87+F93+F99+F106+F133+F145+F151+F158+F166+F225+F235+F276+F283+F298+F304+F311+F317+F323+F329+F335+F341+F349+F358+F366+F375+F384+F392+F398+F405+F434+F450+F458+F472+F478+F485+F492+F498+F504+F511+F519+F528+F537+F544+F572+F583+F592+F600+F607+F613+F619+F626+F633+F640+F647+F656+F664+F693+F701+#REF!+F747+F760+F771+F780+F789+F798+F807+F816+F825</f>
        <v>#REF!</v>
      </c>
      <c r="X2" s="34" t="s">
        <v>19</v>
      </c>
      <c r="Y2" s="35"/>
      <c r="Z2" s="35"/>
      <c r="AA2" s="35"/>
      <c r="AB2" s="35"/>
      <c r="AC2" s="35"/>
      <c r="AD2" s="35"/>
      <c r="AE2" s="36"/>
      <c r="AG2" s="37"/>
      <c r="AH2" s="37"/>
      <c r="AI2" s="37"/>
      <c r="AJ2" s="16"/>
      <c r="AK2" s="38"/>
      <c r="AL2" s="39"/>
      <c r="AM2" s="40"/>
      <c r="AN2" s="40"/>
      <c r="AO2" s="40"/>
      <c r="AP2" s="40"/>
      <c r="AQ2" s="40"/>
      <c r="AR2" s="41"/>
      <c r="AS2" s="40"/>
      <c r="AT2" s="40"/>
    </row>
    <row r="3" spans="1:46" ht="19" thickBot="1" x14ac:dyDescent="0.5">
      <c r="A3" s="55"/>
      <c r="B3" s="56">
        <v>409</v>
      </c>
      <c r="C3" s="57" t="s">
        <v>20</v>
      </c>
      <c r="D3" s="58"/>
      <c r="E3" s="59"/>
      <c r="F3" s="60"/>
      <c r="G3" s="61" t="s">
        <v>21</v>
      </c>
      <c r="H3" s="60"/>
      <c r="I3" s="59"/>
      <c r="J3" s="62"/>
      <c r="K3" s="60"/>
      <c r="L3" s="60"/>
      <c r="M3" s="60"/>
      <c r="N3" s="60"/>
    </row>
    <row r="4" spans="1:46" ht="16" x14ac:dyDescent="0.4">
      <c r="A4" s="37" t="s">
        <v>22</v>
      </c>
      <c r="B4" s="63">
        <v>410</v>
      </c>
      <c r="C4" s="64" t="s">
        <v>23</v>
      </c>
      <c r="D4" s="65" t="s">
        <v>24</v>
      </c>
      <c r="E4" s="66" t="s">
        <v>25</v>
      </c>
      <c r="F4" s="67">
        <f>38.1/0.2</f>
        <v>190.5</v>
      </c>
      <c r="G4" s="68"/>
      <c r="H4" s="67">
        <f t="shared" ref="H4:H5" si="0">G4*F4</f>
        <v>0</v>
      </c>
      <c r="I4" s="69"/>
      <c r="J4" s="66"/>
      <c r="K4" s="67"/>
      <c r="L4" s="67"/>
      <c r="M4" s="67"/>
      <c r="N4" s="70"/>
    </row>
    <row r="5" spans="1:46" ht="29" x14ac:dyDescent="0.35">
      <c r="A5" s="37" t="s">
        <v>22</v>
      </c>
      <c r="B5" s="63">
        <v>411</v>
      </c>
      <c r="C5" s="47" t="s">
        <v>26</v>
      </c>
      <c r="D5" s="71" t="s">
        <v>27</v>
      </c>
      <c r="E5" s="37" t="s">
        <v>28</v>
      </c>
      <c r="F5" s="39">
        <f>3484.81/1000</f>
        <v>3.48481</v>
      </c>
      <c r="G5" s="39"/>
      <c r="H5" s="39">
        <f t="shared" si="0"/>
        <v>0</v>
      </c>
      <c r="I5" s="72" t="s">
        <v>29</v>
      </c>
      <c r="J5" s="37" t="s">
        <v>28</v>
      </c>
      <c r="K5" s="39">
        <v>1.05</v>
      </c>
      <c r="L5" s="39">
        <f>139.04*K5/1000</f>
        <v>0.14599199999999998</v>
      </c>
      <c r="M5" s="39"/>
      <c r="N5" s="73">
        <f t="shared" ref="N5:N10" si="1">M5*L5</f>
        <v>0</v>
      </c>
    </row>
    <row r="6" spans="1:46" x14ac:dyDescent="0.35">
      <c r="A6" s="37" t="s">
        <v>22</v>
      </c>
      <c r="B6" s="63">
        <v>412</v>
      </c>
      <c r="C6" s="47" t="s">
        <v>30</v>
      </c>
      <c r="D6" s="74"/>
      <c r="E6" s="72"/>
      <c r="F6" s="39"/>
      <c r="G6" s="39"/>
      <c r="H6" s="39"/>
      <c r="I6" s="72" t="s">
        <v>31</v>
      </c>
      <c r="J6" s="37" t="s">
        <v>28</v>
      </c>
      <c r="K6" s="39">
        <v>1.05</v>
      </c>
      <c r="L6" s="39">
        <f>3005.16*K6/1000</f>
        <v>3.1554180000000001</v>
      </c>
      <c r="M6" s="39"/>
      <c r="N6" s="73">
        <f t="shared" si="1"/>
        <v>0</v>
      </c>
    </row>
    <row r="7" spans="1:46" x14ac:dyDescent="0.35">
      <c r="A7" s="37" t="s">
        <v>22</v>
      </c>
      <c r="B7" s="63">
        <v>413</v>
      </c>
      <c r="C7" s="47" t="s">
        <v>32</v>
      </c>
      <c r="D7" s="74"/>
      <c r="E7" s="72"/>
      <c r="F7" s="39"/>
      <c r="G7" s="39"/>
      <c r="H7" s="39"/>
      <c r="I7" s="72" t="s">
        <v>33</v>
      </c>
      <c r="J7" s="37" t="s">
        <v>28</v>
      </c>
      <c r="K7" s="39">
        <v>1.05</v>
      </c>
      <c r="L7" s="39">
        <f>336.73*K7/1000</f>
        <v>0.35356650000000001</v>
      </c>
      <c r="M7" s="39"/>
      <c r="N7" s="73">
        <f t="shared" si="1"/>
        <v>0</v>
      </c>
    </row>
    <row r="8" spans="1:46" x14ac:dyDescent="0.35">
      <c r="A8" s="37" t="s">
        <v>22</v>
      </c>
      <c r="B8" s="63">
        <v>414</v>
      </c>
      <c r="C8" s="47" t="s">
        <v>34</v>
      </c>
      <c r="D8" s="74"/>
      <c r="E8" s="72"/>
      <c r="F8" s="39"/>
      <c r="G8" s="39"/>
      <c r="H8" s="39"/>
      <c r="I8" s="72" t="s">
        <v>35</v>
      </c>
      <c r="J8" s="37" t="s">
        <v>28</v>
      </c>
      <c r="K8" s="39">
        <v>1.05</v>
      </c>
      <c r="L8" s="39">
        <f>3.88*K8/1000</f>
        <v>4.0739999999999995E-3</v>
      </c>
      <c r="M8" s="39"/>
      <c r="N8" s="73">
        <f t="shared" si="1"/>
        <v>0</v>
      </c>
    </row>
    <row r="9" spans="1:46" x14ac:dyDescent="0.35">
      <c r="A9" s="37" t="s">
        <v>22</v>
      </c>
      <c r="B9" s="63">
        <v>415</v>
      </c>
      <c r="C9" s="47" t="s">
        <v>36</v>
      </c>
      <c r="D9" s="74"/>
      <c r="E9" s="72"/>
      <c r="F9" s="39"/>
      <c r="G9" s="39"/>
      <c r="H9" s="39"/>
      <c r="I9" s="72" t="s">
        <v>37</v>
      </c>
      <c r="J9" s="37" t="s">
        <v>28</v>
      </c>
      <c r="K9" s="39">
        <v>1.05</v>
      </c>
      <c r="L9" s="39">
        <f>20/1000*K9*F5</f>
        <v>7.3181010000000005E-2</v>
      </c>
      <c r="M9" s="39"/>
      <c r="N9" s="73">
        <f t="shared" si="1"/>
        <v>0</v>
      </c>
    </row>
    <row r="10" spans="1:46" ht="15" thickBot="1" x14ac:dyDescent="0.4">
      <c r="A10" s="37" t="s">
        <v>22</v>
      </c>
      <c r="B10" s="63">
        <v>416</v>
      </c>
      <c r="C10" s="47" t="s">
        <v>38</v>
      </c>
      <c r="D10" s="75" t="s">
        <v>39</v>
      </c>
      <c r="E10" s="76" t="s">
        <v>19</v>
      </c>
      <c r="F10" s="77">
        <v>38.1</v>
      </c>
      <c r="G10" s="77"/>
      <c r="H10" s="78">
        <f t="shared" ref="H10" si="2">G10*F10</f>
        <v>0</v>
      </c>
      <c r="I10" s="79" t="s">
        <v>40</v>
      </c>
      <c r="J10" s="76" t="s">
        <v>19</v>
      </c>
      <c r="K10" s="77">
        <v>1.05</v>
      </c>
      <c r="L10" s="77">
        <f>K10*F10</f>
        <v>40.005000000000003</v>
      </c>
      <c r="M10" s="77"/>
      <c r="N10" s="80">
        <f t="shared" si="1"/>
        <v>0</v>
      </c>
    </row>
    <row r="11" spans="1:46" ht="15" thickBot="1" x14ac:dyDescent="0.4">
      <c r="A11" s="37" t="s">
        <v>22</v>
      </c>
      <c r="B11" s="63">
        <v>417</v>
      </c>
      <c r="C11" s="47" t="s">
        <v>41</v>
      </c>
      <c r="D11" s="81" t="s">
        <v>42</v>
      </c>
      <c r="E11" s="82"/>
      <c r="F11" s="83"/>
      <c r="G11" s="83"/>
      <c r="H11" s="84"/>
      <c r="I11" s="85"/>
      <c r="J11" s="82"/>
      <c r="K11" s="83"/>
      <c r="L11" s="83"/>
      <c r="M11" s="83"/>
      <c r="N11" s="86"/>
    </row>
    <row r="12" spans="1:46" ht="29" x14ac:dyDescent="0.35">
      <c r="A12" s="37" t="s">
        <v>22</v>
      </c>
      <c r="B12" s="63">
        <v>418</v>
      </c>
      <c r="C12" s="47" t="s">
        <v>43</v>
      </c>
      <c r="D12" s="87" t="s">
        <v>27</v>
      </c>
      <c r="E12" s="88" t="s">
        <v>28</v>
      </c>
      <c r="F12" s="40">
        <f>713.25/1000</f>
        <v>0.71325000000000005</v>
      </c>
      <c r="G12" s="40"/>
      <c r="H12" s="40">
        <f t="shared" ref="H12" si="3">G12*F12</f>
        <v>0</v>
      </c>
      <c r="I12" s="89" t="s">
        <v>44</v>
      </c>
      <c r="J12" s="88" t="s">
        <v>28</v>
      </c>
      <c r="K12" s="40">
        <v>1.06</v>
      </c>
      <c r="L12" s="40">
        <f>713.25*K12/1000</f>
        <v>0.75604500000000008</v>
      </c>
      <c r="M12" s="40"/>
      <c r="N12" s="90">
        <f t="shared" ref="N12:N14" si="4">M12*L12</f>
        <v>0</v>
      </c>
    </row>
    <row r="13" spans="1:46" x14ac:dyDescent="0.35">
      <c r="A13" s="37" t="s">
        <v>22</v>
      </c>
      <c r="B13" s="63">
        <v>419</v>
      </c>
      <c r="C13" s="47" t="s">
        <v>45</v>
      </c>
      <c r="D13" s="75"/>
      <c r="E13" s="76"/>
      <c r="F13" s="77"/>
      <c r="G13" s="77"/>
      <c r="H13" s="78"/>
      <c r="I13" s="72" t="s">
        <v>37</v>
      </c>
      <c r="J13" s="37" t="s">
        <v>28</v>
      </c>
      <c r="K13" s="39">
        <v>1.06</v>
      </c>
      <c r="L13" s="39">
        <f>20/1000*K13*F12</f>
        <v>1.5120900000000001E-2</v>
      </c>
      <c r="M13" s="39"/>
      <c r="N13" s="73">
        <f t="shared" si="4"/>
        <v>0</v>
      </c>
    </row>
    <row r="14" spans="1:46" ht="15" thickBot="1" x14ac:dyDescent="0.4">
      <c r="A14" s="37" t="s">
        <v>22</v>
      </c>
      <c r="B14" s="63">
        <v>420</v>
      </c>
      <c r="C14" s="47" t="s">
        <v>46</v>
      </c>
      <c r="D14" s="91" t="s">
        <v>39</v>
      </c>
      <c r="E14" s="92" t="s">
        <v>19</v>
      </c>
      <c r="F14" s="93">
        <v>11</v>
      </c>
      <c r="G14" s="93"/>
      <c r="H14" s="94">
        <f t="shared" ref="H14" si="5">G14*F14</f>
        <v>0</v>
      </c>
      <c r="I14" s="95" t="s">
        <v>40</v>
      </c>
      <c r="J14" s="92" t="s">
        <v>19</v>
      </c>
      <c r="K14" s="93">
        <v>1.05</v>
      </c>
      <c r="L14" s="93">
        <f>K14*F14</f>
        <v>11.55</v>
      </c>
      <c r="M14" s="93"/>
      <c r="N14" s="96">
        <f t="shared" si="4"/>
        <v>0</v>
      </c>
    </row>
    <row r="15" spans="1:46" ht="15" thickBot="1" x14ac:dyDescent="0.4">
      <c r="A15" s="37" t="s">
        <v>22</v>
      </c>
      <c r="B15" s="63">
        <v>421</v>
      </c>
      <c r="C15" s="47" t="s">
        <v>47</v>
      </c>
      <c r="D15" s="81" t="s">
        <v>48</v>
      </c>
      <c r="E15" s="82"/>
      <c r="F15" s="97"/>
      <c r="G15" s="98"/>
      <c r="H15" s="99"/>
      <c r="I15" s="85"/>
      <c r="J15" s="82"/>
      <c r="K15" s="83"/>
      <c r="L15" s="97"/>
      <c r="M15" s="98"/>
      <c r="N15" s="86"/>
    </row>
    <row r="16" spans="1:46" ht="29" x14ac:dyDescent="0.35">
      <c r="A16" s="37" t="s">
        <v>22</v>
      </c>
      <c r="B16" s="63">
        <v>422</v>
      </c>
      <c r="C16" s="47" t="s">
        <v>49</v>
      </c>
      <c r="D16" s="87" t="s">
        <v>27</v>
      </c>
      <c r="E16" s="88" t="s">
        <v>28</v>
      </c>
      <c r="F16" s="40">
        <f>94.14/1000</f>
        <v>9.4140000000000001E-2</v>
      </c>
      <c r="G16" s="40"/>
      <c r="H16" s="40">
        <f t="shared" ref="H16" si="6">G16*F16</f>
        <v>0</v>
      </c>
      <c r="I16" s="89" t="s">
        <v>44</v>
      </c>
      <c r="J16" s="88" t="s">
        <v>28</v>
      </c>
      <c r="K16" s="40">
        <v>1.06</v>
      </c>
      <c r="L16" s="100">
        <f>7.99*K16/1000</f>
        <v>8.4694000000000002E-3</v>
      </c>
      <c r="M16" s="100"/>
      <c r="N16" s="90">
        <f t="shared" ref="N16:N22" si="7">M16*L16</f>
        <v>0</v>
      </c>
    </row>
    <row r="17" spans="1:14" x14ac:dyDescent="0.35">
      <c r="A17" s="37" t="s">
        <v>22</v>
      </c>
      <c r="B17" s="63">
        <v>423</v>
      </c>
      <c r="C17" s="47" t="s">
        <v>50</v>
      </c>
      <c r="D17" s="101"/>
      <c r="E17" s="37"/>
      <c r="F17" s="39"/>
      <c r="G17" s="39"/>
      <c r="H17" s="39"/>
      <c r="I17" s="72" t="s">
        <v>31</v>
      </c>
      <c r="J17" s="37" t="s">
        <v>28</v>
      </c>
      <c r="K17" s="39">
        <v>1.06</v>
      </c>
      <c r="L17" s="53">
        <f>59.23*K17/1000</f>
        <v>6.2783800000000001E-2</v>
      </c>
      <c r="M17" s="53"/>
      <c r="N17" s="73">
        <f t="shared" si="7"/>
        <v>0</v>
      </c>
    </row>
    <row r="18" spans="1:14" x14ac:dyDescent="0.35">
      <c r="A18" s="37" t="s">
        <v>22</v>
      </c>
      <c r="B18" s="63">
        <v>424</v>
      </c>
      <c r="C18" s="47" t="s">
        <v>51</v>
      </c>
      <c r="D18" s="101"/>
      <c r="E18" s="37"/>
      <c r="F18" s="39"/>
      <c r="G18" s="39"/>
      <c r="H18" s="39"/>
      <c r="I18" s="72" t="s">
        <v>33</v>
      </c>
      <c r="J18" s="37" t="s">
        <v>28</v>
      </c>
      <c r="K18" s="39">
        <v>1.06</v>
      </c>
      <c r="L18" s="53">
        <f>15.08*K18/1000</f>
        <v>1.59848E-2</v>
      </c>
      <c r="M18" s="53"/>
      <c r="N18" s="73">
        <f t="shared" si="7"/>
        <v>0</v>
      </c>
    </row>
    <row r="19" spans="1:14" x14ac:dyDescent="0.35">
      <c r="A19" s="37" t="s">
        <v>22</v>
      </c>
      <c r="B19" s="63">
        <v>425</v>
      </c>
      <c r="C19" s="47" t="s">
        <v>52</v>
      </c>
      <c r="D19" s="102"/>
      <c r="E19" s="72"/>
      <c r="F19" s="39"/>
      <c r="G19" s="39"/>
      <c r="H19" s="39"/>
      <c r="I19" s="72" t="s">
        <v>35</v>
      </c>
      <c r="J19" s="37" t="s">
        <v>28</v>
      </c>
      <c r="K19" s="39">
        <v>1.06</v>
      </c>
      <c r="L19" s="53">
        <f>0.66*K19/1000</f>
        <v>6.9960000000000009E-4</v>
      </c>
      <c r="M19" s="53"/>
      <c r="N19" s="73">
        <f t="shared" si="7"/>
        <v>0</v>
      </c>
    </row>
    <row r="20" spans="1:14" x14ac:dyDescent="0.35">
      <c r="A20" s="37" t="s">
        <v>22</v>
      </c>
      <c r="B20" s="63">
        <v>426</v>
      </c>
      <c r="C20" s="47" t="s">
        <v>53</v>
      </c>
      <c r="D20" s="102"/>
      <c r="E20" s="72"/>
      <c r="F20" s="39"/>
      <c r="G20" s="39"/>
      <c r="H20" s="39"/>
      <c r="I20" s="72" t="s">
        <v>54</v>
      </c>
      <c r="J20" s="37" t="s">
        <v>28</v>
      </c>
      <c r="K20" s="39">
        <v>1.06</v>
      </c>
      <c r="L20" s="53">
        <f>11.18*K20/1000</f>
        <v>1.18508E-2</v>
      </c>
      <c r="M20" s="53"/>
      <c r="N20" s="73">
        <f t="shared" si="7"/>
        <v>0</v>
      </c>
    </row>
    <row r="21" spans="1:14" x14ac:dyDescent="0.35">
      <c r="A21" s="37" t="s">
        <v>22</v>
      </c>
      <c r="B21" s="63">
        <v>427</v>
      </c>
      <c r="C21" s="47" t="s">
        <v>55</v>
      </c>
      <c r="D21" s="102"/>
      <c r="E21" s="72"/>
      <c r="F21" s="39"/>
      <c r="G21" s="39"/>
      <c r="H21" s="39"/>
      <c r="I21" s="72" t="s">
        <v>37</v>
      </c>
      <c r="J21" s="37" t="s">
        <v>28</v>
      </c>
      <c r="K21" s="39">
        <v>1.06</v>
      </c>
      <c r="L21" s="53">
        <f>20/1000*K21*F16</f>
        <v>1.9957680000000002E-3</v>
      </c>
      <c r="M21" s="53"/>
      <c r="N21" s="73">
        <f t="shared" si="7"/>
        <v>0</v>
      </c>
    </row>
    <row r="22" spans="1:14" ht="15" thickBot="1" x14ac:dyDescent="0.4">
      <c r="A22" s="37" t="s">
        <v>22</v>
      </c>
      <c r="B22" s="63">
        <v>428</v>
      </c>
      <c r="C22" s="47" t="s">
        <v>56</v>
      </c>
      <c r="D22" s="91" t="s">
        <v>39</v>
      </c>
      <c r="E22" s="92" t="s">
        <v>19</v>
      </c>
      <c r="F22" s="93">
        <v>1.2</v>
      </c>
      <c r="G22" s="54"/>
      <c r="H22" s="103">
        <f t="shared" ref="H22" si="8">G22*F22</f>
        <v>0</v>
      </c>
      <c r="I22" s="95" t="s">
        <v>40</v>
      </c>
      <c r="J22" s="92" t="s">
        <v>19</v>
      </c>
      <c r="K22" s="93">
        <v>1.05</v>
      </c>
      <c r="L22" s="54">
        <f>K22*F22</f>
        <v>1.26</v>
      </c>
      <c r="M22" s="54"/>
      <c r="N22" s="96">
        <f t="shared" si="7"/>
        <v>0</v>
      </c>
    </row>
    <row r="23" spans="1:14" ht="16.5" thickBot="1" x14ac:dyDescent="0.45">
      <c r="A23" s="37" t="s">
        <v>22</v>
      </c>
      <c r="B23" s="63">
        <v>429</v>
      </c>
      <c r="C23" s="47" t="s">
        <v>57</v>
      </c>
      <c r="D23" s="104"/>
      <c r="E23" s="105"/>
      <c r="F23" s="106"/>
      <c r="G23" s="107" t="s">
        <v>58</v>
      </c>
      <c r="H23" s="106"/>
      <c r="I23" s="108"/>
      <c r="J23" s="105"/>
      <c r="K23" s="106"/>
      <c r="L23" s="106"/>
      <c r="M23" s="106"/>
      <c r="N23" s="109"/>
    </row>
    <row r="24" spans="1:14" ht="16" x14ac:dyDescent="0.4">
      <c r="A24" s="37" t="s">
        <v>22</v>
      </c>
      <c r="B24" s="63">
        <v>430</v>
      </c>
      <c r="C24" s="47" t="s">
        <v>59</v>
      </c>
      <c r="D24" s="110" t="s">
        <v>24</v>
      </c>
      <c r="E24" s="88" t="s">
        <v>25</v>
      </c>
      <c r="F24" s="40">
        <f>31.5/0.25</f>
        <v>126</v>
      </c>
      <c r="G24" s="111"/>
      <c r="H24" s="40">
        <f t="shared" ref="H24:H25" si="9">G24*F24</f>
        <v>0</v>
      </c>
      <c r="I24" s="112"/>
      <c r="J24" s="88"/>
      <c r="K24" s="40"/>
      <c r="L24" s="40"/>
      <c r="M24" s="40"/>
      <c r="N24" s="90"/>
    </row>
    <row r="25" spans="1:14" ht="29" x14ac:dyDescent="0.35">
      <c r="A25" s="37" t="s">
        <v>22</v>
      </c>
      <c r="B25" s="63">
        <v>431</v>
      </c>
      <c r="C25" s="47" t="s">
        <v>60</v>
      </c>
      <c r="D25" s="101" t="s">
        <v>27</v>
      </c>
      <c r="E25" s="37" t="s">
        <v>28</v>
      </c>
      <c r="F25" s="113">
        <f>8881.69/1000</f>
        <v>8.8816900000000008</v>
      </c>
      <c r="G25" s="53"/>
      <c r="H25" s="39">
        <f t="shared" si="9"/>
        <v>0</v>
      </c>
      <c r="I25" s="72" t="s">
        <v>61</v>
      </c>
      <c r="J25" s="37" t="s">
        <v>28</v>
      </c>
      <c r="K25" s="39">
        <v>1.06</v>
      </c>
      <c r="L25" s="53">
        <f>1620.32*K25/1000</f>
        <v>1.7175392</v>
      </c>
      <c r="M25" s="53"/>
      <c r="N25" s="73">
        <f t="shared" ref="N25:N31" si="10">M25*L25</f>
        <v>0</v>
      </c>
    </row>
    <row r="26" spans="1:14" x14ac:dyDescent="0.35">
      <c r="A26" s="37" t="s">
        <v>22</v>
      </c>
      <c r="B26" s="63">
        <v>432</v>
      </c>
      <c r="C26" s="47" t="s">
        <v>62</v>
      </c>
      <c r="D26" s="101"/>
      <c r="E26" s="37"/>
      <c r="F26" s="39"/>
      <c r="G26" s="39"/>
      <c r="H26" s="39"/>
      <c r="I26" s="72" t="s">
        <v>29</v>
      </c>
      <c r="J26" s="37" t="s">
        <v>28</v>
      </c>
      <c r="K26" s="39">
        <v>1.06</v>
      </c>
      <c r="L26" s="53">
        <f>1012.46*K26/1000</f>
        <v>1.0732076000000002</v>
      </c>
      <c r="M26" s="53"/>
      <c r="N26" s="73">
        <f t="shared" si="10"/>
        <v>0</v>
      </c>
    </row>
    <row r="27" spans="1:14" x14ac:dyDescent="0.35">
      <c r="A27" s="37" t="s">
        <v>22</v>
      </c>
      <c r="B27" s="63">
        <v>433</v>
      </c>
      <c r="C27" s="47" t="s">
        <v>63</v>
      </c>
      <c r="D27" s="101"/>
      <c r="E27" s="37"/>
      <c r="F27" s="39"/>
      <c r="G27" s="39"/>
      <c r="H27" s="39"/>
      <c r="I27" s="72" t="s">
        <v>44</v>
      </c>
      <c r="J27" s="37" t="s">
        <v>28</v>
      </c>
      <c r="K27" s="39">
        <v>1.06</v>
      </c>
      <c r="L27" s="53">
        <f>5410.58*K27/1000</f>
        <v>5.7352148000000005</v>
      </c>
      <c r="M27" s="53"/>
      <c r="N27" s="73">
        <f t="shared" si="10"/>
        <v>0</v>
      </c>
    </row>
    <row r="28" spans="1:14" x14ac:dyDescent="0.35">
      <c r="A28" s="37" t="s">
        <v>22</v>
      </c>
      <c r="B28" s="63">
        <v>434</v>
      </c>
      <c r="C28" s="47" t="s">
        <v>64</v>
      </c>
      <c r="D28" s="102"/>
      <c r="E28" s="72"/>
      <c r="F28" s="39"/>
      <c r="G28" s="39"/>
      <c r="H28" s="39"/>
      <c r="I28" s="72" t="s">
        <v>31</v>
      </c>
      <c r="J28" s="37" t="s">
        <v>28</v>
      </c>
      <c r="K28" s="39">
        <v>1.06</v>
      </c>
      <c r="L28" s="53">
        <f>731.91*K28/1000</f>
        <v>0.77582460000000009</v>
      </c>
      <c r="M28" s="53"/>
      <c r="N28" s="73">
        <f t="shared" si="10"/>
        <v>0</v>
      </c>
    </row>
    <row r="29" spans="1:14" x14ac:dyDescent="0.35">
      <c r="A29" s="37" t="s">
        <v>22</v>
      </c>
      <c r="B29" s="63">
        <v>435</v>
      </c>
      <c r="C29" s="47" t="s">
        <v>65</v>
      </c>
      <c r="D29" s="102"/>
      <c r="E29" s="72"/>
      <c r="F29" s="39"/>
      <c r="G29" s="39"/>
      <c r="H29" s="39"/>
      <c r="I29" s="72" t="s">
        <v>54</v>
      </c>
      <c r="J29" s="37" t="s">
        <v>28</v>
      </c>
      <c r="K29" s="39">
        <v>1.06</v>
      </c>
      <c r="L29" s="53">
        <f>106.42*K29/1000</f>
        <v>0.11280520000000001</v>
      </c>
      <c r="M29" s="53"/>
      <c r="N29" s="73">
        <f t="shared" si="10"/>
        <v>0</v>
      </c>
    </row>
    <row r="30" spans="1:14" x14ac:dyDescent="0.35">
      <c r="A30" s="37" t="s">
        <v>22</v>
      </c>
      <c r="B30" s="63">
        <v>436</v>
      </c>
      <c r="C30" s="47" t="s">
        <v>66</v>
      </c>
      <c r="D30" s="102"/>
      <c r="E30" s="72"/>
      <c r="F30" s="39"/>
      <c r="G30" s="39"/>
      <c r="H30" s="39"/>
      <c r="I30" s="72" t="s">
        <v>37</v>
      </c>
      <c r="J30" s="37" t="s">
        <v>28</v>
      </c>
      <c r="K30" s="39">
        <v>1.06</v>
      </c>
      <c r="L30" s="53">
        <f>20/1000*K30*F25</f>
        <v>0.18829182800000002</v>
      </c>
      <c r="M30" s="53"/>
      <c r="N30" s="73">
        <f t="shared" si="10"/>
        <v>0</v>
      </c>
    </row>
    <row r="31" spans="1:14" ht="15" thickBot="1" x14ac:dyDescent="0.4">
      <c r="A31" s="37" t="s">
        <v>22</v>
      </c>
      <c r="B31" s="63">
        <v>437</v>
      </c>
      <c r="C31" s="47" t="s">
        <v>67</v>
      </c>
      <c r="D31" s="91" t="s">
        <v>39</v>
      </c>
      <c r="E31" s="92" t="s">
        <v>19</v>
      </c>
      <c r="F31" s="114">
        <v>31.5</v>
      </c>
      <c r="G31" s="54"/>
      <c r="H31" s="103">
        <f t="shared" ref="H31" si="11">G31*F31</f>
        <v>0</v>
      </c>
      <c r="I31" s="95" t="s">
        <v>40</v>
      </c>
      <c r="J31" s="92" t="s">
        <v>19</v>
      </c>
      <c r="K31" s="93">
        <v>1.05</v>
      </c>
      <c r="L31" s="54">
        <f>K31*F31</f>
        <v>33.075000000000003</v>
      </c>
      <c r="M31" s="54"/>
      <c r="N31" s="96">
        <f t="shared" si="10"/>
        <v>0</v>
      </c>
    </row>
    <row r="32" spans="1:14" ht="16.5" thickBot="1" x14ac:dyDescent="0.45">
      <c r="A32" s="37" t="s">
        <v>22</v>
      </c>
      <c r="B32" s="63">
        <v>438</v>
      </c>
      <c r="C32" s="47" t="s">
        <v>68</v>
      </c>
      <c r="D32" s="115"/>
      <c r="E32" s="116"/>
      <c r="F32" s="117"/>
      <c r="G32" s="118" t="s">
        <v>69</v>
      </c>
      <c r="H32" s="117"/>
      <c r="I32" s="119"/>
      <c r="J32" s="116"/>
      <c r="K32" s="117"/>
      <c r="L32" s="117"/>
      <c r="M32" s="83"/>
      <c r="N32" s="86"/>
    </row>
    <row r="33" spans="1:14" ht="16" x14ac:dyDescent="0.4">
      <c r="A33" s="37" t="s">
        <v>22</v>
      </c>
      <c r="B33" s="63">
        <v>439</v>
      </c>
      <c r="C33" s="47" t="s">
        <v>70</v>
      </c>
      <c r="D33" s="110" t="s">
        <v>24</v>
      </c>
      <c r="E33" s="88" t="s">
        <v>25</v>
      </c>
      <c r="F33" s="40">
        <f>32.1/0.3</f>
        <v>107.00000000000001</v>
      </c>
      <c r="G33" s="111"/>
      <c r="H33" s="40">
        <f t="shared" ref="H33:H34" si="12">G33*F33</f>
        <v>0</v>
      </c>
      <c r="I33" s="112"/>
      <c r="J33" s="88"/>
      <c r="K33" s="40"/>
      <c r="L33" s="40"/>
      <c r="M33" s="40"/>
      <c r="N33" s="90"/>
    </row>
    <row r="34" spans="1:14" ht="29" x14ac:dyDescent="0.35">
      <c r="A34" s="37" t="s">
        <v>22</v>
      </c>
      <c r="B34" s="63">
        <v>440</v>
      </c>
      <c r="C34" s="47" t="s">
        <v>71</v>
      </c>
      <c r="D34" s="101" t="s">
        <v>27</v>
      </c>
      <c r="E34" s="37" t="s">
        <v>28</v>
      </c>
      <c r="F34" s="113">
        <f>5850.32/1000</f>
        <v>5.85032</v>
      </c>
      <c r="G34" s="53"/>
      <c r="H34" s="39">
        <f t="shared" si="12"/>
        <v>0</v>
      </c>
      <c r="I34" s="72" t="s">
        <v>61</v>
      </c>
      <c r="J34" s="37" t="s">
        <v>28</v>
      </c>
      <c r="K34" s="39">
        <v>1.06</v>
      </c>
      <c r="L34" s="53">
        <f>321.1*K34/1000</f>
        <v>0.34036600000000006</v>
      </c>
      <c r="M34" s="53"/>
      <c r="N34" s="73">
        <f t="shared" ref="N34:N39" si="13">M34*L34</f>
        <v>0</v>
      </c>
    </row>
    <row r="35" spans="1:14" x14ac:dyDescent="0.35">
      <c r="A35" s="37" t="s">
        <v>22</v>
      </c>
      <c r="B35" s="63">
        <v>441</v>
      </c>
      <c r="C35" s="47" t="s">
        <v>72</v>
      </c>
      <c r="D35" s="101"/>
      <c r="E35" s="37"/>
      <c r="F35" s="39"/>
      <c r="G35" s="39"/>
      <c r="H35" s="39"/>
      <c r="I35" s="72" t="s">
        <v>29</v>
      </c>
      <c r="J35" s="37" t="s">
        <v>28</v>
      </c>
      <c r="K35" s="39">
        <v>1.06</v>
      </c>
      <c r="L35" s="53">
        <f>199.08*K35/1000</f>
        <v>0.21102480000000004</v>
      </c>
      <c r="M35" s="53"/>
      <c r="N35" s="73">
        <f t="shared" si="13"/>
        <v>0</v>
      </c>
    </row>
    <row r="36" spans="1:14" x14ac:dyDescent="0.35">
      <c r="A36" s="37" t="s">
        <v>22</v>
      </c>
      <c r="B36" s="63">
        <v>442</v>
      </c>
      <c r="C36" s="47" t="s">
        <v>73</v>
      </c>
      <c r="D36" s="101"/>
      <c r="E36" s="37"/>
      <c r="F36" s="39"/>
      <c r="G36" s="39"/>
      <c r="H36" s="39"/>
      <c r="I36" s="72" t="s">
        <v>44</v>
      </c>
      <c r="J36" s="37" t="s">
        <v>28</v>
      </c>
      <c r="K36" s="39">
        <v>1.06</v>
      </c>
      <c r="L36" s="53">
        <f>4661.11*K36/1000</f>
        <v>4.9407766000000004</v>
      </c>
      <c r="M36" s="53"/>
      <c r="N36" s="73">
        <f t="shared" si="13"/>
        <v>0</v>
      </c>
    </row>
    <row r="37" spans="1:14" x14ac:dyDescent="0.35">
      <c r="A37" s="37" t="s">
        <v>22</v>
      </c>
      <c r="B37" s="63">
        <v>443</v>
      </c>
      <c r="C37" s="47" t="s">
        <v>74</v>
      </c>
      <c r="D37" s="102"/>
      <c r="E37" s="72"/>
      <c r="F37" s="39"/>
      <c r="G37" s="39"/>
      <c r="H37" s="39"/>
      <c r="I37" s="72" t="s">
        <v>31</v>
      </c>
      <c r="J37" s="37" t="s">
        <v>28</v>
      </c>
      <c r="K37" s="39">
        <v>1.06</v>
      </c>
      <c r="L37" s="53">
        <f>669.03*K37/1000</f>
        <v>0.70917179999999991</v>
      </c>
      <c r="M37" s="53"/>
      <c r="N37" s="73">
        <f t="shared" si="13"/>
        <v>0</v>
      </c>
    </row>
    <row r="38" spans="1:14" x14ac:dyDescent="0.35">
      <c r="A38" s="37" t="s">
        <v>22</v>
      </c>
      <c r="B38" s="63">
        <v>444</v>
      </c>
      <c r="C38" s="47" t="s">
        <v>75</v>
      </c>
      <c r="D38" s="102"/>
      <c r="E38" s="72"/>
      <c r="F38" s="39"/>
      <c r="G38" s="39"/>
      <c r="H38" s="39"/>
      <c r="I38" s="72" t="s">
        <v>37</v>
      </c>
      <c r="J38" s="37" t="s">
        <v>28</v>
      </c>
      <c r="K38" s="39">
        <v>1.06</v>
      </c>
      <c r="L38" s="53">
        <f>20/1000*K38*F34</f>
        <v>0.124026784</v>
      </c>
      <c r="M38" s="53"/>
      <c r="N38" s="73">
        <f t="shared" si="13"/>
        <v>0</v>
      </c>
    </row>
    <row r="39" spans="1:14" ht="15" thickBot="1" x14ac:dyDescent="0.4">
      <c r="A39" s="37" t="s">
        <v>22</v>
      </c>
      <c r="B39" s="63">
        <v>445</v>
      </c>
      <c r="C39" s="47" t="s">
        <v>76</v>
      </c>
      <c r="D39" s="91" t="s">
        <v>39</v>
      </c>
      <c r="E39" s="92" t="s">
        <v>19</v>
      </c>
      <c r="F39" s="114">
        <v>32.1</v>
      </c>
      <c r="G39" s="54"/>
      <c r="H39" s="103">
        <f t="shared" ref="H39" si="14">G39*F39</f>
        <v>0</v>
      </c>
      <c r="I39" s="95" t="s">
        <v>40</v>
      </c>
      <c r="J39" s="92" t="s">
        <v>19</v>
      </c>
      <c r="K39" s="93">
        <v>1.05</v>
      </c>
      <c r="L39" s="54">
        <f>K39*F39</f>
        <v>33.705000000000005</v>
      </c>
      <c r="M39" s="54"/>
      <c r="N39" s="96">
        <f t="shared" si="13"/>
        <v>0</v>
      </c>
    </row>
    <row r="40" spans="1:14" ht="16.5" thickBot="1" x14ac:dyDescent="0.45">
      <c r="A40" s="37" t="s">
        <v>22</v>
      </c>
      <c r="B40" s="63">
        <v>446</v>
      </c>
      <c r="C40" s="47" t="s">
        <v>77</v>
      </c>
      <c r="D40" s="115"/>
      <c r="E40" s="116"/>
      <c r="F40" s="117"/>
      <c r="G40" s="118" t="s">
        <v>78</v>
      </c>
      <c r="H40" s="117"/>
      <c r="I40" s="119"/>
      <c r="J40" s="116"/>
      <c r="K40" s="117"/>
      <c r="L40" s="117"/>
      <c r="M40" s="83"/>
      <c r="N40" s="86"/>
    </row>
    <row r="41" spans="1:14" ht="29" x14ac:dyDescent="0.35">
      <c r="A41" s="37" t="s">
        <v>22</v>
      </c>
      <c r="B41" s="63">
        <v>447</v>
      </c>
      <c r="C41" s="47" t="s">
        <v>79</v>
      </c>
      <c r="D41" s="120" t="s">
        <v>27</v>
      </c>
      <c r="E41" s="88" t="s">
        <v>28</v>
      </c>
      <c r="F41" s="121">
        <f>(584.45+436.74)/1000</f>
        <v>1.02119</v>
      </c>
      <c r="G41" s="100"/>
      <c r="H41" s="122">
        <f t="shared" ref="H41" si="15">G41*F41</f>
        <v>0</v>
      </c>
      <c r="I41" s="89" t="s">
        <v>80</v>
      </c>
      <c r="J41" s="88" t="s">
        <v>28</v>
      </c>
      <c r="K41" s="40">
        <v>1.06</v>
      </c>
      <c r="L41" s="100">
        <f>(358.82+240.24)*K41/1000</f>
        <v>0.6350036</v>
      </c>
      <c r="M41" s="53"/>
      <c r="N41" s="90">
        <f t="shared" ref="N41:N45" si="16">M41*L41</f>
        <v>0</v>
      </c>
    </row>
    <row r="42" spans="1:14" x14ac:dyDescent="0.35">
      <c r="A42" s="37" t="s">
        <v>22</v>
      </c>
      <c r="B42" s="63">
        <v>448</v>
      </c>
      <c r="C42" s="47" t="s">
        <v>81</v>
      </c>
      <c r="D42" s="71"/>
      <c r="E42" s="37"/>
      <c r="F42" s="39"/>
      <c r="G42" s="39"/>
      <c r="H42" s="39"/>
      <c r="I42" s="72" t="s">
        <v>29</v>
      </c>
      <c r="J42" s="37" t="s">
        <v>28</v>
      </c>
      <c r="K42" s="39">
        <v>1.06</v>
      </c>
      <c r="L42" s="53">
        <f>(47.4+35.08)*K42/1000</f>
        <v>8.7428800000000001E-2</v>
      </c>
      <c r="M42" s="53"/>
      <c r="N42" s="73">
        <f t="shared" si="16"/>
        <v>0</v>
      </c>
    </row>
    <row r="43" spans="1:14" x14ac:dyDescent="0.35">
      <c r="A43" s="37" t="s">
        <v>22</v>
      </c>
      <c r="B43" s="63">
        <v>449</v>
      </c>
      <c r="C43" s="47" t="s">
        <v>82</v>
      </c>
      <c r="D43" s="71"/>
      <c r="E43" s="37"/>
      <c r="F43" s="39"/>
      <c r="G43" s="39"/>
      <c r="H43" s="39"/>
      <c r="I43" s="72" t="s">
        <v>83</v>
      </c>
      <c r="J43" s="37" t="s">
        <v>28</v>
      </c>
      <c r="K43" s="39">
        <v>1.06</v>
      </c>
      <c r="L43" s="53">
        <f>(165.67+150.04)*K43/1000</f>
        <v>0.33465260000000002</v>
      </c>
      <c r="M43" s="53"/>
      <c r="N43" s="73">
        <f t="shared" si="16"/>
        <v>0</v>
      </c>
    </row>
    <row r="44" spans="1:14" x14ac:dyDescent="0.35">
      <c r="A44" s="37" t="s">
        <v>22</v>
      </c>
      <c r="B44" s="63">
        <v>450</v>
      </c>
      <c r="C44" s="47" t="s">
        <v>84</v>
      </c>
      <c r="D44" s="74"/>
      <c r="E44" s="72"/>
      <c r="F44" s="39"/>
      <c r="G44" s="39"/>
      <c r="H44" s="39"/>
      <c r="I44" s="72" t="s">
        <v>54</v>
      </c>
      <c r="J44" s="37" t="s">
        <v>28</v>
      </c>
      <c r="K44" s="39">
        <v>1.06</v>
      </c>
      <c r="L44" s="53">
        <f>(12.56+11.38)*K44/1000</f>
        <v>2.5376400000000004E-2</v>
      </c>
      <c r="M44" s="53"/>
      <c r="N44" s="73">
        <f t="shared" si="16"/>
        <v>0</v>
      </c>
    </row>
    <row r="45" spans="1:14" ht="15" thickBot="1" x14ac:dyDescent="0.4">
      <c r="A45" s="37" t="s">
        <v>22</v>
      </c>
      <c r="B45" s="63">
        <v>451</v>
      </c>
      <c r="C45" s="47" t="s">
        <v>85</v>
      </c>
      <c r="D45" s="123"/>
      <c r="E45" s="95"/>
      <c r="F45" s="93"/>
      <c r="G45" s="93"/>
      <c r="H45" s="93"/>
      <c r="I45" s="95" t="s">
        <v>37</v>
      </c>
      <c r="J45" s="92" t="s">
        <v>28</v>
      </c>
      <c r="K45" s="93">
        <v>1.06</v>
      </c>
      <c r="L45" s="54">
        <f>20/1000*K45*F41</f>
        <v>2.1649228E-2</v>
      </c>
      <c r="M45" s="53"/>
      <c r="N45" s="96">
        <f t="shared" si="16"/>
        <v>0</v>
      </c>
    </row>
    <row r="46" spans="1:14" ht="21.5" thickBot="1" x14ac:dyDescent="0.55000000000000004">
      <c r="A46" s="124"/>
      <c r="B46" s="125">
        <v>439</v>
      </c>
      <c r="C46" s="126"/>
      <c r="D46" s="127" t="s">
        <v>86</v>
      </c>
      <c r="E46" s="128"/>
      <c r="F46" s="129"/>
      <c r="G46" s="129"/>
      <c r="H46" s="130">
        <f>SUM(H4:H45)</f>
        <v>0</v>
      </c>
      <c r="I46" s="131"/>
      <c r="J46" s="132"/>
      <c r="K46" s="133"/>
      <c r="L46" s="133"/>
      <c r="M46" s="133"/>
      <c r="N46" s="130">
        <f>SUM(N4:N45)</f>
        <v>0</v>
      </c>
    </row>
    <row r="47" spans="1:14" ht="21.5" thickBot="1" x14ac:dyDescent="0.55000000000000004">
      <c r="A47" s="55"/>
      <c r="B47" s="56">
        <v>440</v>
      </c>
      <c r="C47" s="57" t="s">
        <v>87</v>
      </c>
      <c r="D47" s="58"/>
      <c r="E47" s="62"/>
      <c r="F47" s="60"/>
      <c r="G47" s="134" t="s">
        <v>88</v>
      </c>
      <c r="H47" s="60"/>
      <c r="I47" s="59"/>
      <c r="J47" s="62"/>
      <c r="K47" s="60"/>
      <c r="L47" s="60"/>
      <c r="M47" s="60"/>
      <c r="N47" s="60"/>
    </row>
    <row r="48" spans="1:14" ht="15" thickBot="1" x14ac:dyDescent="0.4">
      <c r="A48" s="37" t="s">
        <v>22</v>
      </c>
      <c r="B48" s="63">
        <v>441</v>
      </c>
      <c r="C48" s="135" t="s">
        <v>89</v>
      </c>
      <c r="D48" s="136" t="s">
        <v>90</v>
      </c>
      <c r="E48" s="137" t="s">
        <v>91</v>
      </c>
      <c r="F48" s="138">
        <v>8</v>
      </c>
      <c r="G48" s="138"/>
      <c r="H48" s="138"/>
      <c r="I48" s="139"/>
      <c r="J48" s="137"/>
      <c r="K48" s="138"/>
      <c r="L48" s="138"/>
      <c r="M48" s="138"/>
      <c r="N48" s="140"/>
    </row>
    <row r="49" spans="1:14" ht="16" x14ac:dyDescent="0.4">
      <c r="A49" s="37" t="s">
        <v>22</v>
      </c>
      <c r="B49" s="63">
        <v>442</v>
      </c>
      <c r="C49" s="47" t="s">
        <v>92</v>
      </c>
      <c r="D49" s="141" t="s">
        <v>24</v>
      </c>
      <c r="E49" s="88" t="s">
        <v>25</v>
      </c>
      <c r="F49" s="40">
        <f>(8*(3.5)*0.5)*2+(8*(3.5)*0.25)*2</f>
        <v>42</v>
      </c>
      <c r="G49" s="100"/>
      <c r="H49" s="40">
        <f t="shared" ref="H49:H50" si="17">G49*F49</f>
        <v>0</v>
      </c>
      <c r="I49" s="112"/>
      <c r="J49" s="88"/>
      <c r="K49" s="40"/>
      <c r="L49" s="40"/>
      <c r="M49" s="40"/>
      <c r="N49" s="90"/>
    </row>
    <row r="50" spans="1:14" ht="29" x14ac:dyDescent="0.35">
      <c r="A50" s="37" t="s">
        <v>22</v>
      </c>
      <c r="B50" s="63">
        <v>443</v>
      </c>
      <c r="C50" s="47" t="s">
        <v>93</v>
      </c>
      <c r="D50" s="71" t="s">
        <v>27</v>
      </c>
      <c r="E50" s="37" t="s">
        <v>28</v>
      </c>
      <c r="F50" s="113">
        <f>8*78.32/1000</f>
        <v>0.62655999999999989</v>
      </c>
      <c r="G50" s="100"/>
      <c r="H50" s="39">
        <f t="shared" si="17"/>
        <v>0</v>
      </c>
      <c r="I50" s="72" t="s">
        <v>29</v>
      </c>
      <c r="J50" s="37" t="s">
        <v>28</v>
      </c>
      <c r="K50" s="39">
        <v>1.05</v>
      </c>
      <c r="L50" s="113">
        <f>8*K50*59.41/1000</f>
        <v>0.49904399999999999</v>
      </c>
      <c r="M50" s="53"/>
      <c r="N50" s="73">
        <f t="shared" ref="N50:N53" si="18">M50*L50</f>
        <v>0</v>
      </c>
    </row>
    <row r="51" spans="1:14" x14ac:dyDescent="0.35">
      <c r="A51" s="37" t="s">
        <v>22</v>
      </c>
      <c r="B51" s="63">
        <v>444</v>
      </c>
      <c r="C51" s="47" t="s">
        <v>94</v>
      </c>
      <c r="D51" s="74"/>
      <c r="E51" s="37"/>
      <c r="F51" s="39"/>
      <c r="G51" s="39"/>
      <c r="H51" s="39"/>
      <c r="I51" s="72" t="s">
        <v>54</v>
      </c>
      <c r="J51" s="37" t="s">
        <v>28</v>
      </c>
      <c r="K51" s="39">
        <v>1.05</v>
      </c>
      <c r="L51" s="113">
        <f>K51*8*18.91/1000</f>
        <v>0.15884399999999999</v>
      </c>
      <c r="M51" s="53"/>
      <c r="N51" s="73">
        <f t="shared" si="18"/>
        <v>0</v>
      </c>
    </row>
    <row r="52" spans="1:14" x14ac:dyDescent="0.35">
      <c r="A52" s="37" t="s">
        <v>22</v>
      </c>
      <c r="B52" s="63">
        <v>445</v>
      </c>
      <c r="C52" s="47" t="s">
        <v>95</v>
      </c>
      <c r="D52" s="74"/>
      <c r="E52" s="37"/>
      <c r="F52" s="39"/>
      <c r="G52" s="39"/>
      <c r="H52" s="39"/>
      <c r="I52" s="72" t="s">
        <v>37</v>
      </c>
      <c r="J52" s="37" t="s">
        <v>28</v>
      </c>
      <c r="K52" s="39">
        <v>1.05</v>
      </c>
      <c r="L52" s="113">
        <f>20/1000*K52*F50</f>
        <v>1.3157759999999999E-2</v>
      </c>
      <c r="M52" s="53"/>
      <c r="N52" s="73">
        <f t="shared" si="18"/>
        <v>0</v>
      </c>
    </row>
    <row r="53" spans="1:14" ht="15" thickBot="1" x14ac:dyDescent="0.4">
      <c r="A53" s="37" t="s">
        <v>22</v>
      </c>
      <c r="B53" s="63">
        <v>446</v>
      </c>
      <c r="C53" s="47" t="s">
        <v>96</v>
      </c>
      <c r="D53" s="75" t="s">
        <v>97</v>
      </c>
      <c r="E53" s="76" t="s">
        <v>19</v>
      </c>
      <c r="F53" s="142">
        <f>8*0.47</f>
        <v>3.76</v>
      </c>
      <c r="G53" s="54"/>
      <c r="H53" s="143">
        <f t="shared" ref="H53" si="19">G53*F53</f>
        <v>0</v>
      </c>
      <c r="I53" s="79" t="s">
        <v>40</v>
      </c>
      <c r="J53" s="76" t="s">
        <v>19</v>
      </c>
      <c r="K53" s="77">
        <v>1.05</v>
      </c>
      <c r="L53" s="142">
        <f>K53*F53</f>
        <v>3.948</v>
      </c>
      <c r="M53" s="54"/>
      <c r="N53" s="80">
        <f t="shared" si="18"/>
        <v>0</v>
      </c>
    </row>
    <row r="54" spans="1:14" ht="15" thickBot="1" x14ac:dyDescent="0.4">
      <c r="A54" s="37" t="s">
        <v>22</v>
      </c>
      <c r="B54" s="63">
        <v>447</v>
      </c>
      <c r="C54" s="144" t="s">
        <v>98</v>
      </c>
      <c r="D54" s="136" t="s">
        <v>99</v>
      </c>
      <c r="E54" s="145" t="s">
        <v>91</v>
      </c>
      <c r="F54" s="146">
        <v>6</v>
      </c>
      <c r="G54" s="146"/>
      <c r="H54" s="146"/>
      <c r="I54" s="147"/>
      <c r="J54" s="145"/>
      <c r="K54" s="146"/>
      <c r="L54" s="146"/>
      <c r="M54" s="146"/>
      <c r="N54" s="148"/>
    </row>
    <row r="55" spans="1:14" ht="16" x14ac:dyDescent="0.4">
      <c r="A55" s="37" t="s">
        <v>22</v>
      </c>
      <c r="B55" s="63">
        <v>448</v>
      </c>
      <c r="C55" s="47" t="s">
        <v>100</v>
      </c>
      <c r="D55" s="141" t="s">
        <v>24</v>
      </c>
      <c r="E55" s="88" t="s">
        <v>25</v>
      </c>
      <c r="F55" s="40">
        <f>(6*(2.91)*0.5)*2+(6*(2.91)*0.25)*2</f>
        <v>26.19</v>
      </c>
      <c r="G55" s="100"/>
      <c r="H55" s="40">
        <f t="shared" ref="H55:H56" si="20">G55*F55</f>
        <v>0</v>
      </c>
      <c r="I55" s="112"/>
      <c r="J55" s="88"/>
      <c r="K55" s="40"/>
      <c r="L55" s="40"/>
      <c r="M55" s="40"/>
      <c r="N55" s="90"/>
    </row>
    <row r="56" spans="1:14" ht="29" x14ac:dyDescent="0.35">
      <c r="A56" s="37" t="s">
        <v>22</v>
      </c>
      <c r="B56" s="63">
        <v>449</v>
      </c>
      <c r="C56" s="47" t="s">
        <v>101</v>
      </c>
      <c r="D56" s="71" t="s">
        <v>27</v>
      </c>
      <c r="E56" s="37" t="s">
        <v>28</v>
      </c>
      <c r="F56" s="113">
        <f>6*82.21/1000</f>
        <v>0.49325999999999998</v>
      </c>
      <c r="G56" s="100"/>
      <c r="H56" s="39">
        <f t="shared" si="20"/>
        <v>0</v>
      </c>
      <c r="I56" s="72" t="s">
        <v>61</v>
      </c>
      <c r="J56" s="37" t="s">
        <v>28</v>
      </c>
      <c r="K56" s="39">
        <v>1.05</v>
      </c>
      <c r="L56" s="113">
        <f>6*K56*66/1000</f>
        <v>0.41580000000000006</v>
      </c>
      <c r="M56" s="53"/>
      <c r="N56" s="73">
        <f t="shared" ref="N56:N59" si="21">M56*L56</f>
        <v>0</v>
      </c>
    </row>
    <row r="57" spans="1:14" x14ac:dyDescent="0.35">
      <c r="A57" s="37" t="s">
        <v>22</v>
      </c>
      <c r="B57" s="63">
        <v>450</v>
      </c>
      <c r="C57" s="47" t="s">
        <v>102</v>
      </c>
      <c r="D57" s="74"/>
      <c r="E57" s="37"/>
      <c r="F57" s="39"/>
      <c r="G57" s="39"/>
      <c r="H57" s="39"/>
      <c r="I57" s="72" t="s">
        <v>54</v>
      </c>
      <c r="J57" s="37" t="s">
        <v>28</v>
      </c>
      <c r="K57" s="39">
        <v>1.05</v>
      </c>
      <c r="L57" s="113">
        <f>K57*6*16.21/1000</f>
        <v>0.10212300000000002</v>
      </c>
      <c r="M57" s="53"/>
      <c r="N57" s="73">
        <f t="shared" si="21"/>
        <v>0</v>
      </c>
    </row>
    <row r="58" spans="1:14" x14ac:dyDescent="0.35">
      <c r="A58" s="37" t="s">
        <v>22</v>
      </c>
      <c r="B58" s="63">
        <v>451</v>
      </c>
      <c r="C58" s="47" t="s">
        <v>103</v>
      </c>
      <c r="D58" s="74"/>
      <c r="E58" s="37"/>
      <c r="F58" s="39"/>
      <c r="G58" s="39"/>
      <c r="H58" s="39"/>
      <c r="I58" s="72" t="s">
        <v>37</v>
      </c>
      <c r="J58" s="37" t="s">
        <v>28</v>
      </c>
      <c r="K58" s="39">
        <v>1.05</v>
      </c>
      <c r="L58" s="113">
        <f>20/1000*K58*F56</f>
        <v>1.035846E-2</v>
      </c>
      <c r="M58" s="53"/>
      <c r="N58" s="73">
        <f t="shared" si="21"/>
        <v>0</v>
      </c>
    </row>
    <row r="59" spans="1:14" ht="15" thickBot="1" x14ac:dyDescent="0.4">
      <c r="A59" s="37" t="s">
        <v>22</v>
      </c>
      <c r="B59" s="63">
        <v>452</v>
      </c>
      <c r="C59" s="47" t="s">
        <v>104</v>
      </c>
      <c r="D59" s="75" t="s">
        <v>97</v>
      </c>
      <c r="E59" s="76" t="s">
        <v>19</v>
      </c>
      <c r="F59" s="142">
        <f>6*0.39</f>
        <v>2.34</v>
      </c>
      <c r="G59" s="54"/>
      <c r="H59" s="143">
        <f t="shared" ref="H59" si="22">G59*F59</f>
        <v>0</v>
      </c>
      <c r="I59" s="79" t="s">
        <v>40</v>
      </c>
      <c r="J59" s="76" t="s">
        <v>19</v>
      </c>
      <c r="K59" s="77">
        <v>1.05</v>
      </c>
      <c r="L59" s="142">
        <f>K59*F59</f>
        <v>2.4569999999999999</v>
      </c>
      <c r="M59" s="54"/>
      <c r="N59" s="80">
        <f t="shared" si="21"/>
        <v>0</v>
      </c>
    </row>
    <row r="60" spans="1:14" ht="15" thickBot="1" x14ac:dyDescent="0.4">
      <c r="A60" s="37" t="s">
        <v>22</v>
      </c>
      <c r="B60" s="63">
        <v>453</v>
      </c>
      <c r="C60" s="144" t="s">
        <v>105</v>
      </c>
      <c r="D60" s="136" t="s">
        <v>106</v>
      </c>
      <c r="E60" s="145" t="s">
        <v>91</v>
      </c>
      <c r="F60" s="146">
        <v>3</v>
      </c>
      <c r="G60" s="146"/>
      <c r="H60" s="146"/>
      <c r="I60" s="147"/>
      <c r="J60" s="145"/>
      <c r="K60" s="146"/>
      <c r="L60" s="146"/>
      <c r="M60" s="146"/>
      <c r="N60" s="148"/>
    </row>
    <row r="61" spans="1:14" ht="16" x14ac:dyDescent="0.4">
      <c r="A61" s="37" t="s">
        <v>22</v>
      </c>
      <c r="B61" s="63">
        <v>454</v>
      </c>
      <c r="C61" s="47" t="s">
        <v>107</v>
      </c>
      <c r="D61" s="141" t="s">
        <v>24</v>
      </c>
      <c r="E61" s="88" t="s">
        <v>25</v>
      </c>
      <c r="F61" s="40">
        <f>(3*(2.91)*0.5)*2+(3*(2.91)*0.25)*2</f>
        <v>13.095000000000001</v>
      </c>
      <c r="G61" s="100"/>
      <c r="H61" s="40">
        <f t="shared" ref="H61:H62" si="23">G61*F61</f>
        <v>0</v>
      </c>
      <c r="I61" s="112"/>
      <c r="J61" s="88"/>
      <c r="K61" s="40"/>
      <c r="L61" s="40"/>
      <c r="M61" s="40"/>
      <c r="N61" s="90"/>
    </row>
    <row r="62" spans="1:14" ht="29" x14ac:dyDescent="0.35">
      <c r="A62" s="37" t="s">
        <v>22</v>
      </c>
      <c r="B62" s="63">
        <v>455</v>
      </c>
      <c r="C62" s="47" t="s">
        <v>108</v>
      </c>
      <c r="D62" s="71" t="s">
        <v>27</v>
      </c>
      <c r="E62" s="37" t="s">
        <v>28</v>
      </c>
      <c r="F62" s="113">
        <f>3*134.82/1000</f>
        <v>0.40445999999999999</v>
      </c>
      <c r="G62" s="100"/>
      <c r="H62" s="39">
        <f t="shared" si="23"/>
        <v>0</v>
      </c>
      <c r="I62" s="72" t="s">
        <v>61</v>
      </c>
      <c r="J62" s="37" t="s">
        <v>28</v>
      </c>
      <c r="K62" s="39">
        <v>1.05</v>
      </c>
      <c r="L62" s="113">
        <f>3*K62*121.03/1000</f>
        <v>0.3812445000000001</v>
      </c>
      <c r="M62" s="53"/>
      <c r="N62" s="73">
        <f t="shared" ref="N62:N66" si="24">M62*L62</f>
        <v>0</v>
      </c>
    </row>
    <row r="63" spans="1:14" x14ac:dyDescent="0.35">
      <c r="A63" s="37" t="s">
        <v>22</v>
      </c>
      <c r="B63" s="63">
        <v>456</v>
      </c>
      <c r="C63" s="47" t="s">
        <v>109</v>
      </c>
      <c r="D63" s="74"/>
      <c r="E63" s="37"/>
      <c r="F63" s="39"/>
      <c r="G63" s="39"/>
      <c r="H63" s="39"/>
      <c r="I63" s="72" t="s">
        <v>54</v>
      </c>
      <c r="J63" s="37" t="s">
        <v>28</v>
      </c>
      <c r="K63" s="39">
        <v>1.05</v>
      </c>
      <c r="L63" s="113">
        <f>K63*3*9.95/1000</f>
        <v>3.1342500000000002E-2</v>
      </c>
      <c r="M63" s="53"/>
      <c r="N63" s="73">
        <f t="shared" si="24"/>
        <v>0</v>
      </c>
    </row>
    <row r="64" spans="1:14" x14ac:dyDescent="0.35">
      <c r="A64" s="37" t="s">
        <v>22</v>
      </c>
      <c r="B64" s="63">
        <v>457</v>
      </c>
      <c r="C64" s="47" t="s">
        <v>110</v>
      </c>
      <c r="D64" s="74"/>
      <c r="E64" s="37"/>
      <c r="F64" s="39"/>
      <c r="G64" s="39"/>
      <c r="H64" s="39"/>
      <c r="I64" s="72" t="s">
        <v>35</v>
      </c>
      <c r="J64" s="37" t="s">
        <v>28</v>
      </c>
      <c r="K64" s="39">
        <v>1.05</v>
      </c>
      <c r="L64" s="113">
        <f>K64*3*3.84/1000</f>
        <v>1.2096000000000001E-2</v>
      </c>
      <c r="M64" s="53"/>
      <c r="N64" s="73">
        <f t="shared" si="24"/>
        <v>0</v>
      </c>
    </row>
    <row r="65" spans="1:14" x14ac:dyDescent="0.35">
      <c r="A65" s="37" t="s">
        <v>22</v>
      </c>
      <c r="B65" s="63">
        <v>458</v>
      </c>
      <c r="C65" s="47" t="s">
        <v>111</v>
      </c>
      <c r="D65" s="74"/>
      <c r="E65" s="37"/>
      <c r="F65" s="39"/>
      <c r="G65" s="39"/>
      <c r="H65" s="39"/>
      <c r="I65" s="72" t="s">
        <v>37</v>
      </c>
      <c r="J65" s="37" t="s">
        <v>28</v>
      </c>
      <c r="K65" s="39">
        <v>1.05</v>
      </c>
      <c r="L65" s="113">
        <f>20/1000*K65*F62</f>
        <v>8.4936600000000001E-3</v>
      </c>
      <c r="M65" s="53"/>
      <c r="N65" s="73">
        <f t="shared" si="24"/>
        <v>0</v>
      </c>
    </row>
    <row r="66" spans="1:14" ht="15" thickBot="1" x14ac:dyDescent="0.4">
      <c r="A66" s="37" t="s">
        <v>22</v>
      </c>
      <c r="B66" s="63">
        <v>459</v>
      </c>
      <c r="C66" s="47" t="s">
        <v>112</v>
      </c>
      <c r="D66" s="75" t="s">
        <v>97</v>
      </c>
      <c r="E66" s="76" t="s">
        <v>19</v>
      </c>
      <c r="F66" s="142">
        <f>3*0.39</f>
        <v>1.17</v>
      </c>
      <c r="G66" s="54"/>
      <c r="H66" s="143">
        <f t="shared" ref="H66" si="25">G66*F66</f>
        <v>0</v>
      </c>
      <c r="I66" s="79" t="s">
        <v>40</v>
      </c>
      <c r="J66" s="76" t="s">
        <v>19</v>
      </c>
      <c r="K66" s="77">
        <v>1.05</v>
      </c>
      <c r="L66" s="142">
        <f>K66*F66</f>
        <v>1.2284999999999999</v>
      </c>
      <c r="M66" s="54"/>
      <c r="N66" s="80">
        <f t="shared" si="24"/>
        <v>0</v>
      </c>
    </row>
    <row r="67" spans="1:14" ht="15" thickBot="1" x14ac:dyDescent="0.4">
      <c r="A67" s="37" t="s">
        <v>22</v>
      </c>
      <c r="B67" s="63">
        <v>460</v>
      </c>
      <c r="C67" s="144" t="s">
        <v>113</v>
      </c>
      <c r="D67" s="136" t="s">
        <v>114</v>
      </c>
      <c r="E67" s="145" t="s">
        <v>91</v>
      </c>
      <c r="F67" s="146">
        <v>5</v>
      </c>
      <c r="G67" s="146"/>
      <c r="H67" s="146"/>
      <c r="I67" s="147"/>
      <c r="J67" s="145"/>
      <c r="K67" s="146"/>
      <c r="L67" s="146"/>
      <c r="M67" s="146"/>
      <c r="N67" s="148"/>
    </row>
    <row r="68" spans="1:14" ht="16" x14ac:dyDescent="0.4">
      <c r="A68" s="37" t="s">
        <v>22</v>
      </c>
      <c r="B68" s="63">
        <v>461</v>
      </c>
      <c r="C68" s="47" t="s">
        <v>115</v>
      </c>
      <c r="D68" s="141" t="s">
        <v>24</v>
      </c>
      <c r="E68" s="88" t="s">
        <v>25</v>
      </c>
      <c r="F68" s="40">
        <f>(5*(2.91)*0.5)*2+(5*(2.91)*0.25)*2</f>
        <v>21.825000000000003</v>
      </c>
      <c r="G68" s="100"/>
      <c r="H68" s="40">
        <f t="shared" ref="H68:H69" si="26">G68*F68</f>
        <v>0</v>
      </c>
      <c r="I68" s="112"/>
      <c r="J68" s="88"/>
      <c r="K68" s="40"/>
      <c r="L68" s="40"/>
      <c r="M68" s="40"/>
      <c r="N68" s="90"/>
    </row>
    <row r="69" spans="1:14" ht="29" x14ac:dyDescent="0.35">
      <c r="A69" s="37" t="s">
        <v>22</v>
      </c>
      <c r="B69" s="63">
        <v>462</v>
      </c>
      <c r="C69" s="47" t="s">
        <v>116</v>
      </c>
      <c r="D69" s="71" t="s">
        <v>27</v>
      </c>
      <c r="E69" s="37" t="s">
        <v>28</v>
      </c>
      <c r="F69" s="113">
        <f>5*71.84/1000</f>
        <v>0.35920000000000002</v>
      </c>
      <c r="G69" s="100"/>
      <c r="H69" s="39">
        <f t="shared" si="26"/>
        <v>0</v>
      </c>
      <c r="I69" s="72" t="s">
        <v>29</v>
      </c>
      <c r="J69" s="37" t="s">
        <v>28</v>
      </c>
      <c r="K69" s="39">
        <v>1.05</v>
      </c>
      <c r="L69" s="113">
        <f>5*K69*59.4/1000</f>
        <v>0.31184999999999996</v>
      </c>
      <c r="M69" s="53"/>
      <c r="N69" s="73">
        <f t="shared" ref="N69:N73" si="27">M69*L69</f>
        <v>0</v>
      </c>
    </row>
    <row r="70" spans="1:14" x14ac:dyDescent="0.35">
      <c r="A70" s="37" t="s">
        <v>22</v>
      </c>
      <c r="B70" s="63">
        <v>463</v>
      </c>
      <c r="C70" s="47" t="s">
        <v>117</v>
      </c>
      <c r="D70" s="74"/>
      <c r="E70" s="37"/>
      <c r="F70" s="39"/>
      <c r="G70" s="39"/>
      <c r="H70" s="39"/>
      <c r="I70" s="72" t="s">
        <v>54</v>
      </c>
      <c r="J70" s="37" t="s">
        <v>28</v>
      </c>
      <c r="K70" s="39">
        <v>1.05</v>
      </c>
      <c r="L70" s="113">
        <f>K70*5*9.95/1000</f>
        <v>5.2237499999999999E-2</v>
      </c>
      <c r="M70" s="53"/>
      <c r="N70" s="73">
        <f t="shared" si="27"/>
        <v>0</v>
      </c>
    </row>
    <row r="71" spans="1:14" x14ac:dyDescent="0.35">
      <c r="A71" s="37" t="s">
        <v>22</v>
      </c>
      <c r="B71" s="63">
        <v>464</v>
      </c>
      <c r="C71" s="47" t="s">
        <v>118</v>
      </c>
      <c r="D71" s="74"/>
      <c r="E71" s="37"/>
      <c r="F71" s="39"/>
      <c r="G71" s="39"/>
      <c r="H71" s="39"/>
      <c r="I71" s="72" t="s">
        <v>35</v>
      </c>
      <c r="J71" s="37" t="s">
        <v>28</v>
      </c>
      <c r="K71" s="39">
        <v>1.05</v>
      </c>
      <c r="L71" s="113">
        <f>K71*5*2.49/1000</f>
        <v>1.3072500000000001E-2</v>
      </c>
      <c r="M71" s="53"/>
      <c r="N71" s="73">
        <f t="shared" si="27"/>
        <v>0</v>
      </c>
    </row>
    <row r="72" spans="1:14" x14ac:dyDescent="0.35">
      <c r="A72" s="37" t="s">
        <v>22</v>
      </c>
      <c r="B72" s="63">
        <v>465</v>
      </c>
      <c r="C72" s="47" t="s">
        <v>119</v>
      </c>
      <c r="D72" s="74"/>
      <c r="E72" s="37"/>
      <c r="F72" s="39"/>
      <c r="G72" s="39"/>
      <c r="H72" s="39"/>
      <c r="I72" s="72" t="s">
        <v>37</v>
      </c>
      <c r="J72" s="37" t="s">
        <v>28</v>
      </c>
      <c r="K72" s="39">
        <v>1.05</v>
      </c>
      <c r="L72" s="113">
        <f>20/1000*K72*F69</f>
        <v>7.5432000000000008E-3</v>
      </c>
      <c r="M72" s="53"/>
      <c r="N72" s="73">
        <f t="shared" si="27"/>
        <v>0</v>
      </c>
    </row>
    <row r="73" spans="1:14" ht="15" thickBot="1" x14ac:dyDescent="0.4">
      <c r="A73" s="37" t="s">
        <v>22</v>
      </c>
      <c r="B73" s="63">
        <v>466</v>
      </c>
      <c r="C73" s="47" t="s">
        <v>120</v>
      </c>
      <c r="D73" s="75" t="s">
        <v>97</v>
      </c>
      <c r="E73" s="76" t="s">
        <v>19</v>
      </c>
      <c r="F73" s="142">
        <f>5*0.39</f>
        <v>1.9500000000000002</v>
      </c>
      <c r="G73" s="54"/>
      <c r="H73" s="143">
        <f t="shared" ref="H73" si="28">G73*F73</f>
        <v>0</v>
      </c>
      <c r="I73" s="79" t="s">
        <v>40</v>
      </c>
      <c r="J73" s="76" t="s">
        <v>19</v>
      </c>
      <c r="K73" s="77">
        <v>1.05</v>
      </c>
      <c r="L73" s="142">
        <f>K73*F73</f>
        <v>2.0475000000000003</v>
      </c>
      <c r="M73" s="54"/>
      <c r="N73" s="80">
        <f t="shared" si="27"/>
        <v>0</v>
      </c>
    </row>
    <row r="74" spans="1:14" ht="15" thickBot="1" x14ac:dyDescent="0.4">
      <c r="A74" s="37" t="s">
        <v>22</v>
      </c>
      <c r="B74" s="63">
        <v>467</v>
      </c>
      <c r="C74" s="144" t="s">
        <v>121</v>
      </c>
      <c r="D74" s="136" t="s">
        <v>122</v>
      </c>
      <c r="E74" s="145" t="s">
        <v>91</v>
      </c>
      <c r="F74" s="146">
        <v>6</v>
      </c>
      <c r="G74" s="146"/>
      <c r="H74" s="146"/>
      <c r="I74" s="147"/>
      <c r="J74" s="145"/>
      <c r="K74" s="146"/>
      <c r="L74" s="146"/>
      <c r="M74" s="146"/>
      <c r="N74" s="148"/>
    </row>
    <row r="75" spans="1:14" ht="16" x14ac:dyDescent="0.4">
      <c r="A75" s="37" t="s">
        <v>22</v>
      </c>
      <c r="B75" s="63">
        <v>468</v>
      </c>
      <c r="C75" s="47" t="s">
        <v>123</v>
      </c>
      <c r="D75" s="141" t="s">
        <v>24</v>
      </c>
      <c r="E75" s="88" t="s">
        <v>25</v>
      </c>
      <c r="F75" s="40">
        <f>(6*(2.91)*0.5)*2+(6*(2.91)*0.25)*2</f>
        <v>26.19</v>
      </c>
      <c r="G75" s="100"/>
      <c r="H75" s="40">
        <f t="shared" ref="H75:H76" si="29">G75*F75</f>
        <v>0</v>
      </c>
      <c r="I75" s="112"/>
      <c r="J75" s="88"/>
      <c r="K75" s="40"/>
      <c r="L75" s="40"/>
      <c r="M75" s="40"/>
      <c r="N75" s="90"/>
    </row>
    <row r="76" spans="1:14" ht="29" x14ac:dyDescent="0.35">
      <c r="A76" s="37" t="s">
        <v>22</v>
      </c>
      <c r="B76" s="63">
        <v>469</v>
      </c>
      <c r="C76" s="47" t="s">
        <v>124</v>
      </c>
      <c r="D76" s="71" t="s">
        <v>27</v>
      </c>
      <c r="E76" s="37" t="s">
        <v>28</v>
      </c>
      <c r="F76" s="113">
        <f>6*58.43/1000</f>
        <v>0.35058</v>
      </c>
      <c r="G76" s="100"/>
      <c r="H76" s="39">
        <f t="shared" si="29"/>
        <v>0</v>
      </c>
      <c r="I76" s="72" t="s">
        <v>29</v>
      </c>
      <c r="J76" s="37" t="s">
        <v>28</v>
      </c>
      <c r="K76" s="39">
        <v>1.05</v>
      </c>
      <c r="L76" s="113">
        <f>6*K76*42.22/1000</f>
        <v>0.26598600000000006</v>
      </c>
      <c r="M76" s="53"/>
      <c r="N76" s="73">
        <f t="shared" ref="N76:N79" si="30">M76*L76</f>
        <v>0</v>
      </c>
    </row>
    <row r="77" spans="1:14" x14ac:dyDescent="0.35">
      <c r="A77" s="37" t="s">
        <v>22</v>
      </c>
      <c r="B77" s="63">
        <v>470</v>
      </c>
      <c r="C77" s="47" t="s">
        <v>125</v>
      </c>
      <c r="D77" s="74"/>
      <c r="E77" s="37"/>
      <c r="F77" s="39"/>
      <c r="G77" s="39"/>
      <c r="H77" s="39"/>
      <c r="I77" s="72" t="s">
        <v>54</v>
      </c>
      <c r="J77" s="37" t="s">
        <v>28</v>
      </c>
      <c r="K77" s="39">
        <v>1.05</v>
      </c>
      <c r="L77" s="113">
        <f>K77*6*16.21/1000</f>
        <v>0.10212300000000002</v>
      </c>
      <c r="M77" s="53"/>
      <c r="N77" s="73">
        <f t="shared" si="30"/>
        <v>0</v>
      </c>
    </row>
    <row r="78" spans="1:14" x14ac:dyDescent="0.35">
      <c r="A78" s="37" t="s">
        <v>22</v>
      </c>
      <c r="B78" s="63">
        <v>471</v>
      </c>
      <c r="C78" s="47" t="s">
        <v>126</v>
      </c>
      <c r="D78" s="74"/>
      <c r="E78" s="37"/>
      <c r="F78" s="39"/>
      <c r="G78" s="39"/>
      <c r="H78" s="39"/>
      <c r="I78" s="72" t="s">
        <v>37</v>
      </c>
      <c r="J78" s="37" t="s">
        <v>28</v>
      </c>
      <c r="K78" s="39">
        <v>1.05</v>
      </c>
      <c r="L78" s="113">
        <f>20/1000*K78*F76</f>
        <v>7.3621800000000003E-3</v>
      </c>
      <c r="M78" s="53"/>
      <c r="N78" s="73">
        <f t="shared" si="30"/>
        <v>0</v>
      </c>
    </row>
    <row r="79" spans="1:14" ht="15" thickBot="1" x14ac:dyDescent="0.4">
      <c r="A79" s="37" t="s">
        <v>22</v>
      </c>
      <c r="B79" s="63">
        <v>472</v>
      </c>
      <c r="C79" s="47" t="s">
        <v>127</v>
      </c>
      <c r="D79" s="75" t="s">
        <v>97</v>
      </c>
      <c r="E79" s="76" t="s">
        <v>19</v>
      </c>
      <c r="F79" s="142">
        <f>6*0.39</f>
        <v>2.34</v>
      </c>
      <c r="G79" s="54"/>
      <c r="H79" s="143">
        <f t="shared" ref="H79" si="31">G79*F79</f>
        <v>0</v>
      </c>
      <c r="I79" s="79" t="s">
        <v>40</v>
      </c>
      <c r="J79" s="76" t="s">
        <v>19</v>
      </c>
      <c r="K79" s="77">
        <v>1.05</v>
      </c>
      <c r="L79" s="142">
        <f>K79*F79</f>
        <v>2.4569999999999999</v>
      </c>
      <c r="M79" s="54"/>
      <c r="N79" s="80">
        <f t="shared" si="30"/>
        <v>0</v>
      </c>
    </row>
    <row r="80" spans="1:14" ht="15" thickBot="1" x14ac:dyDescent="0.4">
      <c r="A80" s="37" t="s">
        <v>22</v>
      </c>
      <c r="B80" s="63">
        <v>473</v>
      </c>
      <c r="C80" s="144" t="s">
        <v>128</v>
      </c>
      <c r="D80" s="136" t="s">
        <v>129</v>
      </c>
      <c r="E80" s="145" t="s">
        <v>91</v>
      </c>
      <c r="F80" s="146">
        <v>5</v>
      </c>
      <c r="G80" s="146" t="s">
        <v>130</v>
      </c>
      <c r="H80" s="146"/>
      <c r="I80" s="147"/>
      <c r="J80" s="145"/>
      <c r="K80" s="146"/>
      <c r="L80" s="146"/>
      <c r="M80" s="146"/>
      <c r="N80" s="148"/>
    </row>
    <row r="81" spans="1:14" ht="16" x14ac:dyDescent="0.4">
      <c r="A81" s="37" t="s">
        <v>22</v>
      </c>
      <c r="B81" s="63">
        <v>474</v>
      </c>
      <c r="C81" s="47" t="s">
        <v>131</v>
      </c>
      <c r="D81" s="141" t="s">
        <v>24</v>
      </c>
      <c r="E81" s="88" t="s">
        <v>25</v>
      </c>
      <c r="F81" s="40">
        <f>(8*(3.5)*0.6)*2+(8*(3.5)*0.2)*2</f>
        <v>44.800000000000004</v>
      </c>
      <c r="G81" s="100"/>
      <c r="H81" s="40">
        <f t="shared" ref="H81:H82" si="32">G81*F81</f>
        <v>0</v>
      </c>
      <c r="I81" s="112"/>
      <c r="J81" s="88"/>
      <c r="K81" s="40"/>
      <c r="L81" s="40"/>
      <c r="M81" s="40"/>
      <c r="N81" s="90"/>
    </row>
    <row r="82" spans="1:14" ht="29" x14ac:dyDescent="0.35">
      <c r="A82" s="37" t="s">
        <v>22</v>
      </c>
      <c r="B82" s="63">
        <v>475</v>
      </c>
      <c r="C82" s="47" t="s">
        <v>132</v>
      </c>
      <c r="D82" s="71" t="s">
        <v>27</v>
      </c>
      <c r="E82" s="37" t="s">
        <v>28</v>
      </c>
      <c r="F82" s="113">
        <f>8*(78.99)/1000</f>
        <v>0.63191999999999993</v>
      </c>
      <c r="G82" s="100"/>
      <c r="H82" s="39">
        <f t="shared" si="32"/>
        <v>0</v>
      </c>
      <c r="I82" s="72" t="s">
        <v>29</v>
      </c>
      <c r="J82" s="37" t="s">
        <v>28</v>
      </c>
      <c r="K82" s="39">
        <v>1.05</v>
      </c>
      <c r="L82" s="113">
        <f>8*K82*59.41/1000</f>
        <v>0.49904399999999999</v>
      </c>
      <c r="M82" s="53"/>
      <c r="N82" s="73">
        <f t="shared" ref="N82:N85" si="33">M82*L82</f>
        <v>0</v>
      </c>
    </row>
    <row r="83" spans="1:14" x14ac:dyDescent="0.35">
      <c r="A83" s="37" t="s">
        <v>22</v>
      </c>
      <c r="B83" s="63">
        <v>476</v>
      </c>
      <c r="C83" s="47" t="s">
        <v>133</v>
      </c>
      <c r="D83" s="74"/>
      <c r="E83" s="37"/>
      <c r="F83" s="39"/>
      <c r="G83" s="39"/>
      <c r="H83" s="39"/>
      <c r="I83" s="72" t="s">
        <v>54</v>
      </c>
      <c r="J83" s="37" t="s">
        <v>28</v>
      </c>
      <c r="K83" s="39">
        <v>1.05</v>
      </c>
      <c r="L83" s="113">
        <f>K83*8*19.58/1000</f>
        <v>0.16447199999999998</v>
      </c>
      <c r="M83" s="53"/>
      <c r="N83" s="73">
        <f t="shared" si="33"/>
        <v>0</v>
      </c>
    </row>
    <row r="84" spans="1:14" x14ac:dyDescent="0.35">
      <c r="A84" s="37" t="s">
        <v>22</v>
      </c>
      <c r="B84" s="63">
        <v>477</v>
      </c>
      <c r="C84" s="47" t="s">
        <v>134</v>
      </c>
      <c r="D84" s="74"/>
      <c r="E84" s="37"/>
      <c r="F84" s="39"/>
      <c r="G84" s="39"/>
      <c r="H84" s="39"/>
      <c r="I84" s="72" t="s">
        <v>37</v>
      </c>
      <c r="J84" s="37" t="s">
        <v>28</v>
      </c>
      <c r="K84" s="39">
        <v>1.05</v>
      </c>
      <c r="L84" s="113">
        <f>20/1000*K84*F82</f>
        <v>1.3270319999999999E-2</v>
      </c>
      <c r="M84" s="53"/>
      <c r="N84" s="73">
        <f t="shared" si="33"/>
        <v>0</v>
      </c>
    </row>
    <row r="85" spans="1:14" ht="15" thickBot="1" x14ac:dyDescent="0.4">
      <c r="A85" s="37" t="s">
        <v>22</v>
      </c>
      <c r="B85" s="63">
        <v>478</v>
      </c>
      <c r="C85" s="47" t="s">
        <v>135</v>
      </c>
      <c r="D85" s="75" t="s">
        <v>97</v>
      </c>
      <c r="E85" s="76" t="s">
        <v>19</v>
      </c>
      <c r="F85" s="142">
        <f>8*0.45</f>
        <v>3.6</v>
      </c>
      <c r="G85" s="54"/>
      <c r="H85" s="143">
        <f t="shared" ref="H85" si="34">G85*F85</f>
        <v>0</v>
      </c>
      <c r="I85" s="79" t="s">
        <v>40</v>
      </c>
      <c r="J85" s="76" t="s">
        <v>19</v>
      </c>
      <c r="K85" s="77">
        <v>1.05</v>
      </c>
      <c r="L85" s="142">
        <f>K85*F85</f>
        <v>3.7800000000000002</v>
      </c>
      <c r="M85" s="54"/>
      <c r="N85" s="80">
        <f t="shared" si="33"/>
        <v>0</v>
      </c>
    </row>
    <row r="86" spans="1:14" ht="15" thickBot="1" x14ac:dyDescent="0.4">
      <c r="A86" s="37" t="s">
        <v>22</v>
      </c>
      <c r="B86" s="63">
        <v>479</v>
      </c>
      <c r="C86" s="144" t="s">
        <v>136</v>
      </c>
      <c r="D86" s="136" t="s">
        <v>137</v>
      </c>
      <c r="E86" s="145" t="s">
        <v>91</v>
      </c>
      <c r="F86" s="146">
        <v>3</v>
      </c>
      <c r="G86" s="146"/>
      <c r="H86" s="146"/>
      <c r="I86" s="147"/>
      <c r="J86" s="145"/>
      <c r="K86" s="146"/>
      <c r="L86" s="146"/>
      <c r="M86" s="146"/>
      <c r="N86" s="148"/>
    </row>
    <row r="87" spans="1:14" ht="16" x14ac:dyDescent="0.4">
      <c r="A87" s="37" t="s">
        <v>22</v>
      </c>
      <c r="B87" s="63">
        <v>480</v>
      </c>
      <c r="C87" s="47" t="s">
        <v>138</v>
      </c>
      <c r="D87" s="141" t="s">
        <v>24</v>
      </c>
      <c r="E87" s="88" t="s">
        <v>25</v>
      </c>
      <c r="F87" s="40">
        <f>(3*(3.5)*1)*2+(3*(3.5)*0.25)*2</f>
        <v>26.25</v>
      </c>
      <c r="G87" s="100"/>
      <c r="H87" s="40">
        <f t="shared" ref="H87:H88" si="35">G87*F87</f>
        <v>0</v>
      </c>
      <c r="I87" s="112"/>
      <c r="J87" s="88"/>
      <c r="K87" s="40"/>
      <c r="L87" s="40"/>
      <c r="M87" s="40"/>
      <c r="N87" s="90"/>
    </row>
    <row r="88" spans="1:14" ht="29" x14ac:dyDescent="0.35">
      <c r="A88" s="37" t="s">
        <v>22</v>
      </c>
      <c r="B88" s="63">
        <v>481</v>
      </c>
      <c r="C88" s="47" t="s">
        <v>139</v>
      </c>
      <c r="D88" s="71" t="s">
        <v>27</v>
      </c>
      <c r="E88" s="37" t="s">
        <v>28</v>
      </c>
      <c r="F88" s="113">
        <f>3*128.81/1000</f>
        <v>0.38643</v>
      </c>
      <c r="G88" s="100"/>
      <c r="H88" s="39">
        <f t="shared" si="35"/>
        <v>0</v>
      </c>
      <c r="I88" s="72" t="s">
        <v>29</v>
      </c>
      <c r="J88" s="37" t="s">
        <v>28</v>
      </c>
      <c r="K88" s="39">
        <v>1.05</v>
      </c>
      <c r="L88" s="113">
        <f>3*K88*103.96/1000</f>
        <v>0.32747399999999999</v>
      </c>
      <c r="M88" s="53"/>
      <c r="N88" s="73">
        <f t="shared" ref="N88:N92" si="36">M88*L88</f>
        <v>0</v>
      </c>
    </row>
    <row r="89" spans="1:14" x14ac:dyDescent="0.35">
      <c r="A89" s="37" t="s">
        <v>22</v>
      </c>
      <c r="B89" s="63">
        <v>482</v>
      </c>
      <c r="C89" s="47" t="s">
        <v>140</v>
      </c>
      <c r="D89" s="74"/>
      <c r="E89" s="37"/>
      <c r="F89" s="39"/>
      <c r="G89" s="39"/>
      <c r="H89" s="39"/>
      <c r="I89" s="72" t="s">
        <v>54</v>
      </c>
      <c r="J89" s="37" t="s">
        <v>28</v>
      </c>
      <c r="K89" s="39">
        <v>1.05</v>
      </c>
      <c r="L89" s="113">
        <f>K89*3*19.74/1000</f>
        <v>6.2181000000000007E-2</v>
      </c>
      <c r="M89" s="53"/>
      <c r="N89" s="73">
        <f t="shared" si="36"/>
        <v>0</v>
      </c>
    </row>
    <row r="90" spans="1:14" x14ac:dyDescent="0.35">
      <c r="A90" s="37" t="s">
        <v>22</v>
      </c>
      <c r="B90" s="63">
        <v>483</v>
      </c>
      <c r="C90" s="47" t="s">
        <v>141</v>
      </c>
      <c r="D90" s="74"/>
      <c r="E90" s="37"/>
      <c r="F90" s="39"/>
      <c r="G90" s="39"/>
      <c r="H90" s="39"/>
      <c r="I90" s="72" t="s">
        <v>35</v>
      </c>
      <c r="J90" s="37" t="s">
        <v>28</v>
      </c>
      <c r="K90" s="39">
        <v>1.05</v>
      </c>
      <c r="L90" s="113">
        <f>K90*3*5.11/1000</f>
        <v>1.6096500000000003E-2</v>
      </c>
      <c r="M90" s="53"/>
      <c r="N90" s="73">
        <f t="shared" si="36"/>
        <v>0</v>
      </c>
    </row>
    <row r="91" spans="1:14" x14ac:dyDescent="0.35">
      <c r="A91" s="37" t="s">
        <v>22</v>
      </c>
      <c r="B91" s="63">
        <v>484</v>
      </c>
      <c r="C91" s="47" t="s">
        <v>142</v>
      </c>
      <c r="D91" s="74"/>
      <c r="E91" s="37"/>
      <c r="F91" s="39"/>
      <c r="G91" s="39"/>
      <c r="H91" s="39"/>
      <c r="I91" s="72" t="s">
        <v>37</v>
      </c>
      <c r="J91" s="37" t="s">
        <v>28</v>
      </c>
      <c r="K91" s="39">
        <v>1.05</v>
      </c>
      <c r="L91" s="113">
        <f>20/1000*K91*F88</f>
        <v>8.1150300000000005E-3</v>
      </c>
      <c r="M91" s="53"/>
      <c r="N91" s="73">
        <f t="shared" si="36"/>
        <v>0</v>
      </c>
    </row>
    <row r="92" spans="1:14" ht="15" thickBot="1" x14ac:dyDescent="0.4">
      <c r="A92" s="37" t="s">
        <v>22</v>
      </c>
      <c r="B92" s="63">
        <v>485</v>
      </c>
      <c r="C92" s="47" t="s">
        <v>143</v>
      </c>
      <c r="D92" s="75" t="s">
        <v>97</v>
      </c>
      <c r="E92" s="76" t="s">
        <v>19</v>
      </c>
      <c r="F92" s="142">
        <f>3*0.93</f>
        <v>2.79</v>
      </c>
      <c r="G92" s="54"/>
      <c r="H92" s="143">
        <f t="shared" ref="H92" si="37">G92*F92</f>
        <v>0</v>
      </c>
      <c r="I92" s="79" t="s">
        <v>40</v>
      </c>
      <c r="J92" s="76" t="s">
        <v>19</v>
      </c>
      <c r="K92" s="77">
        <v>1.05</v>
      </c>
      <c r="L92" s="142">
        <f>K92*F92</f>
        <v>2.9295</v>
      </c>
      <c r="M92" s="54"/>
      <c r="N92" s="80">
        <f t="shared" si="36"/>
        <v>0</v>
      </c>
    </row>
    <row r="93" spans="1:14" ht="15" thickBot="1" x14ac:dyDescent="0.4">
      <c r="A93" s="37" t="s">
        <v>22</v>
      </c>
      <c r="B93" s="63">
        <v>486</v>
      </c>
      <c r="C93" s="144" t="s">
        <v>144</v>
      </c>
      <c r="D93" s="136" t="s">
        <v>145</v>
      </c>
      <c r="E93" s="145" t="s">
        <v>91</v>
      </c>
      <c r="F93" s="146">
        <v>2</v>
      </c>
      <c r="G93" s="146"/>
      <c r="H93" s="146"/>
      <c r="I93" s="147"/>
      <c r="J93" s="145"/>
      <c r="K93" s="146"/>
      <c r="L93" s="146"/>
      <c r="M93" s="146"/>
      <c r="N93" s="148"/>
    </row>
    <row r="94" spans="1:14" ht="16" x14ac:dyDescent="0.4">
      <c r="A94" s="37" t="s">
        <v>22</v>
      </c>
      <c r="B94" s="63">
        <v>487</v>
      </c>
      <c r="C94" s="47" t="s">
        <v>146</v>
      </c>
      <c r="D94" s="141" t="s">
        <v>24</v>
      </c>
      <c r="E94" s="88" t="s">
        <v>25</v>
      </c>
      <c r="F94" s="40">
        <f>(2*(3.2)*1.5)*2+(2*(3.2)*0.25)*2</f>
        <v>22.400000000000002</v>
      </c>
      <c r="G94" s="100"/>
      <c r="H94" s="40">
        <f t="shared" ref="H94:H95" si="38">G94*F94</f>
        <v>0</v>
      </c>
      <c r="I94" s="112"/>
      <c r="J94" s="88"/>
      <c r="K94" s="40"/>
      <c r="L94" s="40"/>
      <c r="M94" s="40"/>
      <c r="N94" s="90"/>
    </row>
    <row r="95" spans="1:14" ht="29" x14ac:dyDescent="0.35">
      <c r="A95" s="37" t="s">
        <v>22</v>
      </c>
      <c r="B95" s="63">
        <v>488</v>
      </c>
      <c r="C95" s="47" t="s">
        <v>147</v>
      </c>
      <c r="D95" s="71" t="s">
        <v>27</v>
      </c>
      <c r="E95" s="37" t="s">
        <v>28</v>
      </c>
      <c r="F95" s="113">
        <f>2*127.66/1000</f>
        <v>0.25531999999999999</v>
      </c>
      <c r="G95" s="100"/>
      <c r="H95" s="39">
        <f t="shared" si="38"/>
        <v>0</v>
      </c>
      <c r="I95" s="72" t="s">
        <v>29</v>
      </c>
      <c r="J95" s="37" t="s">
        <v>28</v>
      </c>
      <c r="K95" s="39">
        <v>1.05</v>
      </c>
      <c r="L95" s="113">
        <f>2*K95*103.96/1000</f>
        <v>0.21831600000000001</v>
      </c>
      <c r="M95" s="53"/>
      <c r="N95" s="73">
        <f t="shared" ref="N95:N99" si="39">M95*L95</f>
        <v>0</v>
      </c>
    </row>
    <row r="96" spans="1:14" x14ac:dyDescent="0.35">
      <c r="A96" s="37" t="s">
        <v>22</v>
      </c>
      <c r="B96" s="63">
        <v>489</v>
      </c>
      <c r="C96" s="47" t="s">
        <v>148</v>
      </c>
      <c r="D96" s="74"/>
      <c r="E96" s="37"/>
      <c r="F96" s="39"/>
      <c r="G96" s="39"/>
      <c r="H96" s="39"/>
      <c r="I96" s="72" t="s">
        <v>54</v>
      </c>
      <c r="J96" s="37" t="s">
        <v>28</v>
      </c>
      <c r="K96" s="39">
        <v>1.05</v>
      </c>
      <c r="L96" s="113">
        <f>K96*2*18.8/1000</f>
        <v>3.9480000000000001E-2</v>
      </c>
      <c r="M96" s="53"/>
      <c r="N96" s="73">
        <f t="shared" si="39"/>
        <v>0</v>
      </c>
    </row>
    <row r="97" spans="1:14" x14ac:dyDescent="0.35">
      <c r="A97" s="37" t="s">
        <v>22</v>
      </c>
      <c r="B97" s="63">
        <v>490</v>
      </c>
      <c r="C97" s="47" t="s">
        <v>149</v>
      </c>
      <c r="D97" s="74"/>
      <c r="E97" s="37"/>
      <c r="F97" s="39"/>
      <c r="G97" s="39"/>
      <c r="H97" s="39"/>
      <c r="I97" s="72" t="s">
        <v>35</v>
      </c>
      <c r="J97" s="37" t="s">
        <v>28</v>
      </c>
      <c r="K97" s="39">
        <v>1.05</v>
      </c>
      <c r="L97" s="113">
        <f>K97*2*4.9/1000</f>
        <v>1.0290000000000001E-2</v>
      </c>
      <c r="M97" s="53"/>
      <c r="N97" s="73">
        <f t="shared" si="39"/>
        <v>0</v>
      </c>
    </row>
    <row r="98" spans="1:14" x14ac:dyDescent="0.35">
      <c r="A98" s="37" t="s">
        <v>22</v>
      </c>
      <c r="B98" s="63">
        <v>491</v>
      </c>
      <c r="C98" s="47" t="s">
        <v>150</v>
      </c>
      <c r="D98" s="74"/>
      <c r="E98" s="37"/>
      <c r="F98" s="39"/>
      <c r="G98" s="39"/>
      <c r="H98" s="39"/>
      <c r="I98" s="72" t="s">
        <v>37</v>
      </c>
      <c r="J98" s="37" t="s">
        <v>28</v>
      </c>
      <c r="K98" s="39">
        <v>1.05</v>
      </c>
      <c r="L98" s="113">
        <f>20/1000*K98*F95</f>
        <v>5.3617200000000004E-3</v>
      </c>
      <c r="M98" s="53"/>
      <c r="N98" s="73">
        <f t="shared" si="39"/>
        <v>0</v>
      </c>
    </row>
    <row r="99" spans="1:14" ht="15" thickBot="1" x14ac:dyDescent="0.4">
      <c r="A99" s="37" t="s">
        <v>22</v>
      </c>
      <c r="B99" s="63">
        <v>492</v>
      </c>
      <c r="C99" s="47" t="s">
        <v>151</v>
      </c>
      <c r="D99" s="75" t="s">
        <v>97</v>
      </c>
      <c r="E99" s="76" t="s">
        <v>19</v>
      </c>
      <c r="F99" s="142">
        <f>2*0.85</f>
        <v>1.7</v>
      </c>
      <c r="G99" s="54"/>
      <c r="H99" s="143">
        <f t="shared" ref="H99" si="40">G99*F99</f>
        <v>0</v>
      </c>
      <c r="I99" s="79" t="s">
        <v>40</v>
      </c>
      <c r="J99" s="76" t="s">
        <v>19</v>
      </c>
      <c r="K99" s="77">
        <v>1.05</v>
      </c>
      <c r="L99" s="142">
        <f>K99*F99</f>
        <v>1.7849999999999999</v>
      </c>
      <c r="M99" s="54"/>
      <c r="N99" s="80">
        <f t="shared" si="39"/>
        <v>0</v>
      </c>
    </row>
    <row r="100" spans="1:14" ht="15" thickBot="1" x14ac:dyDescent="0.4">
      <c r="A100" s="37" t="s">
        <v>22</v>
      </c>
      <c r="B100" s="63">
        <v>493</v>
      </c>
      <c r="C100" s="144" t="s">
        <v>152</v>
      </c>
      <c r="D100" s="136" t="s">
        <v>153</v>
      </c>
      <c r="E100" s="145"/>
      <c r="F100" s="146"/>
      <c r="G100" s="146"/>
      <c r="H100" s="146"/>
      <c r="I100" s="147"/>
      <c r="J100" s="145"/>
      <c r="K100" s="146"/>
      <c r="L100" s="146"/>
      <c r="M100" s="146"/>
      <c r="N100" s="148"/>
    </row>
    <row r="101" spans="1:14" ht="16" x14ac:dyDescent="0.4">
      <c r="A101" s="37" t="s">
        <v>22</v>
      </c>
      <c r="B101" s="63">
        <v>494</v>
      </c>
      <c r="C101" s="47" t="s">
        <v>154</v>
      </c>
      <c r="D101" s="141" t="s">
        <v>24</v>
      </c>
      <c r="E101" s="88" t="s">
        <v>25</v>
      </c>
      <c r="F101" s="40">
        <f>(2.14+2+2.14+2)*3.5</f>
        <v>28.980000000000004</v>
      </c>
      <c r="G101" s="100"/>
      <c r="H101" s="40">
        <f t="shared" ref="H101:H102" si="41">G101*F101</f>
        <v>0</v>
      </c>
      <c r="I101" s="112"/>
      <c r="J101" s="88"/>
      <c r="K101" s="40"/>
      <c r="L101" s="40"/>
      <c r="M101" s="40"/>
      <c r="N101" s="90"/>
    </row>
    <row r="102" spans="1:14" ht="29" x14ac:dyDescent="0.35">
      <c r="A102" s="37" t="s">
        <v>22</v>
      </c>
      <c r="B102" s="63">
        <v>495</v>
      </c>
      <c r="C102" s="47" t="s">
        <v>155</v>
      </c>
      <c r="D102" s="71" t="s">
        <v>27</v>
      </c>
      <c r="E102" s="37" t="s">
        <v>28</v>
      </c>
      <c r="F102" s="113">
        <f>601.11/1000</f>
        <v>0.60111000000000003</v>
      </c>
      <c r="G102" s="100"/>
      <c r="H102" s="39">
        <f t="shared" si="41"/>
        <v>0</v>
      </c>
      <c r="I102" s="72" t="s">
        <v>29</v>
      </c>
      <c r="J102" s="37" t="s">
        <v>28</v>
      </c>
      <c r="K102" s="39">
        <v>1.05</v>
      </c>
      <c r="L102" s="113">
        <f>K102*(12.39)/1000</f>
        <v>1.30095E-2</v>
      </c>
      <c r="M102" s="53"/>
      <c r="N102" s="73">
        <f t="shared" ref="N102:N108" si="42">M102*L102</f>
        <v>0</v>
      </c>
    </row>
    <row r="103" spans="1:14" x14ac:dyDescent="0.35">
      <c r="A103" s="37" t="s">
        <v>22</v>
      </c>
      <c r="B103" s="63">
        <v>496</v>
      </c>
      <c r="C103" s="47" t="s">
        <v>156</v>
      </c>
      <c r="D103" s="71"/>
      <c r="E103" s="37"/>
      <c r="F103" s="39"/>
      <c r="G103" s="39"/>
      <c r="H103" s="39"/>
      <c r="I103" s="72" t="s">
        <v>44</v>
      </c>
      <c r="J103" s="37" t="s">
        <v>28</v>
      </c>
      <c r="K103" s="39">
        <v>1.05</v>
      </c>
      <c r="L103" s="113">
        <f>K103*311.9/1000</f>
        <v>0.32749499999999998</v>
      </c>
      <c r="M103" s="53"/>
      <c r="N103" s="73">
        <f t="shared" si="42"/>
        <v>0</v>
      </c>
    </row>
    <row r="104" spans="1:14" x14ac:dyDescent="0.35">
      <c r="A104" s="37" t="s">
        <v>22</v>
      </c>
      <c r="B104" s="63">
        <v>497</v>
      </c>
      <c r="C104" s="47" t="s">
        <v>157</v>
      </c>
      <c r="D104" s="71"/>
      <c r="E104" s="37"/>
      <c r="F104" s="39"/>
      <c r="G104" s="39"/>
      <c r="H104" s="39"/>
      <c r="I104" s="72" t="s">
        <v>31</v>
      </c>
      <c r="J104" s="37" t="s">
        <v>28</v>
      </c>
      <c r="K104" s="39">
        <v>1.05</v>
      </c>
      <c r="L104" s="113">
        <f>K104*250.1/1000</f>
        <v>0.26260500000000003</v>
      </c>
      <c r="M104" s="53"/>
      <c r="N104" s="73">
        <f t="shared" si="42"/>
        <v>0</v>
      </c>
    </row>
    <row r="105" spans="1:14" x14ac:dyDescent="0.35">
      <c r="A105" s="37" t="s">
        <v>22</v>
      </c>
      <c r="B105" s="63">
        <v>498</v>
      </c>
      <c r="C105" s="47" t="s">
        <v>158</v>
      </c>
      <c r="D105" s="74"/>
      <c r="E105" s="37"/>
      <c r="F105" s="39"/>
      <c r="G105" s="39"/>
      <c r="H105" s="39"/>
      <c r="I105" s="72" t="s">
        <v>54</v>
      </c>
      <c r="J105" s="37" t="s">
        <v>28</v>
      </c>
      <c r="K105" s="39">
        <v>1.05</v>
      </c>
      <c r="L105" s="113">
        <f>K105*6.83/1000</f>
        <v>7.1714999999999999E-3</v>
      </c>
      <c r="M105" s="53"/>
      <c r="N105" s="73">
        <f t="shared" si="42"/>
        <v>0</v>
      </c>
    </row>
    <row r="106" spans="1:14" x14ac:dyDescent="0.35">
      <c r="A106" s="37" t="s">
        <v>22</v>
      </c>
      <c r="B106" s="63">
        <v>499</v>
      </c>
      <c r="C106" s="47" t="s">
        <v>159</v>
      </c>
      <c r="D106" s="74"/>
      <c r="E106" s="37"/>
      <c r="F106" s="39"/>
      <c r="G106" s="39"/>
      <c r="H106" s="39"/>
      <c r="I106" s="72" t="s">
        <v>35</v>
      </c>
      <c r="J106" s="37" t="s">
        <v>28</v>
      </c>
      <c r="K106" s="39">
        <v>1.05</v>
      </c>
      <c r="L106" s="113">
        <f>K106*19.89/1000</f>
        <v>2.0884500000000004E-2</v>
      </c>
      <c r="M106" s="53"/>
      <c r="N106" s="73">
        <f t="shared" si="42"/>
        <v>0</v>
      </c>
    </row>
    <row r="107" spans="1:14" x14ac:dyDescent="0.35">
      <c r="A107" s="37" t="s">
        <v>22</v>
      </c>
      <c r="B107" s="63">
        <v>500</v>
      </c>
      <c r="C107" s="47" t="s">
        <v>160</v>
      </c>
      <c r="D107" s="74"/>
      <c r="E107" s="37"/>
      <c r="F107" s="39"/>
      <c r="G107" s="39"/>
      <c r="H107" s="39"/>
      <c r="I107" s="72" t="s">
        <v>37</v>
      </c>
      <c r="J107" s="37" t="s">
        <v>28</v>
      </c>
      <c r="K107" s="39">
        <v>1.05</v>
      </c>
      <c r="L107" s="113">
        <f>20/1000*K107*F102</f>
        <v>1.2623310000000002E-2</v>
      </c>
      <c r="M107" s="53"/>
      <c r="N107" s="73">
        <f t="shared" si="42"/>
        <v>0</v>
      </c>
    </row>
    <row r="108" spans="1:14" ht="15" thickBot="1" x14ac:dyDescent="0.4">
      <c r="A108" s="37" t="s">
        <v>22</v>
      </c>
      <c r="B108" s="63">
        <v>501</v>
      </c>
      <c r="C108" s="47" t="s">
        <v>161</v>
      </c>
      <c r="D108" s="75" t="s">
        <v>162</v>
      </c>
      <c r="E108" s="76" t="s">
        <v>19</v>
      </c>
      <c r="F108" s="142">
        <v>4.99</v>
      </c>
      <c r="G108" s="54"/>
      <c r="H108" s="143">
        <f t="shared" ref="H108" si="43">G108*F108</f>
        <v>0</v>
      </c>
      <c r="I108" s="79" t="s">
        <v>40</v>
      </c>
      <c r="J108" s="76" t="s">
        <v>19</v>
      </c>
      <c r="K108" s="77">
        <v>1.05</v>
      </c>
      <c r="L108" s="142">
        <f>K108*F108</f>
        <v>5.2395000000000005</v>
      </c>
      <c r="M108" s="54"/>
      <c r="N108" s="80">
        <f t="shared" si="42"/>
        <v>0</v>
      </c>
    </row>
    <row r="109" spans="1:14" ht="15" thickBot="1" x14ac:dyDescent="0.4">
      <c r="A109" s="37" t="s">
        <v>22</v>
      </c>
      <c r="B109" s="63">
        <v>502</v>
      </c>
      <c r="C109" s="144" t="s">
        <v>163</v>
      </c>
      <c r="D109" s="136" t="s">
        <v>164</v>
      </c>
      <c r="E109" s="145"/>
      <c r="F109" s="146"/>
      <c r="G109" s="146"/>
      <c r="H109" s="146"/>
      <c r="I109" s="147"/>
      <c r="J109" s="145"/>
      <c r="K109" s="146"/>
      <c r="L109" s="146"/>
      <c r="M109" s="146"/>
      <c r="N109" s="148"/>
    </row>
    <row r="110" spans="1:14" ht="16" x14ac:dyDescent="0.4">
      <c r="A110" s="37" t="s">
        <v>22</v>
      </c>
      <c r="B110" s="63">
        <v>503</v>
      </c>
      <c r="C110" s="47" t="s">
        <v>165</v>
      </c>
      <c r="D110" s="141" t="s">
        <v>24</v>
      </c>
      <c r="E110" s="88" t="s">
        <v>25</v>
      </c>
      <c r="F110" s="40">
        <f>2.91*(F117/2.91/0.25)</f>
        <v>115.15999999999998</v>
      </c>
      <c r="G110" s="100"/>
      <c r="H110" s="40">
        <f t="shared" ref="H110:H111" si="44">G110*F110</f>
        <v>0</v>
      </c>
      <c r="I110" s="112"/>
      <c r="J110" s="88"/>
      <c r="K110" s="40"/>
      <c r="L110" s="40"/>
      <c r="M110" s="40"/>
      <c r="N110" s="90"/>
    </row>
    <row r="111" spans="1:14" ht="29" x14ac:dyDescent="0.35">
      <c r="A111" s="37" t="s">
        <v>22</v>
      </c>
      <c r="B111" s="63">
        <v>504</v>
      </c>
      <c r="C111" s="47" t="s">
        <v>166</v>
      </c>
      <c r="D111" s="71" t="s">
        <v>27</v>
      </c>
      <c r="E111" s="37" t="s">
        <v>28</v>
      </c>
      <c r="F111" s="113">
        <f>2547.06/1000</f>
        <v>2.5470600000000001</v>
      </c>
      <c r="G111" s="100"/>
      <c r="H111" s="39">
        <f t="shared" si="44"/>
        <v>0</v>
      </c>
      <c r="I111" s="72" t="s">
        <v>29</v>
      </c>
      <c r="J111" s="37" t="s">
        <v>28</v>
      </c>
      <c r="K111" s="39">
        <v>1.05</v>
      </c>
      <c r="L111" s="113">
        <f>K111*15.17/1000</f>
        <v>1.5928500000000002E-2</v>
      </c>
      <c r="M111" s="53"/>
      <c r="N111" s="73">
        <f t="shared" ref="N111:N117" si="45">M111*L111</f>
        <v>0</v>
      </c>
    </row>
    <row r="112" spans="1:14" x14ac:dyDescent="0.35">
      <c r="A112" s="37" t="s">
        <v>22</v>
      </c>
      <c r="B112" s="63">
        <v>505</v>
      </c>
      <c r="C112" s="47" t="s">
        <v>167</v>
      </c>
      <c r="D112" s="71"/>
      <c r="E112" s="37"/>
      <c r="F112" s="39"/>
      <c r="G112" s="39"/>
      <c r="H112" s="39"/>
      <c r="I112" s="72" t="s">
        <v>44</v>
      </c>
      <c r="J112" s="37" t="s">
        <v>28</v>
      </c>
      <c r="K112" s="39">
        <v>1.05</v>
      </c>
      <c r="L112" s="113">
        <f>K112*1566.77/1000</f>
        <v>1.6451085000000001</v>
      </c>
      <c r="M112" s="53"/>
      <c r="N112" s="73">
        <f t="shared" si="45"/>
        <v>0</v>
      </c>
    </row>
    <row r="113" spans="1:14" x14ac:dyDescent="0.35">
      <c r="A113" s="37" t="s">
        <v>22</v>
      </c>
      <c r="B113" s="63">
        <v>506</v>
      </c>
      <c r="C113" s="47" t="s">
        <v>168</v>
      </c>
      <c r="D113" s="71"/>
      <c r="E113" s="37"/>
      <c r="F113" s="39"/>
      <c r="G113" s="39"/>
      <c r="H113" s="39"/>
      <c r="I113" s="72" t="s">
        <v>31</v>
      </c>
      <c r="J113" s="37" t="s">
        <v>28</v>
      </c>
      <c r="K113" s="39">
        <v>1.05</v>
      </c>
      <c r="L113" s="113">
        <f>K113*842.3/1000</f>
        <v>0.88441499999999995</v>
      </c>
      <c r="M113" s="53"/>
      <c r="N113" s="73">
        <f t="shared" si="45"/>
        <v>0</v>
      </c>
    </row>
    <row r="114" spans="1:14" x14ac:dyDescent="0.35">
      <c r="A114" s="37" t="s">
        <v>22</v>
      </c>
      <c r="B114" s="63">
        <v>507</v>
      </c>
      <c r="C114" s="47" t="s">
        <v>169</v>
      </c>
      <c r="D114" s="71"/>
      <c r="E114" s="37"/>
      <c r="F114" s="39"/>
      <c r="G114" s="39"/>
      <c r="H114" s="39"/>
      <c r="I114" s="72" t="s">
        <v>54</v>
      </c>
      <c r="J114" s="37" t="s">
        <v>28</v>
      </c>
      <c r="K114" s="39">
        <v>1.05</v>
      </c>
      <c r="L114" s="113">
        <f>6.34*1.05/1000</f>
        <v>6.6569999999999997E-3</v>
      </c>
      <c r="M114" s="53"/>
      <c r="N114" s="73">
        <f t="shared" si="45"/>
        <v>0</v>
      </c>
    </row>
    <row r="115" spans="1:14" x14ac:dyDescent="0.35">
      <c r="A115" s="37" t="s">
        <v>22</v>
      </c>
      <c r="B115" s="63">
        <v>508</v>
      </c>
      <c r="C115" s="47" t="s">
        <v>170</v>
      </c>
      <c r="D115" s="74"/>
      <c r="E115" s="37"/>
      <c r="F115" s="39"/>
      <c r="G115" s="39"/>
      <c r="H115" s="39"/>
      <c r="I115" s="72" t="s">
        <v>35</v>
      </c>
      <c r="J115" s="37" t="s">
        <v>28</v>
      </c>
      <c r="K115" s="39">
        <v>1.05</v>
      </c>
      <c r="L115" s="113">
        <f>116.48*1.05/1000</f>
        <v>0.12230400000000001</v>
      </c>
      <c r="M115" s="53"/>
      <c r="N115" s="73">
        <f t="shared" si="45"/>
        <v>0</v>
      </c>
    </row>
    <row r="116" spans="1:14" x14ac:dyDescent="0.35">
      <c r="A116" s="37" t="s">
        <v>22</v>
      </c>
      <c r="B116" s="63">
        <v>509</v>
      </c>
      <c r="C116" s="47" t="s">
        <v>171</v>
      </c>
      <c r="D116" s="74"/>
      <c r="E116" s="37"/>
      <c r="F116" s="39"/>
      <c r="G116" s="39"/>
      <c r="H116" s="39"/>
      <c r="I116" s="72" t="s">
        <v>37</v>
      </c>
      <c r="J116" s="37" t="s">
        <v>28</v>
      </c>
      <c r="K116" s="39">
        <v>1.05</v>
      </c>
      <c r="L116" s="113">
        <f>20/1000*K116*F111</f>
        <v>5.3488260000000003E-2</v>
      </c>
      <c r="M116" s="53"/>
      <c r="N116" s="73">
        <f t="shared" si="45"/>
        <v>0</v>
      </c>
    </row>
    <row r="117" spans="1:14" ht="15" thickBot="1" x14ac:dyDescent="0.4">
      <c r="A117" s="37" t="s">
        <v>22</v>
      </c>
      <c r="B117" s="63">
        <v>510</v>
      </c>
      <c r="C117" s="47" t="s">
        <v>172</v>
      </c>
      <c r="D117" s="75" t="s">
        <v>173</v>
      </c>
      <c r="E117" s="76" t="s">
        <v>19</v>
      </c>
      <c r="F117" s="142">
        <v>28.79</v>
      </c>
      <c r="G117" s="54"/>
      <c r="H117" s="143">
        <f t="shared" ref="H117" si="46">G117*F117</f>
        <v>0</v>
      </c>
      <c r="I117" s="79" t="s">
        <v>40</v>
      </c>
      <c r="J117" s="76" t="s">
        <v>19</v>
      </c>
      <c r="K117" s="77">
        <v>1.05</v>
      </c>
      <c r="L117" s="142">
        <f>K117*F117</f>
        <v>30.229500000000002</v>
      </c>
      <c r="M117" s="54"/>
      <c r="N117" s="80">
        <f t="shared" si="45"/>
        <v>0</v>
      </c>
    </row>
    <row r="118" spans="1:14" ht="15" thickBot="1" x14ac:dyDescent="0.4">
      <c r="A118" s="37" t="s">
        <v>22</v>
      </c>
      <c r="B118" s="63">
        <v>511</v>
      </c>
      <c r="C118" s="144" t="s">
        <v>174</v>
      </c>
      <c r="D118" s="136" t="s">
        <v>175</v>
      </c>
      <c r="E118" s="145"/>
      <c r="F118" s="146"/>
      <c r="G118" s="146"/>
      <c r="H118" s="146"/>
      <c r="I118" s="147"/>
      <c r="J118" s="145"/>
      <c r="K118" s="146"/>
      <c r="L118" s="146"/>
      <c r="M118" s="146"/>
      <c r="N118" s="148"/>
    </row>
    <row r="119" spans="1:14" ht="16" x14ac:dyDescent="0.4">
      <c r="A119" s="37" t="s">
        <v>22</v>
      </c>
      <c r="B119" s="63">
        <v>512</v>
      </c>
      <c r="C119" s="47" t="s">
        <v>176</v>
      </c>
      <c r="D119" s="141" t="s">
        <v>24</v>
      </c>
      <c r="E119" s="88" t="s">
        <v>25</v>
      </c>
      <c r="F119" s="40">
        <f>2.91*(F124/2.91/0.25)</f>
        <v>30.4</v>
      </c>
      <c r="G119" s="100"/>
      <c r="H119" s="40">
        <f t="shared" ref="H119:H120" si="47">G119*F119</f>
        <v>0</v>
      </c>
      <c r="I119" s="112"/>
      <c r="J119" s="88"/>
      <c r="K119" s="40"/>
      <c r="L119" s="40"/>
      <c r="M119" s="40"/>
      <c r="N119" s="90"/>
    </row>
    <row r="120" spans="1:14" ht="29" x14ac:dyDescent="0.35">
      <c r="A120" s="37" t="s">
        <v>22</v>
      </c>
      <c r="B120" s="63">
        <v>513</v>
      </c>
      <c r="C120" s="47" t="s">
        <v>177</v>
      </c>
      <c r="D120" s="71" t="s">
        <v>27</v>
      </c>
      <c r="E120" s="37" t="s">
        <v>28</v>
      </c>
      <c r="F120" s="113">
        <f>855.5/1000</f>
        <v>0.85550000000000004</v>
      </c>
      <c r="G120" s="100"/>
      <c r="H120" s="39">
        <f t="shared" si="47"/>
        <v>0</v>
      </c>
      <c r="I120" s="72" t="s">
        <v>44</v>
      </c>
      <c r="J120" s="37" t="s">
        <v>28</v>
      </c>
      <c r="K120" s="39">
        <v>1.05</v>
      </c>
      <c r="L120" s="113">
        <f>K120*495.5/1000</f>
        <v>0.52027499999999993</v>
      </c>
      <c r="M120" s="53"/>
      <c r="N120" s="73">
        <f t="shared" ref="N120:N124" si="48">M120*L120</f>
        <v>0</v>
      </c>
    </row>
    <row r="121" spans="1:14" x14ac:dyDescent="0.35">
      <c r="A121" s="37" t="s">
        <v>22</v>
      </c>
      <c r="B121" s="63">
        <v>514</v>
      </c>
      <c r="C121" s="47" t="s">
        <v>178</v>
      </c>
      <c r="D121" s="71"/>
      <c r="E121" s="37"/>
      <c r="F121" s="39"/>
      <c r="G121" s="39"/>
      <c r="H121" s="39"/>
      <c r="I121" s="72" t="s">
        <v>31</v>
      </c>
      <c r="J121" s="37" t="s">
        <v>28</v>
      </c>
      <c r="K121" s="39">
        <v>1.05</v>
      </c>
      <c r="L121" s="113">
        <f>K121*330.39/1000</f>
        <v>0.34690949999999998</v>
      </c>
      <c r="M121" s="53"/>
      <c r="N121" s="73">
        <f t="shared" si="48"/>
        <v>0</v>
      </c>
    </row>
    <row r="122" spans="1:14" x14ac:dyDescent="0.35">
      <c r="A122" s="37" t="s">
        <v>22</v>
      </c>
      <c r="B122" s="63">
        <v>515</v>
      </c>
      <c r="C122" s="47" t="s">
        <v>179</v>
      </c>
      <c r="D122" s="74"/>
      <c r="E122" s="37"/>
      <c r="F122" s="39"/>
      <c r="G122" s="39"/>
      <c r="H122" s="39"/>
      <c r="I122" s="72" t="s">
        <v>35</v>
      </c>
      <c r="J122" s="37" t="s">
        <v>28</v>
      </c>
      <c r="K122" s="39">
        <v>1.05</v>
      </c>
      <c r="L122" s="113">
        <f>29.61*1.05/1000</f>
        <v>3.1090500000000004E-2</v>
      </c>
      <c r="M122" s="53"/>
      <c r="N122" s="73">
        <f t="shared" si="48"/>
        <v>0</v>
      </c>
    </row>
    <row r="123" spans="1:14" x14ac:dyDescent="0.35">
      <c r="A123" s="37" t="s">
        <v>22</v>
      </c>
      <c r="B123" s="63">
        <v>516</v>
      </c>
      <c r="C123" s="47" t="s">
        <v>180</v>
      </c>
      <c r="D123" s="74"/>
      <c r="E123" s="37"/>
      <c r="F123" s="39"/>
      <c r="G123" s="39"/>
      <c r="H123" s="39"/>
      <c r="I123" s="72" t="s">
        <v>37</v>
      </c>
      <c r="J123" s="37" t="s">
        <v>28</v>
      </c>
      <c r="K123" s="39">
        <v>1.05</v>
      </c>
      <c r="L123" s="113">
        <f>20/1000*K123*F120</f>
        <v>1.7965500000000002E-2</v>
      </c>
      <c r="M123" s="53"/>
      <c r="N123" s="73">
        <f t="shared" si="48"/>
        <v>0</v>
      </c>
    </row>
    <row r="124" spans="1:14" x14ac:dyDescent="0.35">
      <c r="A124" s="37" t="s">
        <v>22</v>
      </c>
      <c r="B124" s="63">
        <v>517</v>
      </c>
      <c r="C124" s="47" t="s">
        <v>181</v>
      </c>
      <c r="D124" s="74" t="s">
        <v>173</v>
      </c>
      <c r="E124" s="37" t="s">
        <v>19</v>
      </c>
      <c r="F124" s="113">
        <v>7.6</v>
      </c>
      <c r="G124" s="53"/>
      <c r="H124" s="149">
        <f t="shared" ref="H124" si="49">G124*F124</f>
        <v>0</v>
      </c>
      <c r="I124" s="72" t="s">
        <v>40</v>
      </c>
      <c r="J124" s="37" t="s">
        <v>19</v>
      </c>
      <c r="K124" s="39">
        <v>1.05</v>
      </c>
      <c r="L124" s="113">
        <f>K124*F124</f>
        <v>7.9799999999999995</v>
      </c>
      <c r="M124" s="53"/>
      <c r="N124" s="73">
        <f t="shared" si="48"/>
        <v>0</v>
      </c>
    </row>
    <row r="125" spans="1:14" ht="16" x14ac:dyDescent="0.4">
      <c r="A125" s="37" t="s">
        <v>22</v>
      </c>
      <c r="B125" s="63">
        <v>518</v>
      </c>
      <c r="C125" s="47" t="s">
        <v>182</v>
      </c>
      <c r="D125" s="150" t="s">
        <v>183</v>
      </c>
      <c r="E125" s="76"/>
      <c r="F125" s="77"/>
      <c r="G125" s="151"/>
      <c r="H125" s="77"/>
      <c r="I125" s="72"/>
      <c r="J125" s="37"/>
      <c r="K125" s="39"/>
      <c r="L125" s="39"/>
      <c r="M125" s="40"/>
      <c r="N125" s="73"/>
    </row>
    <row r="126" spans="1:14" ht="16" x14ac:dyDescent="0.4">
      <c r="A126" s="37" t="s">
        <v>22</v>
      </c>
      <c r="B126" s="63">
        <v>519</v>
      </c>
      <c r="C126" s="47" t="s">
        <v>184</v>
      </c>
      <c r="D126" s="74" t="s">
        <v>185</v>
      </c>
      <c r="E126" s="37" t="s">
        <v>28</v>
      </c>
      <c r="F126" s="113">
        <f>(104.39+116.48+4.16+6.04+7.54+7.39+3.77+1.3)/1000</f>
        <v>0.25107000000000002</v>
      </c>
      <c r="G126" s="152"/>
      <c r="H126" s="153">
        <f t="shared" ref="H126" si="50">G126*F126</f>
        <v>0</v>
      </c>
      <c r="I126" s="79" t="s">
        <v>186</v>
      </c>
      <c r="J126" s="76" t="s">
        <v>28</v>
      </c>
      <c r="K126" s="77">
        <v>1.05</v>
      </c>
      <c r="L126" s="142">
        <f>K126*104.39/1000</f>
        <v>0.10960950000000001</v>
      </c>
      <c r="M126" s="53"/>
      <c r="N126" s="73">
        <f t="shared" ref="N126:N142" si="51">M126*L126</f>
        <v>0</v>
      </c>
    </row>
    <row r="127" spans="1:14" ht="16" x14ac:dyDescent="0.4">
      <c r="A127" s="37" t="s">
        <v>22</v>
      </c>
      <c r="B127" s="63">
        <v>520</v>
      </c>
      <c r="C127" s="47" t="s">
        <v>187</v>
      </c>
      <c r="D127" s="110"/>
      <c r="E127" s="88"/>
      <c r="F127" s="40"/>
      <c r="G127" s="154"/>
      <c r="H127" s="122"/>
      <c r="I127" s="79" t="s">
        <v>188</v>
      </c>
      <c r="J127" s="76" t="s">
        <v>28</v>
      </c>
      <c r="K127" s="77">
        <v>1.05</v>
      </c>
      <c r="L127" s="142">
        <f>K127*(116.48+4.16)/1000</f>
        <v>0.12667200000000001</v>
      </c>
      <c r="M127" s="53"/>
      <c r="N127" s="73">
        <f t="shared" si="51"/>
        <v>0</v>
      </c>
    </row>
    <row r="128" spans="1:14" ht="16" x14ac:dyDescent="0.4">
      <c r="A128" s="37" t="s">
        <v>22</v>
      </c>
      <c r="B128" s="63">
        <v>521</v>
      </c>
      <c r="C128" s="47" t="s">
        <v>189</v>
      </c>
      <c r="D128" s="110"/>
      <c r="E128" s="88"/>
      <c r="F128" s="40"/>
      <c r="G128" s="154"/>
      <c r="H128" s="122"/>
      <c r="I128" s="79" t="s">
        <v>190</v>
      </c>
      <c r="J128" s="76" t="s">
        <v>28</v>
      </c>
      <c r="K128" s="77">
        <v>1.05</v>
      </c>
      <c r="L128" s="142">
        <f>6.04*K128/1000</f>
        <v>6.3420000000000004E-3</v>
      </c>
      <c r="M128" s="53"/>
      <c r="N128" s="73">
        <f t="shared" si="51"/>
        <v>0</v>
      </c>
    </row>
    <row r="129" spans="1:14" ht="16" x14ac:dyDescent="0.4">
      <c r="A129" s="37" t="s">
        <v>22</v>
      </c>
      <c r="B129" s="63">
        <v>522</v>
      </c>
      <c r="C129" s="47" t="s">
        <v>191</v>
      </c>
      <c r="D129" s="110"/>
      <c r="E129" s="88"/>
      <c r="F129" s="40"/>
      <c r="G129" s="154"/>
      <c r="H129" s="122"/>
      <c r="I129" s="79" t="s">
        <v>192</v>
      </c>
      <c r="J129" s="76" t="s">
        <v>28</v>
      </c>
      <c r="K129" s="77">
        <v>1.05</v>
      </c>
      <c r="L129" s="142">
        <f>K129*(7.54)/1000</f>
        <v>7.9170000000000004E-3</v>
      </c>
      <c r="M129" s="53"/>
      <c r="N129" s="73">
        <f t="shared" si="51"/>
        <v>0</v>
      </c>
    </row>
    <row r="130" spans="1:14" x14ac:dyDescent="0.35">
      <c r="A130" s="37" t="s">
        <v>22</v>
      </c>
      <c r="B130" s="63">
        <v>523</v>
      </c>
      <c r="C130" s="47" t="s">
        <v>193</v>
      </c>
      <c r="D130" s="102"/>
      <c r="E130" s="72"/>
      <c r="F130" s="39"/>
      <c r="G130" s="39"/>
      <c r="H130" s="39"/>
      <c r="I130" s="72" t="s">
        <v>194</v>
      </c>
      <c r="J130" s="37" t="s">
        <v>28</v>
      </c>
      <c r="K130" s="77">
        <v>1.05</v>
      </c>
      <c r="L130" s="142">
        <f>K130*7.39/1000</f>
        <v>7.7594999999999999E-3</v>
      </c>
      <c r="M130" s="53"/>
      <c r="N130" s="73">
        <f t="shared" si="51"/>
        <v>0</v>
      </c>
    </row>
    <row r="131" spans="1:14" x14ac:dyDescent="0.35">
      <c r="A131" s="37" t="s">
        <v>22</v>
      </c>
      <c r="B131" s="63">
        <v>524</v>
      </c>
      <c r="C131" s="47" t="s">
        <v>195</v>
      </c>
      <c r="D131" s="102"/>
      <c r="E131" s="72"/>
      <c r="F131" s="39"/>
      <c r="G131" s="39"/>
      <c r="H131" s="42"/>
      <c r="I131" s="72" t="s">
        <v>196</v>
      </c>
      <c r="J131" s="37" t="s">
        <v>28</v>
      </c>
      <c r="K131" s="77">
        <v>1.05</v>
      </c>
      <c r="L131" s="142">
        <f>K131*3.77/1000</f>
        <v>3.9585000000000002E-3</v>
      </c>
      <c r="M131" s="53"/>
      <c r="N131" s="73">
        <f t="shared" si="51"/>
        <v>0</v>
      </c>
    </row>
    <row r="132" spans="1:14" x14ac:dyDescent="0.35">
      <c r="A132" s="37" t="s">
        <v>22</v>
      </c>
      <c r="B132" s="63">
        <v>525</v>
      </c>
      <c r="C132" s="47" t="s">
        <v>197</v>
      </c>
      <c r="D132" s="102"/>
      <c r="E132" s="72"/>
      <c r="F132" s="39"/>
      <c r="G132" s="39"/>
      <c r="H132" s="39"/>
      <c r="I132" s="72" t="s">
        <v>31</v>
      </c>
      <c r="J132" s="37" t="s">
        <v>28</v>
      </c>
      <c r="K132" s="77">
        <v>1.05</v>
      </c>
      <c r="L132" s="142">
        <f>K132*1.3/1000</f>
        <v>1.3650000000000001E-3</v>
      </c>
      <c r="M132" s="53"/>
      <c r="N132" s="73">
        <f t="shared" si="51"/>
        <v>0</v>
      </c>
    </row>
    <row r="133" spans="1:14" x14ac:dyDescent="0.35">
      <c r="A133" s="37" t="s">
        <v>22</v>
      </c>
      <c r="B133" s="63">
        <v>526</v>
      </c>
      <c r="C133" s="47" t="s">
        <v>198</v>
      </c>
      <c r="D133" s="102"/>
      <c r="E133" s="72"/>
      <c r="F133" s="39"/>
      <c r="G133" s="39"/>
      <c r="H133" s="39"/>
      <c r="I133" s="72" t="s">
        <v>199</v>
      </c>
      <c r="J133" s="37" t="s">
        <v>200</v>
      </c>
      <c r="K133" s="39">
        <f>1000</f>
        <v>1000</v>
      </c>
      <c r="L133" s="113">
        <f>K133*(L126+L130+L131+L132+L127+L128+L129)</f>
        <v>263.62350000000009</v>
      </c>
      <c r="M133" s="53"/>
      <c r="N133" s="73">
        <f t="shared" si="51"/>
        <v>0</v>
      </c>
    </row>
    <row r="134" spans="1:14" x14ac:dyDescent="0.35">
      <c r="A134" s="37" t="s">
        <v>22</v>
      </c>
      <c r="B134" s="63">
        <v>527</v>
      </c>
      <c r="C134" s="47" t="s">
        <v>201</v>
      </c>
      <c r="D134" s="102"/>
      <c r="E134" s="72"/>
      <c r="F134" s="39"/>
      <c r="G134" s="39"/>
      <c r="H134" s="39"/>
      <c r="I134" s="72" t="s">
        <v>202</v>
      </c>
      <c r="J134" s="37" t="s">
        <v>91</v>
      </c>
      <c r="K134" s="77"/>
      <c r="L134" s="142">
        <v>6</v>
      </c>
      <c r="M134" s="53"/>
      <c r="N134" s="73">
        <f t="shared" si="51"/>
        <v>0</v>
      </c>
    </row>
    <row r="135" spans="1:14" x14ac:dyDescent="0.35">
      <c r="A135" s="37" t="s">
        <v>22</v>
      </c>
      <c r="B135" s="63">
        <v>528</v>
      </c>
      <c r="C135" s="47" t="s">
        <v>203</v>
      </c>
      <c r="D135" s="102"/>
      <c r="E135" s="72"/>
      <c r="F135" s="39"/>
      <c r="G135" s="39"/>
      <c r="H135" s="39"/>
      <c r="I135" s="72" t="s">
        <v>204</v>
      </c>
      <c r="J135" s="37" t="s">
        <v>91</v>
      </c>
      <c r="K135" s="77"/>
      <c r="L135" s="142">
        <v>6</v>
      </c>
      <c r="M135" s="53"/>
      <c r="N135" s="73">
        <f t="shared" si="51"/>
        <v>0</v>
      </c>
    </row>
    <row r="136" spans="1:14" x14ac:dyDescent="0.35">
      <c r="A136" s="37" t="s">
        <v>22</v>
      </c>
      <c r="B136" s="63">
        <v>529</v>
      </c>
      <c r="C136" s="47" t="s">
        <v>205</v>
      </c>
      <c r="D136" s="102"/>
      <c r="E136" s="72"/>
      <c r="F136" s="39"/>
      <c r="G136" s="39"/>
      <c r="H136" s="39"/>
      <c r="I136" s="72" t="s">
        <v>206</v>
      </c>
      <c r="J136" s="37" t="s">
        <v>91</v>
      </c>
      <c r="K136" s="77"/>
      <c r="L136" s="142">
        <v>12</v>
      </c>
      <c r="M136" s="53"/>
      <c r="N136" s="73">
        <f t="shared" si="51"/>
        <v>0</v>
      </c>
    </row>
    <row r="137" spans="1:14" x14ac:dyDescent="0.35">
      <c r="A137" s="37" t="s">
        <v>22</v>
      </c>
      <c r="B137" s="63">
        <v>530</v>
      </c>
      <c r="C137" s="47" t="s">
        <v>207</v>
      </c>
      <c r="D137" s="102"/>
      <c r="E137" s="72"/>
      <c r="F137" s="39"/>
      <c r="G137" s="39"/>
      <c r="H137" s="39"/>
      <c r="I137" s="72" t="s">
        <v>208</v>
      </c>
      <c r="J137" s="37" t="s">
        <v>91</v>
      </c>
      <c r="K137" s="77"/>
      <c r="L137" s="142">
        <v>3</v>
      </c>
      <c r="M137" s="53"/>
      <c r="N137" s="73">
        <f t="shared" si="51"/>
        <v>0</v>
      </c>
    </row>
    <row r="138" spans="1:14" x14ac:dyDescent="0.35">
      <c r="A138" s="37" t="s">
        <v>22</v>
      </c>
      <c r="B138" s="63">
        <v>531</v>
      </c>
      <c r="C138" s="47" t="s">
        <v>209</v>
      </c>
      <c r="D138" s="102"/>
      <c r="E138" s="72"/>
      <c r="F138" s="39"/>
      <c r="G138" s="39"/>
      <c r="H138" s="39"/>
      <c r="I138" s="72" t="s">
        <v>210</v>
      </c>
      <c r="J138" s="37" t="s">
        <v>91</v>
      </c>
      <c r="K138" s="77"/>
      <c r="L138" s="142">
        <v>3</v>
      </c>
      <c r="M138" s="53"/>
      <c r="N138" s="73">
        <f t="shared" si="51"/>
        <v>0</v>
      </c>
    </row>
    <row r="139" spans="1:14" x14ac:dyDescent="0.35">
      <c r="A139" s="37" t="s">
        <v>22</v>
      </c>
      <c r="B139" s="63">
        <v>532</v>
      </c>
      <c r="C139" s="47" t="s">
        <v>211</v>
      </c>
      <c r="D139" s="102"/>
      <c r="E139" s="72"/>
      <c r="F139" s="39"/>
      <c r="G139" s="39"/>
      <c r="H139" s="39"/>
      <c r="I139" s="72" t="s">
        <v>212</v>
      </c>
      <c r="J139" s="37" t="s">
        <v>91</v>
      </c>
      <c r="K139" s="77"/>
      <c r="L139" s="142">
        <v>6</v>
      </c>
      <c r="M139" s="53"/>
      <c r="N139" s="73">
        <f t="shared" si="51"/>
        <v>0</v>
      </c>
    </row>
    <row r="140" spans="1:14" x14ac:dyDescent="0.35">
      <c r="A140" s="37" t="s">
        <v>22</v>
      </c>
      <c r="B140" s="63">
        <v>533</v>
      </c>
      <c r="C140" s="47" t="s">
        <v>213</v>
      </c>
      <c r="D140" s="102"/>
      <c r="E140" s="72"/>
      <c r="F140" s="39"/>
      <c r="G140" s="39"/>
      <c r="H140" s="39"/>
      <c r="I140" s="72" t="s">
        <v>214</v>
      </c>
      <c r="J140" s="37" t="s">
        <v>215</v>
      </c>
      <c r="K140" s="77"/>
      <c r="L140" s="142">
        <f>110/1000</f>
        <v>0.11</v>
      </c>
      <c r="M140" s="53"/>
      <c r="N140" s="73">
        <f t="shared" si="51"/>
        <v>0</v>
      </c>
    </row>
    <row r="141" spans="1:14" ht="29.5" x14ac:dyDescent="0.4">
      <c r="A141" s="37" t="s">
        <v>22</v>
      </c>
      <c r="B141" s="63">
        <v>534</v>
      </c>
      <c r="C141" s="47" t="s">
        <v>216</v>
      </c>
      <c r="D141" s="101" t="s">
        <v>217</v>
      </c>
      <c r="E141" s="37" t="s">
        <v>25</v>
      </c>
      <c r="F141" s="39">
        <v>6.21</v>
      </c>
      <c r="G141" s="152"/>
      <c r="H141" s="149">
        <f t="shared" ref="H141:H142" si="52">G141*F141</f>
        <v>0</v>
      </c>
      <c r="I141" s="72" t="s">
        <v>218</v>
      </c>
      <c r="J141" s="37" t="s">
        <v>215</v>
      </c>
      <c r="K141" s="39">
        <v>0.2</v>
      </c>
      <c r="L141" s="113">
        <f>K141*F141</f>
        <v>1.242</v>
      </c>
      <c r="M141" s="53"/>
      <c r="N141" s="73">
        <f t="shared" si="51"/>
        <v>0</v>
      </c>
    </row>
    <row r="142" spans="1:14" ht="30" thickBot="1" x14ac:dyDescent="0.45">
      <c r="A142" s="37" t="s">
        <v>22</v>
      </c>
      <c r="B142" s="63">
        <v>535</v>
      </c>
      <c r="C142" s="47" t="s">
        <v>219</v>
      </c>
      <c r="D142" s="91" t="s">
        <v>220</v>
      </c>
      <c r="E142" s="92" t="s">
        <v>25</v>
      </c>
      <c r="F142" s="39">
        <v>6.21</v>
      </c>
      <c r="G142" s="155"/>
      <c r="H142" s="103">
        <f t="shared" si="52"/>
        <v>0</v>
      </c>
      <c r="I142" s="156" t="s">
        <v>221</v>
      </c>
      <c r="J142" s="92" t="s">
        <v>215</v>
      </c>
      <c r="K142" s="93">
        <v>1.5</v>
      </c>
      <c r="L142" s="114">
        <f>K142*F142</f>
        <v>9.3149999999999995</v>
      </c>
      <c r="M142" s="54"/>
      <c r="N142" s="96">
        <f t="shared" si="51"/>
        <v>0</v>
      </c>
    </row>
    <row r="143" spans="1:14" ht="21.5" thickBot="1" x14ac:dyDescent="0.55000000000000004">
      <c r="A143" s="124"/>
      <c r="B143" s="125">
        <v>536</v>
      </c>
      <c r="C143" s="126"/>
      <c r="D143" s="127" t="s">
        <v>86</v>
      </c>
      <c r="E143" s="128"/>
      <c r="F143" s="129"/>
      <c r="G143" s="129"/>
      <c r="H143" s="157">
        <f>SUM(H48:H142)</f>
        <v>0</v>
      </c>
      <c r="I143" s="131"/>
      <c r="J143" s="132"/>
      <c r="K143" s="133"/>
      <c r="L143" s="133"/>
      <c r="M143" s="133"/>
      <c r="N143" s="157">
        <f>SUM(N48:N142)</f>
        <v>0</v>
      </c>
    </row>
    <row r="144" spans="1:14" ht="21.5" thickBot="1" x14ac:dyDescent="0.55000000000000004">
      <c r="A144" s="55"/>
      <c r="B144" s="56">
        <v>537</v>
      </c>
      <c r="C144" s="158" t="s">
        <v>222</v>
      </c>
      <c r="D144" s="159"/>
      <c r="E144" s="160"/>
      <c r="F144" s="161"/>
      <c r="G144" s="162" t="s">
        <v>223</v>
      </c>
      <c r="H144" s="161"/>
      <c r="I144" s="160"/>
      <c r="J144" s="163"/>
      <c r="K144" s="161"/>
      <c r="L144" s="161"/>
      <c r="M144" s="161"/>
      <c r="N144" s="164"/>
    </row>
    <row r="145" spans="1:14" ht="16" x14ac:dyDescent="0.4">
      <c r="A145" s="37" t="s">
        <v>22</v>
      </c>
      <c r="B145" s="63">
        <v>538</v>
      </c>
      <c r="C145" s="165" t="s">
        <v>224</v>
      </c>
      <c r="D145" s="166" t="s">
        <v>24</v>
      </c>
      <c r="E145" s="88" t="s">
        <v>25</v>
      </c>
      <c r="F145" s="40">
        <f>69.6/0.2</f>
        <v>347.99999999999994</v>
      </c>
      <c r="G145" s="100"/>
      <c r="H145" s="40">
        <f t="shared" ref="H145:H146" si="53">G145*F145</f>
        <v>0</v>
      </c>
      <c r="I145" s="112"/>
      <c r="J145" s="88"/>
      <c r="K145" s="40"/>
      <c r="L145" s="40"/>
      <c r="M145" s="40"/>
      <c r="N145" s="90"/>
    </row>
    <row r="146" spans="1:14" ht="29" x14ac:dyDescent="0.35">
      <c r="A146" s="37" t="s">
        <v>22</v>
      </c>
      <c r="B146" s="63">
        <v>539</v>
      </c>
      <c r="C146" s="144" t="s">
        <v>225</v>
      </c>
      <c r="D146" s="167" t="s">
        <v>27</v>
      </c>
      <c r="E146" s="37" t="s">
        <v>28</v>
      </c>
      <c r="F146" s="113">
        <f>5926.88/1000</f>
        <v>5.9268799999999997</v>
      </c>
      <c r="G146" s="100"/>
      <c r="H146" s="39">
        <f t="shared" si="53"/>
        <v>0</v>
      </c>
      <c r="I146" s="72" t="s">
        <v>29</v>
      </c>
      <c r="J146" s="37" t="s">
        <v>28</v>
      </c>
      <c r="K146" s="39">
        <v>1.05</v>
      </c>
      <c r="L146" s="113">
        <f>139.04*K146/1000</f>
        <v>0.14599199999999998</v>
      </c>
      <c r="M146" s="53"/>
      <c r="N146" s="73">
        <f t="shared" ref="N146:N152" si="54">M146*L146</f>
        <v>0</v>
      </c>
    </row>
    <row r="147" spans="1:14" x14ac:dyDescent="0.35">
      <c r="A147" s="37" t="s">
        <v>22</v>
      </c>
      <c r="B147" s="63">
        <v>540</v>
      </c>
      <c r="C147" s="144" t="s">
        <v>226</v>
      </c>
      <c r="D147" s="167"/>
      <c r="E147" s="37"/>
      <c r="F147" s="39"/>
      <c r="G147" s="39"/>
      <c r="H147" s="39"/>
      <c r="I147" s="72" t="s">
        <v>44</v>
      </c>
      <c r="J147" s="37" t="s">
        <v>28</v>
      </c>
      <c r="K147" s="39">
        <v>1.05</v>
      </c>
      <c r="L147" s="113">
        <f>206.02*K147/1000</f>
        <v>0.21632100000000001</v>
      </c>
      <c r="M147" s="53"/>
      <c r="N147" s="73">
        <f t="shared" si="54"/>
        <v>0</v>
      </c>
    </row>
    <row r="148" spans="1:14" x14ac:dyDescent="0.35">
      <c r="A148" s="37" t="s">
        <v>22</v>
      </c>
      <c r="B148" s="63">
        <v>541</v>
      </c>
      <c r="C148" s="144" t="s">
        <v>227</v>
      </c>
      <c r="D148" s="168"/>
      <c r="E148" s="72"/>
      <c r="F148" s="39"/>
      <c r="G148" s="39"/>
      <c r="H148" s="39"/>
      <c r="I148" s="72" t="s">
        <v>31</v>
      </c>
      <c r="J148" s="37" t="s">
        <v>28</v>
      </c>
      <c r="K148" s="39">
        <v>1.05</v>
      </c>
      <c r="L148" s="113">
        <f>4950.93*K148/1000</f>
        <v>5.1984765000000008</v>
      </c>
      <c r="M148" s="53"/>
      <c r="N148" s="73">
        <f t="shared" si="54"/>
        <v>0</v>
      </c>
    </row>
    <row r="149" spans="1:14" x14ac:dyDescent="0.35">
      <c r="A149" s="37" t="s">
        <v>22</v>
      </c>
      <c r="B149" s="63">
        <v>542</v>
      </c>
      <c r="C149" s="144" t="s">
        <v>228</v>
      </c>
      <c r="D149" s="168"/>
      <c r="E149" s="72"/>
      <c r="F149" s="39"/>
      <c r="G149" s="39"/>
      <c r="H149" s="39"/>
      <c r="I149" s="72" t="s">
        <v>33</v>
      </c>
      <c r="J149" s="37" t="s">
        <v>28</v>
      </c>
      <c r="K149" s="39">
        <v>1.05</v>
      </c>
      <c r="L149" s="113">
        <f>625.93*K149/1000</f>
        <v>0.65722649999999994</v>
      </c>
      <c r="M149" s="53"/>
      <c r="N149" s="73">
        <f t="shared" si="54"/>
        <v>0</v>
      </c>
    </row>
    <row r="150" spans="1:14" x14ac:dyDescent="0.35">
      <c r="A150" s="37" t="s">
        <v>22</v>
      </c>
      <c r="B150" s="63">
        <v>543</v>
      </c>
      <c r="C150" s="144" t="s">
        <v>229</v>
      </c>
      <c r="D150" s="168"/>
      <c r="E150" s="72"/>
      <c r="F150" s="39"/>
      <c r="G150" s="39"/>
      <c r="H150" s="39"/>
      <c r="I150" s="72" t="s">
        <v>35</v>
      </c>
      <c r="J150" s="37" t="s">
        <v>28</v>
      </c>
      <c r="K150" s="39">
        <v>1.05</v>
      </c>
      <c r="L150" s="113">
        <f>4.96*K150/1000</f>
        <v>5.208E-3</v>
      </c>
      <c r="M150" s="53"/>
      <c r="N150" s="73">
        <f t="shared" si="54"/>
        <v>0</v>
      </c>
    </row>
    <row r="151" spans="1:14" x14ac:dyDescent="0.35">
      <c r="A151" s="37" t="s">
        <v>22</v>
      </c>
      <c r="B151" s="63">
        <v>544</v>
      </c>
      <c r="C151" s="144" t="s">
        <v>230</v>
      </c>
      <c r="D151" s="168"/>
      <c r="E151" s="72"/>
      <c r="F151" s="39"/>
      <c r="G151" s="39"/>
      <c r="H151" s="39"/>
      <c r="I151" s="72" t="s">
        <v>37</v>
      </c>
      <c r="J151" s="37" t="s">
        <v>28</v>
      </c>
      <c r="K151" s="39">
        <v>1.05</v>
      </c>
      <c r="L151" s="113">
        <f>20/1000*K151*F146</f>
        <v>0.12446448</v>
      </c>
      <c r="M151" s="53"/>
      <c r="N151" s="73">
        <f t="shared" si="54"/>
        <v>0</v>
      </c>
    </row>
    <row r="152" spans="1:14" ht="15" thickBot="1" x14ac:dyDescent="0.4">
      <c r="A152" s="37" t="s">
        <v>22</v>
      </c>
      <c r="B152" s="63">
        <v>545</v>
      </c>
      <c r="C152" s="144" t="s">
        <v>231</v>
      </c>
      <c r="D152" s="169" t="s">
        <v>39</v>
      </c>
      <c r="E152" s="92" t="s">
        <v>19</v>
      </c>
      <c r="F152" s="114">
        <v>69.599999999999994</v>
      </c>
      <c r="G152" s="54"/>
      <c r="H152" s="103">
        <f t="shared" ref="H152" si="55">G152*F152</f>
        <v>0</v>
      </c>
      <c r="I152" s="95" t="s">
        <v>40</v>
      </c>
      <c r="J152" s="92" t="s">
        <v>19</v>
      </c>
      <c r="K152" s="93">
        <v>1.05</v>
      </c>
      <c r="L152" s="114">
        <f>K152*F152</f>
        <v>73.08</v>
      </c>
      <c r="M152" s="54"/>
      <c r="N152" s="96">
        <f t="shared" si="54"/>
        <v>0</v>
      </c>
    </row>
    <row r="153" spans="1:14" ht="16.5" thickBot="1" x14ac:dyDescent="0.45">
      <c r="A153" s="37"/>
      <c r="B153" s="63">
        <v>546</v>
      </c>
      <c r="C153" s="144" t="s">
        <v>232</v>
      </c>
      <c r="D153" s="170"/>
      <c r="E153" s="16"/>
      <c r="F153" s="42"/>
      <c r="G153" s="171" t="s">
        <v>233</v>
      </c>
      <c r="H153" s="42"/>
      <c r="I153" s="172"/>
      <c r="J153" s="16"/>
      <c r="K153" s="42"/>
      <c r="L153" s="42"/>
      <c r="M153" s="151"/>
      <c r="N153" s="173"/>
    </row>
    <row r="154" spans="1:14" ht="16" x14ac:dyDescent="0.4">
      <c r="A154" s="37" t="s">
        <v>22</v>
      </c>
      <c r="B154" s="63">
        <v>547</v>
      </c>
      <c r="C154" s="144" t="s">
        <v>234</v>
      </c>
      <c r="D154" s="174" t="s">
        <v>24</v>
      </c>
      <c r="E154" s="66" t="s">
        <v>25</v>
      </c>
      <c r="F154" s="67">
        <f>4.7/0.2</f>
        <v>23.5</v>
      </c>
      <c r="G154" s="175"/>
      <c r="H154" s="67">
        <f t="shared" ref="H154:H155" si="56">G154*F154</f>
        <v>0</v>
      </c>
      <c r="I154" s="69"/>
      <c r="J154" s="66"/>
      <c r="K154" s="67"/>
      <c r="L154" s="67"/>
      <c r="M154" s="67"/>
      <c r="N154" s="70"/>
    </row>
    <row r="155" spans="1:14" ht="29" x14ac:dyDescent="0.35">
      <c r="A155" s="37" t="s">
        <v>22</v>
      </c>
      <c r="B155" s="63">
        <v>548</v>
      </c>
      <c r="C155" s="144" t="s">
        <v>235</v>
      </c>
      <c r="D155" s="167" t="s">
        <v>27</v>
      </c>
      <c r="E155" s="37" t="s">
        <v>28</v>
      </c>
      <c r="F155" s="113">
        <f>1354.08/1000</f>
        <v>1.35408</v>
      </c>
      <c r="G155" s="100"/>
      <c r="H155" s="39">
        <f t="shared" si="56"/>
        <v>0</v>
      </c>
      <c r="I155" s="72" t="s">
        <v>80</v>
      </c>
      <c r="J155" s="37" t="s">
        <v>28</v>
      </c>
      <c r="K155" s="39">
        <v>1.05</v>
      </c>
      <c r="L155" s="113">
        <f>150.92*K155/1000</f>
        <v>0.15846599999999997</v>
      </c>
      <c r="M155" s="53"/>
      <c r="N155" s="73">
        <f t="shared" ref="N155:N163" si="57">M155*L155</f>
        <v>0</v>
      </c>
    </row>
    <row r="156" spans="1:14" x14ac:dyDescent="0.35">
      <c r="A156" s="37" t="s">
        <v>22</v>
      </c>
      <c r="B156" s="63">
        <v>549</v>
      </c>
      <c r="C156" s="144" t="s">
        <v>236</v>
      </c>
      <c r="D156" s="167"/>
      <c r="E156" s="37"/>
      <c r="F156" s="39"/>
      <c r="G156" s="39"/>
      <c r="H156" s="39"/>
      <c r="I156" s="72" t="s">
        <v>29</v>
      </c>
      <c r="J156" s="37" t="s">
        <v>28</v>
      </c>
      <c r="K156" s="39">
        <v>1.05</v>
      </c>
      <c r="L156" s="113">
        <f>402.11*K156/1000</f>
        <v>0.42221550000000002</v>
      </c>
      <c r="M156" s="53"/>
      <c r="N156" s="73">
        <f t="shared" si="57"/>
        <v>0</v>
      </c>
    </row>
    <row r="157" spans="1:14" x14ac:dyDescent="0.35">
      <c r="A157" s="37" t="s">
        <v>22</v>
      </c>
      <c r="B157" s="63">
        <v>550</v>
      </c>
      <c r="C157" s="144" t="s">
        <v>237</v>
      </c>
      <c r="D157" s="168"/>
      <c r="E157" s="72"/>
      <c r="F157" s="39"/>
      <c r="G157" s="39"/>
      <c r="H157" s="39"/>
      <c r="I157" s="72" t="s">
        <v>44</v>
      </c>
      <c r="J157" s="37" t="s">
        <v>28</v>
      </c>
      <c r="K157" s="39">
        <v>1.05</v>
      </c>
      <c r="L157" s="113">
        <f>371.98*K157/1000</f>
        <v>0.39057900000000001</v>
      </c>
      <c r="M157" s="53"/>
      <c r="N157" s="73">
        <f t="shared" si="57"/>
        <v>0</v>
      </c>
    </row>
    <row r="158" spans="1:14" x14ac:dyDescent="0.35">
      <c r="A158" s="37" t="s">
        <v>22</v>
      </c>
      <c r="B158" s="63">
        <v>551</v>
      </c>
      <c r="C158" s="144" t="s">
        <v>238</v>
      </c>
      <c r="D158" s="168"/>
      <c r="E158" s="72"/>
      <c r="F158" s="39"/>
      <c r="G158" s="39"/>
      <c r="H158" s="39"/>
      <c r="I158" s="72" t="s">
        <v>31</v>
      </c>
      <c r="J158" s="37" t="s">
        <v>28</v>
      </c>
      <c r="K158" s="39">
        <v>1.05</v>
      </c>
      <c r="L158" s="113">
        <f>264.29*K158/1000</f>
        <v>0.27750449999999999</v>
      </c>
      <c r="M158" s="53"/>
      <c r="N158" s="73">
        <f t="shared" si="57"/>
        <v>0</v>
      </c>
    </row>
    <row r="159" spans="1:14" x14ac:dyDescent="0.35">
      <c r="A159" s="37" t="s">
        <v>22</v>
      </c>
      <c r="B159" s="63">
        <v>552</v>
      </c>
      <c r="C159" s="144" t="s">
        <v>239</v>
      </c>
      <c r="D159" s="168"/>
      <c r="E159" s="72"/>
      <c r="F159" s="39"/>
      <c r="G159" s="39"/>
      <c r="H159" s="39"/>
      <c r="I159" s="72" t="s">
        <v>33</v>
      </c>
      <c r="J159" s="37" t="s">
        <v>28</v>
      </c>
      <c r="K159" s="39">
        <v>1.05</v>
      </c>
      <c r="L159" s="113">
        <f>71.19*K159/1000</f>
        <v>7.4749499999999997E-2</v>
      </c>
      <c r="M159" s="53"/>
      <c r="N159" s="73">
        <f t="shared" si="57"/>
        <v>0</v>
      </c>
    </row>
    <row r="160" spans="1:14" x14ac:dyDescent="0.35">
      <c r="A160" s="37" t="s">
        <v>22</v>
      </c>
      <c r="B160" s="63">
        <v>553</v>
      </c>
      <c r="C160" s="144" t="s">
        <v>240</v>
      </c>
      <c r="D160" s="168"/>
      <c r="E160" s="72"/>
      <c r="F160" s="39"/>
      <c r="G160" s="39"/>
      <c r="H160" s="39"/>
      <c r="I160" s="72" t="s">
        <v>83</v>
      </c>
      <c r="J160" s="37" t="s">
        <v>28</v>
      </c>
      <c r="K160" s="39">
        <v>1.05</v>
      </c>
      <c r="L160" s="113">
        <f>28.77*K160/1000</f>
        <v>3.0208499999999999E-2</v>
      </c>
      <c r="M160" s="53"/>
      <c r="N160" s="73">
        <f t="shared" si="57"/>
        <v>0</v>
      </c>
    </row>
    <row r="161" spans="1:14" x14ac:dyDescent="0.35">
      <c r="A161" s="37" t="s">
        <v>22</v>
      </c>
      <c r="B161" s="63">
        <v>554</v>
      </c>
      <c r="C161" s="144" t="s">
        <v>241</v>
      </c>
      <c r="D161" s="168"/>
      <c r="E161" s="72"/>
      <c r="F161" s="39"/>
      <c r="G161" s="39"/>
      <c r="H161" s="39"/>
      <c r="I161" s="72" t="s">
        <v>54</v>
      </c>
      <c r="J161" s="37" t="s">
        <v>28</v>
      </c>
      <c r="K161" s="39">
        <v>1.05</v>
      </c>
      <c r="L161" s="113">
        <f>64.82*K161/1000</f>
        <v>6.8060999999999997E-2</v>
      </c>
      <c r="M161" s="53"/>
      <c r="N161" s="73">
        <f t="shared" si="57"/>
        <v>0</v>
      </c>
    </row>
    <row r="162" spans="1:14" x14ac:dyDescent="0.35">
      <c r="A162" s="37" t="s">
        <v>22</v>
      </c>
      <c r="B162" s="63">
        <v>555</v>
      </c>
      <c r="C162" s="144" t="s">
        <v>242</v>
      </c>
      <c r="D162" s="168"/>
      <c r="E162" s="72"/>
      <c r="F162" s="39"/>
      <c r="G162" s="39"/>
      <c r="H162" s="39"/>
      <c r="I162" s="72" t="s">
        <v>37</v>
      </c>
      <c r="J162" s="37" t="s">
        <v>28</v>
      </c>
      <c r="K162" s="39">
        <v>1.05</v>
      </c>
      <c r="L162" s="113">
        <f>20/1000*K162*F155</f>
        <v>2.8435680000000001E-2</v>
      </c>
      <c r="M162" s="53"/>
      <c r="N162" s="73">
        <f t="shared" si="57"/>
        <v>0</v>
      </c>
    </row>
    <row r="163" spans="1:14" ht="15" thickBot="1" x14ac:dyDescent="0.4">
      <c r="A163" s="37" t="s">
        <v>22</v>
      </c>
      <c r="B163" s="63">
        <v>556</v>
      </c>
      <c r="C163" s="144" t="s">
        <v>243</v>
      </c>
      <c r="D163" s="169" t="s">
        <v>39</v>
      </c>
      <c r="E163" s="92" t="s">
        <v>19</v>
      </c>
      <c r="F163" s="114">
        <v>4.7</v>
      </c>
      <c r="G163" s="54"/>
      <c r="H163" s="103">
        <f t="shared" ref="H163" si="58">G163*F163</f>
        <v>0</v>
      </c>
      <c r="I163" s="95" t="s">
        <v>40</v>
      </c>
      <c r="J163" s="92" t="s">
        <v>19</v>
      </c>
      <c r="K163" s="93">
        <v>1.05</v>
      </c>
      <c r="L163" s="114">
        <f>K163*F163</f>
        <v>4.9350000000000005</v>
      </c>
      <c r="M163" s="54"/>
      <c r="N163" s="96">
        <f t="shared" si="57"/>
        <v>0</v>
      </c>
    </row>
    <row r="164" spans="1:14" ht="16.5" thickBot="1" x14ac:dyDescent="0.45">
      <c r="A164" s="37"/>
      <c r="B164" s="63">
        <v>557</v>
      </c>
      <c r="C164" s="144" t="s">
        <v>244</v>
      </c>
      <c r="D164" s="170"/>
      <c r="E164" s="16"/>
      <c r="F164" s="42"/>
      <c r="G164" s="171" t="s">
        <v>245</v>
      </c>
      <c r="H164" s="42"/>
      <c r="I164" s="172"/>
      <c r="J164" s="16"/>
      <c r="K164" s="42"/>
      <c r="L164" s="42"/>
      <c r="M164" s="151"/>
      <c r="N164" s="173"/>
    </row>
    <row r="165" spans="1:14" ht="16" x14ac:dyDescent="0.4">
      <c r="A165" s="37" t="s">
        <v>22</v>
      </c>
      <c r="B165" s="63">
        <v>558</v>
      </c>
      <c r="C165" s="144" t="s">
        <v>246</v>
      </c>
      <c r="D165" s="174" t="s">
        <v>24</v>
      </c>
      <c r="E165" s="66" t="s">
        <v>25</v>
      </c>
      <c r="F165" s="67">
        <f>86.9/0.2</f>
        <v>434.5</v>
      </c>
      <c r="G165" s="175"/>
      <c r="H165" s="67">
        <f t="shared" ref="H165:H166" si="59">G165*F165</f>
        <v>0</v>
      </c>
      <c r="I165" s="69"/>
      <c r="J165" s="66"/>
      <c r="K165" s="67"/>
      <c r="L165" s="67"/>
      <c r="M165" s="67"/>
      <c r="N165" s="70"/>
    </row>
    <row r="166" spans="1:14" ht="29" x14ac:dyDescent="0.35">
      <c r="A166" s="37" t="s">
        <v>22</v>
      </c>
      <c r="B166" s="63">
        <v>559</v>
      </c>
      <c r="C166" s="144" t="s">
        <v>247</v>
      </c>
      <c r="D166" s="167" t="s">
        <v>27</v>
      </c>
      <c r="E166" s="37" t="s">
        <v>28</v>
      </c>
      <c r="F166" s="113">
        <f>16296.83/1000</f>
        <v>16.29683</v>
      </c>
      <c r="G166" s="100"/>
      <c r="H166" s="39">
        <f t="shared" si="59"/>
        <v>0</v>
      </c>
      <c r="I166" s="72" t="s">
        <v>61</v>
      </c>
      <c r="J166" s="37" t="s">
        <v>28</v>
      </c>
      <c r="K166" s="39">
        <v>1.05</v>
      </c>
      <c r="L166" s="113">
        <f>4016.22*K166/1000</f>
        <v>4.2170309999999995</v>
      </c>
      <c r="M166" s="53"/>
      <c r="N166" s="73">
        <f t="shared" ref="N166:N172" si="60">M166*L166</f>
        <v>0</v>
      </c>
    </row>
    <row r="167" spans="1:14" x14ac:dyDescent="0.35">
      <c r="A167" s="37" t="s">
        <v>22</v>
      </c>
      <c r="B167" s="63">
        <v>560</v>
      </c>
      <c r="C167" s="144" t="s">
        <v>248</v>
      </c>
      <c r="D167" s="168"/>
      <c r="E167" s="72"/>
      <c r="F167" s="39"/>
      <c r="G167" s="39"/>
      <c r="H167" s="39"/>
      <c r="I167" s="72" t="s">
        <v>29</v>
      </c>
      <c r="J167" s="37" t="s">
        <v>28</v>
      </c>
      <c r="K167" s="39">
        <v>1.05</v>
      </c>
      <c r="L167" s="113">
        <f>2422.77*K167/1000</f>
        <v>2.5439085000000001</v>
      </c>
      <c r="M167" s="53"/>
      <c r="N167" s="73">
        <f t="shared" si="60"/>
        <v>0</v>
      </c>
    </row>
    <row r="168" spans="1:14" x14ac:dyDescent="0.35">
      <c r="A168" s="37" t="s">
        <v>22</v>
      </c>
      <c r="B168" s="63">
        <v>561</v>
      </c>
      <c r="C168" s="144" t="s">
        <v>249</v>
      </c>
      <c r="D168" s="168"/>
      <c r="E168" s="72"/>
      <c r="F168" s="39"/>
      <c r="G168" s="39"/>
      <c r="H168" s="39"/>
      <c r="I168" s="72" t="s">
        <v>44</v>
      </c>
      <c r="J168" s="37" t="s">
        <v>28</v>
      </c>
      <c r="K168" s="39">
        <v>1.05</v>
      </c>
      <c r="L168" s="113">
        <f>7973.8*K168/1000</f>
        <v>8.3724899999999991</v>
      </c>
      <c r="M168" s="53"/>
      <c r="N168" s="73">
        <f t="shared" si="60"/>
        <v>0</v>
      </c>
    </row>
    <row r="169" spans="1:14" x14ac:dyDescent="0.35">
      <c r="A169" s="37" t="s">
        <v>22</v>
      </c>
      <c r="B169" s="63">
        <v>562</v>
      </c>
      <c r="C169" s="144" t="s">
        <v>250</v>
      </c>
      <c r="D169" s="168"/>
      <c r="E169" s="72"/>
      <c r="F169" s="39"/>
      <c r="G169" s="39"/>
      <c r="H169" s="39"/>
      <c r="I169" s="72" t="s">
        <v>31</v>
      </c>
      <c r="J169" s="37" t="s">
        <v>28</v>
      </c>
      <c r="K169" s="39">
        <v>1.05</v>
      </c>
      <c r="L169" s="113">
        <f>1668.95*K169/1000</f>
        <v>1.7523975000000001</v>
      </c>
      <c r="M169" s="53"/>
      <c r="N169" s="73">
        <f t="shared" si="60"/>
        <v>0</v>
      </c>
    </row>
    <row r="170" spans="1:14" x14ac:dyDescent="0.35">
      <c r="A170" s="37" t="s">
        <v>22</v>
      </c>
      <c r="B170" s="63">
        <v>563</v>
      </c>
      <c r="C170" s="144" t="s">
        <v>251</v>
      </c>
      <c r="D170" s="168"/>
      <c r="E170" s="72"/>
      <c r="F170" s="39"/>
      <c r="G170" s="39"/>
      <c r="H170" s="39"/>
      <c r="I170" s="72" t="s">
        <v>54</v>
      </c>
      <c r="J170" s="37" t="s">
        <v>28</v>
      </c>
      <c r="K170" s="39">
        <v>1.05</v>
      </c>
      <c r="L170" s="113">
        <f>215.09*K170/1000</f>
        <v>0.2258445</v>
      </c>
      <c r="M170" s="53"/>
      <c r="N170" s="73">
        <f t="shared" si="60"/>
        <v>0</v>
      </c>
    </row>
    <row r="171" spans="1:14" x14ac:dyDescent="0.35">
      <c r="A171" s="37" t="s">
        <v>22</v>
      </c>
      <c r="B171" s="63">
        <v>564</v>
      </c>
      <c r="C171" s="144" t="s">
        <v>252</v>
      </c>
      <c r="D171" s="168"/>
      <c r="E171" s="72"/>
      <c r="F171" s="39"/>
      <c r="G171" s="39"/>
      <c r="H171" s="39"/>
      <c r="I171" s="72" t="s">
        <v>37</v>
      </c>
      <c r="J171" s="37" t="s">
        <v>28</v>
      </c>
      <c r="K171" s="39">
        <v>1.05</v>
      </c>
      <c r="L171" s="113">
        <f>20/1000*K171*F166</f>
        <v>0.34223343000000001</v>
      </c>
      <c r="M171" s="53"/>
      <c r="N171" s="73">
        <f t="shared" si="60"/>
        <v>0</v>
      </c>
    </row>
    <row r="172" spans="1:14" ht="15" thickBot="1" x14ac:dyDescent="0.4">
      <c r="A172" s="37" t="s">
        <v>22</v>
      </c>
      <c r="B172" s="63">
        <v>565</v>
      </c>
      <c r="C172" s="176" t="s">
        <v>253</v>
      </c>
      <c r="D172" s="169" t="s">
        <v>39</v>
      </c>
      <c r="E172" s="92" t="s">
        <v>19</v>
      </c>
      <c r="F172" s="114">
        <v>86.9</v>
      </c>
      <c r="G172" s="54"/>
      <c r="H172" s="103">
        <f t="shared" ref="H172" si="61">G172*F172</f>
        <v>0</v>
      </c>
      <c r="I172" s="95" t="s">
        <v>40</v>
      </c>
      <c r="J172" s="92" t="s">
        <v>19</v>
      </c>
      <c r="K172" s="93">
        <v>1.05</v>
      </c>
      <c r="L172" s="114">
        <f>K172*F172</f>
        <v>91.245000000000005</v>
      </c>
      <c r="M172" s="54"/>
      <c r="N172" s="96">
        <f t="shared" si="60"/>
        <v>0</v>
      </c>
    </row>
    <row r="173" spans="1:14" ht="21.5" thickBot="1" x14ac:dyDescent="0.55000000000000004">
      <c r="A173" s="124"/>
      <c r="B173" s="125">
        <v>566</v>
      </c>
      <c r="C173" s="126"/>
      <c r="D173" s="127" t="s">
        <v>86</v>
      </c>
      <c r="E173" s="128"/>
      <c r="F173" s="129"/>
      <c r="G173" s="129"/>
      <c r="H173" s="133">
        <f>SUM(H145:H172)</f>
        <v>0</v>
      </c>
      <c r="I173" s="131"/>
      <c r="J173" s="132"/>
      <c r="K173" s="133"/>
      <c r="L173" s="133"/>
      <c r="M173" s="133"/>
      <c r="N173" s="133">
        <f>SUM(N145:N172)</f>
        <v>0</v>
      </c>
    </row>
    <row r="174" spans="1:14" ht="21.5" thickBot="1" x14ac:dyDescent="0.55000000000000004">
      <c r="A174" s="55"/>
      <c r="B174" s="56">
        <v>567</v>
      </c>
      <c r="C174" s="177" t="s">
        <v>254</v>
      </c>
      <c r="D174" s="178"/>
      <c r="E174" s="179"/>
      <c r="F174" s="180"/>
      <c r="G174" s="181" t="s">
        <v>255</v>
      </c>
      <c r="H174" s="180"/>
      <c r="I174" s="182"/>
      <c r="J174" s="179"/>
      <c r="K174" s="180"/>
      <c r="L174" s="180"/>
      <c r="M174" s="180"/>
      <c r="N174" s="183"/>
    </row>
    <row r="175" spans="1:14" ht="16.5" thickBot="1" x14ac:dyDescent="0.45">
      <c r="A175" s="37" t="s">
        <v>22</v>
      </c>
      <c r="B175" s="63">
        <v>568</v>
      </c>
      <c r="C175" s="184" t="s">
        <v>256</v>
      </c>
      <c r="D175" s="185" t="s">
        <v>257</v>
      </c>
      <c r="E175" s="186" t="s">
        <v>91</v>
      </c>
      <c r="F175" s="187">
        <v>11</v>
      </c>
      <c r="G175" s="188"/>
      <c r="H175" s="187"/>
      <c r="I175" s="189"/>
      <c r="J175" s="186"/>
      <c r="K175" s="187"/>
      <c r="L175" s="187"/>
      <c r="M175" s="187"/>
      <c r="N175" s="190"/>
    </row>
    <row r="176" spans="1:14" ht="16" x14ac:dyDescent="0.4">
      <c r="A176" s="37" t="s">
        <v>22</v>
      </c>
      <c r="B176" s="63">
        <v>569</v>
      </c>
      <c r="C176" s="47" t="s">
        <v>258</v>
      </c>
      <c r="D176" s="74" t="s">
        <v>24</v>
      </c>
      <c r="E176" s="37" t="s">
        <v>25</v>
      </c>
      <c r="F176" s="39">
        <f>(11*(3.4)*0.5)*2+(11*(3.4)*0.25)*2</f>
        <v>56.099999999999994</v>
      </c>
      <c r="G176" s="175"/>
      <c r="H176" s="39">
        <f t="shared" ref="H176:H177" si="62">G176*F176</f>
        <v>0</v>
      </c>
      <c r="I176" s="191"/>
      <c r="J176" s="37"/>
      <c r="K176" s="39"/>
      <c r="L176" s="39"/>
      <c r="M176" s="39"/>
      <c r="N176" s="73"/>
    </row>
    <row r="177" spans="1:14" ht="29" x14ac:dyDescent="0.35">
      <c r="A177" s="37" t="s">
        <v>22</v>
      </c>
      <c r="B177" s="63">
        <v>570</v>
      </c>
      <c r="C177" s="47" t="s">
        <v>259</v>
      </c>
      <c r="D177" s="71" t="s">
        <v>27</v>
      </c>
      <c r="E177" s="37" t="s">
        <v>28</v>
      </c>
      <c r="F177" s="113">
        <f>11*82.59/1000</f>
        <v>0.90849000000000002</v>
      </c>
      <c r="G177" s="100"/>
      <c r="H177" s="39">
        <f t="shared" si="62"/>
        <v>0</v>
      </c>
      <c r="I177" s="72" t="s">
        <v>29</v>
      </c>
      <c r="J177" s="37" t="s">
        <v>28</v>
      </c>
      <c r="K177" s="39">
        <v>1.05</v>
      </c>
      <c r="L177" s="113">
        <f>11*K177*65.48/1000</f>
        <v>0.75629400000000013</v>
      </c>
      <c r="M177" s="53"/>
      <c r="N177" s="73">
        <f t="shared" ref="N177:N180" si="63">M177*L177</f>
        <v>0</v>
      </c>
    </row>
    <row r="178" spans="1:14" x14ac:dyDescent="0.35">
      <c r="A178" s="37" t="s">
        <v>22</v>
      </c>
      <c r="B178" s="63">
        <v>571</v>
      </c>
      <c r="C178" s="47" t="s">
        <v>260</v>
      </c>
      <c r="D178" s="74"/>
      <c r="E178" s="37"/>
      <c r="F178" s="39"/>
      <c r="G178" s="39"/>
      <c r="H178" s="39"/>
      <c r="I178" s="72" t="s">
        <v>54</v>
      </c>
      <c r="J178" s="37" t="s">
        <v>28</v>
      </c>
      <c r="K178" s="39">
        <v>1.05</v>
      </c>
      <c r="L178" s="113">
        <f>K178*11*17.11/1000</f>
        <v>0.1976205</v>
      </c>
      <c r="M178" s="53"/>
      <c r="N178" s="73">
        <f t="shared" si="63"/>
        <v>0</v>
      </c>
    </row>
    <row r="179" spans="1:14" x14ac:dyDescent="0.35">
      <c r="A179" s="37" t="s">
        <v>22</v>
      </c>
      <c r="B179" s="63">
        <v>572</v>
      </c>
      <c r="C179" s="47" t="s">
        <v>261</v>
      </c>
      <c r="D179" s="74"/>
      <c r="E179" s="37"/>
      <c r="F179" s="39"/>
      <c r="G179" s="39"/>
      <c r="H179" s="39"/>
      <c r="I179" s="72" t="s">
        <v>37</v>
      </c>
      <c r="J179" s="37" t="s">
        <v>28</v>
      </c>
      <c r="K179" s="39">
        <v>1.05</v>
      </c>
      <c r="L179" s="113">
        <f>20/1000*K179*F177</f>
        <v>1.9078290000000001E-2</v>
      </c>
      <c r="M179" s="53"/>
      <c r="N179" s="73">
        <f t="shared" si="63"/>
        <v>0</v>
      </c>
    </row>
    <row r="180" spans="1:14" ht="15" thickBot="1" x14ac:dyDescent="0.4">
      <c r="A180" s="37" t="s">
        <v>22</v>
      </c>
      <c r="B180" s="63">
        <v>573</v>
      </c>
      <c r="C180" s="47" t="s">
        <v>262</v>
      </c>
      <c r="D180" s="74" t="s">
        <v>97</v>
      </c>
      <c r="E180" s="37" t="s">
        <v>19</v>
      </c>
      <c r="F180" s="113">
        <f>11*0.425</f>
        <v>4.6749999999999998</v>
      </c>
      <c r="G180" s="54"/>
      <c r="H180" s="149">
        <f t="shared" ref="H180" si="64">G180*F180</f>
        <v>0</v>
      </c>
      <c r="I180" s="72" t="s">
        <v>40</v>
      </c>
      <c r="J180" s="37" t="s">
        <v>19</v>
      </c>
      <c r="K180" s="39">
        <v>1.05</v>
      </c>
      <c r="L180" s="113">
        <f>K180*F180</f>
        <v>4.9087500000000004</v>
      </c>
      <c r="M180" s="54"/>
      <c r="N180" s="73">
        <f t="shared" si="63"/>
        <v>0</v>
      </c>
    </row>
    <row r="181" spans="1:14" ht="16.5" thickBot="1" x14ac:dyDescent="0.45">
      <c r="A181" s="37" t="s">
        <v>22</v>
      </c>
      <c r="B181" s="63">
        <v>574</v>
      </c>
      <c r="C181" s="47" t="s">
        <v>263</v>
      </c>
      <c r="D181" s="192" t="s">
        <v>264</v>
      </c>
      <c r="E181" s="193"/>
      <c r="F181" s="194">
        <v>3</v>
      </c>
      <c r="G181" s="195"/>
      <c r="H181" s="194"/>
      <c r="I181" s="196"/>
      <c r="J181" s="193"/>
      <c r="K181" s="194"/>
      <c r="L181" s="194"/>
      <c r="M181" s="194"/>
      <c r="N181" s="197"/>
    </row>
    <row r="182" spans="1:14" ht="16" x14ac:dyDescent="0.4">
      <c r="A182" s="37" t="s">
        <v>22</v>
      </c>
      <c r="B182" s="63">
        <v>575</v>
      </c>
      <c r="C182" s="47" t="s">
        <v>265</v>
      </c>
      <c r="D182" s="74" t="s">
        <v>24</v>
      </c>
      <c r="E182" s="37" t="s">
        <v>25</v>
      </c>
      <c r="F182" s="39">
        <f>(3*(3.4)*0.5)*2+(3*(3.4)*0.25)*2</f>
        <v>15.299999999999999</v>
      </c>
      <c r="G182" s="175"/>
      <c r="H182" s="39">
        <f t="shared" ref="H182:H183" si="65">G182*F182</f>
        <v>0</v>
      </c>
      <c r="I182" s="191"/>
      <c r="J182" s="37"/>
      <c r="K182" s="39"/>
      <c r="L182" s="39"/>
      <c r="M182" s="39"/>
      <c r="N182" s="73"/>
    </row>
    <row r="183" spans="1:14" ht="29" x14ac:dyDescent="0.35">
      <c r="A183" s="37" t="s">
        <v>22</v>
      </c>
      <c r="B183" s="63">
        <v>576</v>
      </c>
      <c r="C183" s="47" t="s">
        <v>266</v>
      </c>
      <c r="D183" s="71" t="s">
        <v>27</v>
      </c>
      <c r="E183" s="37" t="s">
        <v>28</v>
      </c>
      <c r="F183" s="113">
        <f>3*96.4/1000</f>
        <v>0.28920000000000007</v>
      </c>
      <c r="G183" s="100"/>
      <c r="H183" s="39">
        <f t="shared" si="65"/>
        <v>0</v>
      </c>
      <c r="I183" s="72" t="s">
        <v>29</v>
      </c>
      <c r="J183" s="37" t="s">
        <v>28</v>
      </c>
      <c r="K183" s="39">
        <v>1.05</v>
      </c>
      <c r="L183" s="113">
        <f>3*K183*81.84/1000</f>
        <v>0.25779600000000003</v>
      </c>
      <c r="M183" s="53"/>
      <c r="N183" s="73">
        <f t="shared" ref="N183:N187" si="66">M183*L183</f>
        <v>0</v>
      </c>
    </row>
    <row r="184" spans="1:14" x14ac:dyDescent="0.35">
      <c r="A184" s="37" t="s">
        <v>22</v>
      </c>
      <c r="B184" s="63">
        <v>577</v>
      </c>
      <c r="C184" s="47" t="s">
        <v>267</v>
      </c>
      <c r="D184" s="74"/>
      <c r="E184" s="37"/>
      <c r="F184" s="39"/>
      <c r="G184" s="39"/>
      <c r="H184" s="39"/>
      <c r="I184" s="72" t="s">
        <v>54</v>
      </c>
      <c r="J184" s="37" t="s">
        <v>28</v>
      </c>
      <c r="K184" s="39">
        <v>1.05</v>
      </c>
      <c r="L184" s="113">
        <f>K184*3*10.51/1000</f>
        <v>3.3106500000000004E-2</v>
      </c>
      <c r="M184" s="53"/>
      <c r="N184" s="73">
        <f t="shared" si="66"/>
        <v>0</v>
      </c>
    </row>
    <row r="185" spans="1:14" x14ac:dyDescent="0.35">
      <c r="A185" s="37" t="s">
        <v>22</v>
      </c>
      <c r="B185" s="63">
        <v>578</v>
      </c>
      <c r="C185" s="47" t="s">
        <v>268</v>
      </c>
      <c r="D185" s="74"/>
      <c r="E185" s="37"/>
      <c r="F185" s="39"/>
      <c r="G185" s="39"/>
      <c r="H185" s="39"/>
      <c r="I185" s="72" t="s">
        <v>35</v>
      </c>
      <c r="J185" s="37" t="s">
        <v>28</v>
      </c>
      <c r="K185" s="39">
        <v>1.05</v>
      </c>
      <c r="L185" s="113">
        <f>K185*3*4.05/1000</f>
        <v>1.27575E-2</v>
      </c>
      <c r="M185" s="53"/>
      <c r="N185" s="73">
        <f t="shared" si="66"/>
        <v>0</v>
      </c>
    </row>
    <row r="186" spans="1:14" x14ac:dyDescent="0.35">
      <c r="A186" s="37" t="s">
        <v>22</v>
      </c>
      <c r="B186" s="63">
        <v>579</v>
      </c>
      <c r="C186" s="47" t="s">
        <v>269</v>
      </c>
      <c r="D186" s="74"/>
      <c r="E186" s="37"/>
      <c r="F186" s="39"/>
      <c r="G186" s="39"/>
      <c r="H186" s="39"/>
      <c r="I186" s="72" t="s">
        <v>37</v>
      </c>
      <c r="J186" s="37" t="s">
        <v>28</v>
      </c>
      <c r="K186" s="39">
        <v>1.05</v>
      </c>
      <c r="L186" s="113">
        <f>20/1000*K186*F183</f>
        <v>6.0732000000000017E-3</v>
      </c>
      <c r="M186" s="53"/>
      <c r="N186" s="73">
        <f t="shared" si="66"/>
        <v>0</v>
      </c>
    </row>
    <row r="187" spans="1:14" ht="15" thickBot="1" x14ac:dyDescent="0.4">
      <c r="A187" s="37" t="s">
        <v>22</v>
      </c>
      <c r="B187" s="63">
        <v>580</v>
      </c>
      <c r="C187" s="47" t="s">
        <v>270</v>
      </c>
      <c r="D187" s="74" t="s">
        <v>97</v>
      </c>
      <c r="E187" s="37" t="s">
        <v>19</v>
      </c>
      <c r="F187" s="113">
        <f>3*0.425</f>
        <v>1.2749999999999999</v>
      </c>
      <c r="G187" s="54"/>
      <c r="H187" s="149">
        <f t="shared" ref="H187" si="67">G187*F187</f>
        <v>0</v>
      </c>
      <c r="I187" s="72" t="s">
        <v>40</v>
      </c>
      <c r="J187" s="37" t="s">
        <v>19</v>
      </c>
      <c r="K187" s="39">
        <v>1.05</v>
      </c>
      <c r="L187" s="113">
        <f>K187*F187</f>
        <v>1.3387499999999999</v>
      </c>
      <c r="M187" s="54"/>
      <c r="N187" s="73">
        <f t="shared" si="66"/>
        <v>0</v>
      </c>
    </row>
    <row r="188" spans="1:14" ht="16.5" thickBot="1" x14ac:dyDescent="0.45">
      <c r="A188" s="37" t="s">
        <v>22</v>
      </c>
      <c r="B188" s="63">
        <v>581</v>
      </c>
      <c r="C188" s="47" t="s">
        <v>271</v>
      </c>
      <c r="D188" s="198" t="s">
        <v>272</v>
      </c>
      <c r="E188" s="199"/>
      <c r="F188" s="200">
        <v>2</v>
      </c>
      <c r="G188" s="201"/>
      <c r="H188" s="200"/>
      <c r="I188" s="202"/>
      <c r="J188" s="199"/>
      <c r="K188" s="200"/>
      <c r="L188" s="200"/>
      <c r="M188" s="200"/>
      <c r="N188" s="203"/>
    </row>
    <row r="189" spans="1:14" ht="16" x14ac:dyDescent="0.4">
      <c r="A189" s="37" t="s">
        <v>22</v>
      </c>
      <c r="B189" s="63">
        <v>582</v>
      </c>
      <c r="C189" s="47" t="s">
        <v>273</v>
      </c>
      <c r="D189" s="74" t="s">
        <v>24</v>
      </c>
      <c r="E189" s="37" t="s">
        <v>25</v>
      </c>
      <c r="F189" s="39">
        <f>(2*(3.4)*0.5)*2+(2*(3.4)*0.25)*2</f>
        <v>10.199999999999999</v>
      </c>
      <c r="G189" s="175"/>
      <c r="H189" s="39">
        <f t="shared" ref="H189:H190" si="68">G189*F189</f>
        <v>0</v>
      </c>
      <c r="I189" s="191"/>
      <c r="J189" s="37"/>
      <c r="K189" s="39"/>
      <c r="L189" s="39"/>
      <c r="M189" s="39"/>
      <c r="N189" s="73"/>
    </row>
    <row r="190" spans="1:14" ht="29" x14ac:dyDescent="0.35">
      <c r="A190" s="37" t="s">
        <v>22</v>
      </c>
      <c r="B190" s="63">
        <v>583</v>
      </c>
      <c r="C190" s="47" t="s">
        <v>274</v>
      </c>
      <c r="D190" s="71" t="s">
        <v>27</v>
      </c>
      <c r="E190" s="37" t="s">
        <v>28</v>
      </c>
      <c r="F190" s="113">
        <f>2*67.13/1000</f>
        <v>0.13425999999999999</v>
      </c>
      <c r="G190" s="100"/>
      <c r="H190" s="39">
        <f t="shared" si="68"/>
        <v>0</v>
      </c>
      <c r="I190" s="72" t="s">
        <v>29</v>
      </c>
      <c r="J190" s="37" t="s">
        <v>28</v>
      </c>
      <c r="K190" s="39">
        <v>1.05</v>
      </c>
      <c r="L190" s="113">
        <f>2*K190*51.82/1000</f>
        <v>0.108822</v>
      </c>
      <c r="M190" s="53"/>
      <c r="N190" s="73">
        <f t="shared" ref="N190:N193" si="69">M190*L190</f>
        <v>0</v>
      </c>
    </row>
    <row r="191" spans="1:14" x14ac:dyDescent="0.35">
      <c r="A191" s="37" t="s">
        <v>22</v>
      </c>
      <c r="B191" s="63">
        <v>584</v>
      </c>
      <c r="C191" s="47" t="s">
        <v>275</v>
      </c>
      <c r="D191" s="74"/>
      <c r="E191" s="37"/>
      <c r="F191" s="39"/>
      <c r="G191" s="39"/>
      <c r="H191" s="39"/>
      <c r="I191" s="72" t="s">
        <v>54</v>
      </c>
      <c r="J191" s="37" t="s">
        <v>28</v>
      </c>
      <c r="K191" s="39">
        <v>1.05</v>
      </c>
      <c r="L191" s="113">
        <f>K191*2*15.31/1000</f>
        <v>3.2151000000000006E-2</v>
      </c>
      <c r="M191" s="53"/>
      <c r="N191" s="73">
        <f t="shared" si="69"/>
        <v>0</v>
      </c>
    </row>
    <row r="192" spans="1:14" x14ac:dyDescent="0.35">
      <c r="A192" s="37" t="s">
        <v>22</v>
      </c>
      <c r="B192" s="63">
        <v>585</v>
      </c>
      <c r="C192" s="47" t="s">
        <v>276</v>
      </c>
      <c r="D192" s="74"/>
      <c r="E192" s="37"/>
      <c r="F192" s="39"/>
      <c r="G192" s="39"/>
      <c r="H192" s="39"/>
      <c r="I192" s="72" t="s">
        <v>37</v>
      </c>
      <c r="J192" s="37" t="s">
        <v>28</v>
      </c>
      <c r="K192" s="39">
        <v>1.05</v>
      </c>
      <c r="L192" s="113">
        <f>20/1000*K192*F190</f>
        <v>2.8194599999999998E-3</v>
      </c>
      <c r="M192" s="53"/>
      <c r="N192" s="73">
        <f t="shared" si="69"/>
        <v>0</v>
      </c>
    </row>
    <row r="193" spans="1:14" ht="15" thickBot="1" x14ac:dyDescent="0.4">
      <c r="A193" s="37" t="s">
        <v>22</v>
      </c>
      <c r="B193" s="63">
        <v>586</v>
      </c>
      <c r="C193" s="47" t="s">
        <v>277</v>
      </c>
      <c r="D193" s="74" t="s">
        <v>97</v>
      </c>
      <c r="E193" s="37" t="s">
        <v>19</v>
      </c>
      <c r="F193" s="113">
        <f>2*0.39</f>
        <v>0.78</v>
      </c>
      <c r="G193" s="54"/>
      <c r="H193" s="149">
        <f t="shared" ref="H193" si="70">G193*F193</f>
        <v>0</v>
      </c>
      <c r="I193" s="72" t="s">
        <v>40</v>
      </c>
      <c r="J193" s="37" t="s">
        <v>19</v>
      </c>
      <c r="K193" s="39">
        <v>1.05</v>
      </c>
      <c r="L193" s="113">
        <f>K193*F193</f>
        <v>0.81900000000000006</v>
      </c>
      <c r="M193" s="54"/>
      <c r="N193" s="73">
        <f t="shared" si="69"/>
        <v>0</v>
      </c>
    </row>
    <row r="194" spans="1:14" ht="16.5" thickBot="1" x14ac:dyDescent="0.45">
      <c r="A194" s="37" t="s">
        <v>22</v>
      </c>
      <c r="B194" s="63">
        <v>587</v>
      </c>
      <c r="C194" s="47" t="s">
        <v>278</v>
      </c>
      <c r="D194" s="198" t="s">
        <v>279</v>
      </c>
      <c r="E194" s="199"/>
      <c r="F194" s="200">
        <v>5</v>
      </c>
      <c r="G194" s="201"/>
      <c r="H194" s="200"/>
      <c r="I194" s="202"/>
      <c r="J194" s="199"/>
      <c r="K194" s="200"/>
      <c r="L194" s="200"/>
      <c r="M194" s="200"/>
      <c r="N194" s="203"/>
    </row>
    <row r="195" spans="1:14" ht="16" x14ac:dyDescent="0.4">
      <c r="A195" s="37" t="s">
        <v>22</v>
      </c>
      <c r="B195" s="63">
        <v>588</v>
      </c>
      <c r="C195" s="47" t="s">
        <v>280</v>
      </c>
      <c r="D195" s="74" t="s">
        <v>24</v>
      </c>
      <c r="E195" s="37" t="s">
        <v>25</v>
      </c>
      <c r="F195" s="39">
        <f>(5*(3.4)*0.6)*2+(5*(3.4)*0.2)*2</f>
        <v>27.2</v>
      </c>
      <c r="G195" s="175"/>
      <c r="H195" s="39">
        <f t="shared" ref="H195:H196" si="71">G195*F195</f>
        <v>0</v>
      </c>
      <c r="I195" s="191"/>
      <c r="J195" s="37"/>
      <c r="K195" s="39"/>
      <c r="L195" s="39"/>
      <c r="M195" s="39"/>
      <c r="N195" s="73"/>
    </row>
    <row r="196" spans="1:14" ht="29" x14ac:dyDescent="0.35">
      <c r="A196" s="37" t="s">
        <v>22</v>
      </c>
      <c r="B196" s="63">
        <v>589</v>
      </c>
      <c r="C196" s="47" t="s">
        <v>281</v>
      </c>
      <c r="D196" s="71" t="s">
        <v>27</v>
      </c>
      <c r="E196" s="37" t="s">
        <v>28</v>
      </c>
      <c r="F196" s="113">
        <f>5*72.69/1000</f>
        <v>0.36345</v>
      </c>
      <c r="G196" s="100"/>
      <c r="H196" s="39">
        <f t="shared" si="71"/>
        <v>0</v>
      </c>
      <c r="I196" s="72" t="s">
        <v>29</v>
      </c>
      <c r="J196" s="37" t="s">
        <v>28</v>
      </c>
      <c r="K196" s="39">
        <v>1.05</v>
      </c>
      <c r="L196" s="113">
        <f>5*K196*54.98/1000</f>
        <v>0.28864499999999998</v>
      </c>
      <c r="M196" s="53"/>
      <c r="N196" s="73">
        <f t="shared" ref="N196:N199" si="72">M196*L196</f>
        <v>0</v>
      </c>
    </row>
    <row r="197" spans="1:14" x14ac:dyDescent="0.35">
      <c r="A197" s="37" t="s">
        <v>22</v>
      </c>
      <c r="B197" s="63">
        <v>590</v>
      </c>
      <c r="C197" s="47" t="s">
        <v>282</v>
      </c>
      <c r="D197" s="74"/>
      <c r="E197" s="37"/>
      <c r="F197" s="39"/>
      <c r="G197" s="39"/>
      <c r="H197" s="39"/>
      <c r="I197" s="72" t="s">
        <v>54</v>
      </c>
      <c r="J197" s="37" t="s">
        <v>28</v>
      </c>
      <c r="K197" s="39">
        <v>1.05</v>
      </c>
      <c r="L197" s="113">
        <f>K197*5*17.71/1000</f>
        <v>9.2977500000000005E-2</v>
      </c>
      <c r="M197" s="53"/>
      <c r="N197" s="73">
        <f t="shared" si="72"/>
        <v>0</v>
      </c>
    </row>
    <row r="198" spans="1:14" x14ac:dyDescent="0.35">
      <c r="A198" s="37" t="s">
        <v>22</v>
      </c>
      <c r="B198" s="63">
        <v>591</v>
      </c>
      <c r="C198" s="47" t="s">
        <v>283</v>
      </c>
      <c r="D198" s="74"/>
      <c r="E198" s="37"/>
      <c r="F198" s="39"/>
      <c r="G198" s="39"/>
      <c r="H198" s="39"/>
      <c r="I198" s="72" t="s">
        <v>37</v>
      </c>
      <c r="J198" s="37" t="s">
        <v>28</v>
      </c>
      <c r="K198" s="39">
        <v>1.05</v>
      </c>
      <c r="L198" s="113">
        <f>20/1000*K198*F196</f>
        <v>7.6324500000000007E-3</v>
      </c>
      <c r="M198" s="53"/>
      <c r="N198" s="73">
        <f t="shared" si="72"/>
        <v>0</v>
      </c>
    </row>
    <row r="199" spans="1:14" ht="15" thickBot="1" x14ac:dyDescent="0.4">
      <c r="A199" s="37" t="s">
        <v>22</v>
      </c>
      <c r="B199" s="63">
        <v>592</v>
      </c>
      <c r="C199" s="47" t="s">
        <v>284</v>
      </c>
      <c r="D199" s="74" t="s">
        <v>97</v>
      </c>
      <c r="E199" s="37" t="s">
        <v>19</v>
      </c>
      <c r="F199" s="113">
        <f>5*0.41</f>
        <v>2.0499999999999998</v>
      </c>
      <c r="G199" s="54"/>
      <c r="H199" s="149">
        <f t="shared" ref="H199" si="73">G199*F199</f>
        <v>0</v>
      </c>
      <c r="I199" s="72" t="s">
        <v>40</v>
      </c>
      <c r="J199" s="37" t="s">
        <v>19</v>
      </c>
      <c r="K199" s="39">
        <v>1.05</v>
      </c>
      <c r="L199" s="113">
        <f>K199*F199</f>
        <v>2.1524999999999999</v>
      </c>
      <c r="M199" s="54"/>
      <c r="N199" s="73">
        <f t="shared" si="72"/>
        <v>0</v>
      </c>
    </row>
    <row r="200" spans="1:14" ht="16.5" thickBot="1" x14ac:dyDescent="0.45">
      <c r="A200" s="37" t="s">
        <v>22</v>
      </c>
      <c r="B200" s="63">
        <v>593</v>
      </c>
      <c r="C200" s="47" t="s">
        <v>285</v>
      </c>
      <c r="D200" s="198" t="s">
        <v>286</v>
      </c>
      <c r="E200" s="199"/>
      <c r="F200" s="200">
        <v>3</v>
      </c>
      <c r="G200" s="201"/>
      <c r="H200" s="200"/>
      <c r="I200" s="202"/>
      <c r="J200" s="199"/>
      <c r="K200" s="200"/>
      <c r="L200" s="200"/>
      <c r="M200" s="200"/>
      <c r="N200" s="203"/>
    </row>
    <row r="201" spans="1:14" ht="16" x14ac:dyDescent="0.4">
      <c r="A201" s="37" t="s">
        <v>22</v>
      </c>
      <c r="B201" s="63">
        <v>594</v>
      </c>
      <c r="C201" s="47" t="s">
        <v>287</v>
      </c>
      <c r="D201" s="74" t="s">
        <v>24</v>
      </c>
      <c r="E201" s="37" t="s">
        <v>25</v>
      </c>
      <c r="F201" s="39">
        <f>(3*(3.4)*0.6)*2+(3*(3.4)*0.2)*2</f>
        <v>16.32</v>
      </c>
      <c r="G201" s="175"/>
      <c r="H201" s="39">
        <f t="shared" ref="H201:H202" si="74">G201*F201</f>
        <v>0</v>
      </c>
      <c r="I201" s="191"/>
      <c r="J201" s="37"/>
      <c r="K201" s="39"/>
      <c r="L201" s="39"/>
      <c r="M201" s="39"/>
      <c r="N201" s="73"/>
    </row>
    <row r="202" spans="1:14" ht="29" x14ac:dyDescent="0.35">
      <c r="A202" s="37" t="s">
        <v>22</v>
      </c>
      <c r="B202" s="63">
        <v>595</v>
      </c>
      <c r="C202" s="47" t="s">
        <v>288</v>
      </c>
      <c r="D202" s="71" t="s">
        <v>27</v>
      </c>
      <c r="E202" s="37" t="s">
        <v>28</v>
      </c>
      <c r="F202" s="113">
        <f>3*87.58/1000</f>
        <v>0.26274000000000003</v>
      </c>
      <c r="G202" s="100"/>
      <c r="H202" s="39">
        <f t="shared" si="74"/>
        <v>0</v>
      </c>
      <c r="I202" s="72" t="s">
        <v>29</v>
      </c>
      <c r="J202" s="37" t="s">
        <v>28</v>
      </c>
      <c r="K202" s="39">
        <v>1.05</v>
      </c>
      <c r="L202" s="113">
        <f>3*K202*68.73/1000</f>
        <v>0.21649950000000004</v>
      </c>
      <c r="M202" s="53"/>
      <c r="N202" s="73">
        <f t="shared" ref="N202:N206" si="75">M202*L202</f>
        <v>0</v>
      </c>
    </row>
    <row r="203" spans="1:14" x14ac:dyDescent="0.35">
      <c r="A203" s="37" t="s">
        <v>22</v>
      </c>
      <c r="B203" s="63">
        <v>596</v>
      </c>
      <c r="C203" s="47" t="s">
        <v>289</v>
      </c>
      <c r="D203" s="74"/>
      <c r="E203" s="37"/>
      <c r="F203" s="39"/>
      <c r="G203" s="39"/>
      <c r="H203" s="39"/>
      <c r="I203" s="72" t="s">
        <v>54</v>
      </c>
      <c r="J203" s="37" t="s">
        <v>28</v>
      </c>
      <c r="K203" s="39">
        <v>1.05</v>
      </c>
      <c r="L203" s="113">
        <f>K203*3*17.71/1000</f>
        <v>5.578650000000001E-2</v>
      </c>
      <c r="M203" s="53"/>
      <c r="N203" s="73">
        <f t="shared" si="75"/>
        <v>0</v>
      </c>
    </row>
    <row r="204" spans="1:14" x14ac:dyDescent="0.35">
      <c r="A204" s="37" t="s">
        <v>22</v>
      </c>
      <c r="B204" s="63">
        <v>597</v>
      </c>
      <c r="C204" s="47" t="s">
        <v>290</v>
      </c>
      <c r="D204" s="74"/>
      <c r="E204" s="37"/>
      <c r="F204" s="39"/>
      <c r="G204" s="39"/>
      <c r="H204" s="39"/>
      <c r="I204" s="72" t="s">
        <v>35</v>
      </c>
      <c r="J204" s="37" t="s">
        <v>28</v>
      </c>
      <c r="K204" s="39">
        <v>1.05</v>
      </c>
      <c r="L204" s="113">
        <f>K204*3*1.14/1000</f>
        <v>3.591E-3</v>
      </c>
      <c r="M204" s="53"/>
      <c r="N204" s="73">
        <f t="shared" si="75"/>
        <v>0</v>
      </c>
    </row>
    <row r="205" spans="1:14" x14ac:dyDescent="0.35">
      <c r="A205" s="37" t="s">
        <v>22</v>
      </c>
      <c r="B205" s="63">
        <v>598</v>
      </c>
      <c r="C205" s="47" t="s">
        <v>291</v>
      </c>
      <c r="D205" s="74"/>
      <c r="E205" s="37"/>
      <c r="F205" s="39"/>
      <c r="G205" s="39"/>
      <c r="H205" s="39"/>
      <c r="I205" s="72" t="s">
        <v>37</v>
      </c>
      <c r="J205" s="37" t="s">
        <v>28</v>
      </c>
      <c r="K205" s="39">
        <v>1.05</v>
      </c>
      <c r="L205" s="113">
        <f>20/1000*K205*F202</f>
        <v>5.5175400000000013E-3</v>
      </c>
      <c r="M205" s="53"/>
      <c r="N205" s="73">
        <f t="shared" si="75"/>
        <v>0</v>
      </c>
    </row>
    <row r="206" spans="1:14" ht="15" thickBot="1" x14ac:dyDescent="0.4">
      <c r="A206" s="37" t="s">
        <v>22</v>
      </c>
      <c r="B206" s="63">
        <v>599</v>
      </c>
      <c r="C206" s="47" t="s">
        <v>292</v>
      </c>
      <c r="D206" s="74" t="s">
        <v>97</v>
      </c>
      <c r="E206" s="37" t="s">
        <v>19</v>
      </c>
      <c r="F206" s="113">
        <f>3*0.41</f>
        <v>1.23</v>
      </c>
      <c r="G206" s="54"/>
      <c r="H206" s="149">
        <f t="shared" ref="H206" si="76">G206*F206</f>
        <v>0</v>
      </c>
      <c r="I206" s="72" t="s">
        <v>40</v>
      </c>
      <c r="J206" s="37" t="s">
        <v>19</v>
      </c>
      <c r="K206" s="39">
        <v>1.05</v>
      </c>
      <c r="L206" s="113">
        <f>K206*F206</f>
        <v>1.2915000000000001</v>
      </c>
      <c r="M206" s="54"/>
      <c r="N206" s="73">
        <f t="shared" si="75"/>
        <v>0</v>
      </c>
    </row>
    <row r="207" spans="1:14" ht="16.5" thickBot="1" x14ac:dyDescent="0.45">
      <c r="A207" s="37" t="s">
        <v>22</v>
      </c>
      <c r="B207" s="63">
        <v>600</v>
      </c>
      <c r="C207" s="47" t="s">
        <v>293</v>
      </c>
      <c r="D207" s="198" t="s">
        <v>294</v>
      </c>
      <c r="E207" s="199"/>
      <c r="F207" s="200">
        <v>3</v>
      </c>
      <c r="G207" s="201"/>
      <c r="H207" s="200"/>
      <c r="I207" s="202"/>
      <c r="J207" s="199"/>
      <c r="K207" s="200"/>
      <c r="L207" s="200"/>
      <c r="M207" s="200"/>
      <c r="N207" s="203"/>
    </row>
    <row r="208" spans="1:14" ht="16" x14ac:dyDescent="0.4">
      <c r="A208" s="37" t="s">
        <v>22</v>
      </c>
      <c r="B208" s="63">
        <v>601</v>
      </c>
      <c r="C208" s="47" t="s">
        <v>295</v>
      </c>
      <c r="D208" s="74" t="s">
        <v>24</v>
      </c>
      <c r="E208" s="37" t="s">
        <v>25</v>
      </c>
      <c r="F208" s="39">
        <f>(3*(3.4)*1)*2+(3*(3.4)*0.25)*2</f>
        <v>25.5</v>
      </c>
      <c r="G208" s="175"/>
      <c r="H208" s="39">
        <f t="shared" ref="H208:H209" si="77">G208*F208</f>
        <v>0</v>
      </c>
      <c r="I208" s="191"/>
      <c r="J208" s="37"/>
      <c r="K208" s="39"/>
      <c r="L208" s="39"/>
      <c r="M208" s="39"/>
      <c r="N208" s="73"/>
    </row>
    <row r="209" spans="1:14" ht="29" x14ac:dyDescent="0.35">
      <c r="A209" s="37" t="s">
        <v>22</v>
      </c>
      <c r="B209" s="63">
        <v>602</v>
      </c>
      <c r="C209" s="47" t="s">
        <v>296</v>
      </c>
      <c r="D209" s="71" t="s">
        <v>27</v>
      </c>
      <c r="E209" s="37" t="s">
        <v>28</v>
      </c>
      <c r="F209" s="113">
        <f>3*137.13/1000</f>
        <v>0.41138999999999998</v>
      </c>
      <c r="G209" s="100"/>
      <c r="H209" s="39">
        <f t="shared" si="77"/>
        <v>0</v>
      </c>
      <c r="I209" s="72" t="s">
        <v>29</v>
      </c>
      <c r="J209" s="37" t="s">
        <v>28</v>
      </c>
      <c r="K209" s="39">
        <v>1.05</v>
      </c>
      <c r="L209" s="113">
        <f>3*K209*114.58/1000</f>
        <v>0.360927</v>
      </c>
      <c r="M209" s="53"/>
      <c r="N209" s="73">
        <f t="shared" ref="N209:N213" si="78">M209*L209</f>
        <v>0</v>
      </c>
    </row>
    <row r="210" spans="1:14" x14ac:dyDescent="0.35">
      <c r="A210" s="37" t="s">
        <v>22</v>
      </c>
      <c r="B210" s="63">
        <v>603</v>
      </c>
      <c r="C210" s="47" t="s">
        <v>297</v>
      </c>
      <c r="D210" s="74"/>
      <c r="E210" s="37"/>
      <c r="F210" s="39"/>
      <c r="G210" s="39"/>
      <c r="H210" s="39"/>
      <c r="I210" s="72" t="s">
        <v>54</v>
      </c>
      <c r="J210" s="37" t="s">
        <v>28</v>
      </c>
      <c r="K210" s="39">
        <v>1.05</v>
      </c>
      <c r="L210" s="113">
        <f>K210*3*17.86/1000</f>
        <v>5.625900000000001E-2</v>
      </c>
      <c r="M210" s="53"/>
      <c r="N210" s="73">
        <f t="shared" si="78"/>
        <v>0</v>
      </c>
    </row>
    <row r="211" spans="1:14" x14ac:dyDescent="0.35">
      <c r="A211" s="37" t="s">
        <v>22</v>
      </c>
      <c r="B211" s="63">
        <v>604</v>
      </c>
      <c r="C211" s="47" t="s">
        <v>298</v>
      </c>
      <c r="D211" s="74"/>
      <c r="E211" s="37"/>
      <c r="F211" s="39"/>
      <c r="G211" s="39"/>
      <c r="H211" s="39"/>
      <c r="I211" s="72" t="s">
        <v>35</v>
      </c>
      <c r="J211" s="37" t="s">
        <v>28</v>
      </c>
      <c r="K211" s="39">
        <v>1.05</v>
      </c>
      <c r="L211" s="113">
        <f>K211*3*4.69/1000</f>
        <v>1.4773500000000002E-2</v>
      </c>
      <c r="M211" s="53"/>
      <c r="N211" s="73">
        <f t="shared" si="78"/>
        <v>0</v>
      </c>
    </row>
    <row r="212" spans="1:14" x14ac:dyDescent="0.35">
      <c r="A212" s="37" t="s">
        <v>22</v>
      </c>
      <c r="B212" s="63">
        <v>605</v>
      </c>
      <c r="C212" s="47" t="s">
        <v>299</v>
      </c>
      <c r="D212" s="74"/>
      <c r="E212" s="37"/>
      <c r="F212" s="39"/>
      <c r="G212" s="39"/>
      <c r="H212" s="39"/>
      <c r="I212" s="72" t="s">
        <v>37</v>
      </c>
      <c r="J212" s="37" t="s">
        <v>28</v>
      </c>
      <c r="K212" s="39">
        <v>1.05</v>
      </c>
      <c r="L212" s="113">
        <f>20/1000*K212*F209</f>
        <v>8.6391899999999997E-3</v>
      </c>
      <c r="M212" s="53"/>
      <c r="N212" s="73">
        <f t="shared" si="78"/>
        <v>0</v>
      </c>
    </row>
    <row r="213" spans="1:14" ht="15" thickBot="1" x14ac:dyDescent="0.4">
      <c r="A213" s="37" t="s">
        <v>22</v>
      </c>
      <c r="B213" s="63">
        <v>606</v>
      </c>
      <c r="C213" s="47" t="s">
        <v>300</v>
      </c>
      <c r="D213" s="74" t="s">
        <v>97</v>
      </c>
      <c r="E213" s="37" t="s">
        <v>19</v>
      </c>
      <c r="F213" s="113">
        <f>3*0.85</f>
        <v>2.5499999999999998</v>
      </c>
      <c r="G213" s="54"/>
      <c r="H213" s="149">
        <f t="shared" ref="H213" si="79">G213*F213</f>
        <v>0</v>
      </c>
      <c r="I213" s="72" t="s">
        <v>40</v>
      </c>
      <c r="J213" s="37" t="s">
        <v>19</v>
      </c>
      <c r="K213" s="39">
        <v>1.05</v>
      </c>
      <c r="L213" s="113">
        <f>K213*F213</f>
        <v>2.6774999999999998</v>
      </c>
      <c r="M213" s="54"/>
      <c r="N213" s="73">
        <f t="shared" si="78"/>
        <v>0</v>
      </c>
    </row>
    <row r="214" spans="1:14" ht="16.5" thickBot="1" x14ac:dyDescent="0.45">
      <c r="A214" s="37" t="s">
        <v>22</v>
      </c>
      <c r="B214" s="63">
        <v>607</v>
      </c>
      <c r="C214" s="47" t="s">
        <v>301</v>
      </c>
      <c r="D214" s="198" t="s">
        <v>302</v>
      </c>
      <c r="E214" s="199"/>
      <c r="F214" s="200">
        <v>1</v>
      </c>
      <c r="G214" s="201"/>
      <c r="H214" s="200"/>
      <c r="I214" s="202"/>
      <c r="J214" s="199"/>
      <c r="K214" s="200"/>
      <c r="L214" s="200"/>
      <c r="M214" s="200"/>
      <c r="N214" s="203"/>
    </row>
    <row r="215" spans="1:14" ht="16" x14ac:dyDescent="0.4">
      <c r="A215" s="37" t="s">
        <v>22</v>
      </c>
      <c r="B215" s="63">
        <v>608</v>
      </c>
      <c r="C215" s="47" t="s">
        <v>303</v>
      </c>
      <c r="D215" s="74" t="s">
        <v>24</v>
      </c>
      <c r="E215" s="37" t="s">
        <v>25</v>
      </c>
      <c r="F215" s="39">
        <f>(1*(3.4)*1)*2+(1*(3.4)*0.25)*2</f>
        <v>8.5</v>
      </c>
      <c r="G215" s="175"/>
      <c r="H215" s="39">
        <f t="shared" ref="H215:H216" si="80">G215*F215</f>
        <v>0</v>
      </c>
      <c r="I215" s="191"/>
      <c r="J215" s="37"/>
      <c r="K215" s="39"/>
      <c r="L215" s="39"/>
      <c r="M215" s="39"/>
      <c r="N215" s="73"/>
    </row>
    <row r="216" spans="1:14" ht="29" x14ac:dyDescent="0.35">
      <c r="A216" s="37" t="s">
        <v>22</v>
      </c>
      <c r="B216" s="63">
        <v>609</v>
      </c>
      <c r="C216" s="47" t="s">
        <v>304</v>
      </c>
      <c r="D216" s="71" t="s">
        <v>27</v>
      </c>
      <c r="E216" s="37" t="s">
        <v>28</v>
      </c>
      <c r="F216" s="113">
        <f>110.79/1000</f>
        <v>0.11079</v>
      </c>
      <c r="G216" s="100"/>
      <c r="H216" s="39">
        <f t="shared" si="80"/>
        <v>0</v>
      </c>
      <c r="I216" s="72" t="s">
        <v>29</v>
      </c>
      <c r="J216" s="37" t="s">
        <v>28</v>
      </c>
      <c r="K216" s="39">
        <v>1.05</v>
      </c>
      <c r="L216" s="113">
        <f>K216*90.69/1000</f>
        <v>9.5224500000000004E-2</v>
      </c>
      <c r="M216" s="53"/>
      <c r="N216" s="73">
        <f t="shared" ref="N216:N220" si="81">M216*L216</f>
        <v>0</v>
      </c>
    </row>
    <row r="217" spans="1:14" x14ac:dyDescent="0.35">
      <c r="A217" s="37" t="s">
        <v>22</v>
      </c>
      <c r="B217" s="63">
        <v>610</v>
      </c>
      <c r="C217" s="47" t="s">
        <v>305</v>
      </c>
      <c r="D217" s="74"/>
      <c r="E217" s="37"/>
      <c r="F217" s="39"/>
      <c r="G217" s="39"/>
      <c r="H217" s="39"/>
      <c r="I217" s="72" t="s">
        <v>54</v>
      </c>
      <c r="J217" s="37" t="s">
        <v>28</v>
      </c>
      <c r="K217" s="39">
        <v>1.05</v>
      </c>
      <c r="L217" s="113">
        <f>K217*15.98/1000</f>
        <v>1.6778999999999999E-2</v>
      </c>
      <c r="M217" s="53"/>
      <c r="N217" s="73">
        <f t="shared" si="81"/>
        <v>0</v>
      </c>
    </row>
    <row r="218" spans="1:14" x14ac:dyDescent="0.35">
      <c r="A218" s="37" t="s">
        <v>22</v>
      </c>
      <c r="B218" s="63">
        <v>611</v>
      </c>
      <c r="C218" s="47" t="s">
        <v>306</v>
      </c>
      <c r="D218" s="74"/>
      <c r="E218" s="37"/>
      <c r="F218" s="39"/>
      <c r="G218" s="39"/>
      <c r="H218" s="39"/>
      <c r="I218" s="72" t="s">
        <v>35</v>
      </c>
      <c r="J218" s="37" t="s">
        <v>28</v>
      </c>
      <c r="K218" s="39">
        <v>1.05</v>
      </c>
      <c r="L218" s="113">
        <f>K218*4.12/1000</f>
        <v>4.3260000000000009E-3</v>
      </c>
      <c r="M218" s="53"/>
      <c r="N218" s="73">
        <f t="shared" si="81"/>
        <v>0</v>
      </c>
    </row>
    <row r="219" spans="1:14" x14ac:dyDescent="0.35">
      <c r="A219" s="37" t="s">
        <v>22</v>
      </c>
      <c r="B219" s="63">
        <v>612</v>
      </c>
      <c r="C219" s="47" t="s">
        <v>307</v>
      </c>
      <c r="D219" s="74"/>
      <c r="E219" s="37"/>
      <c r="F219" s="39"/>
      <c r="G219" s="39"/>
      <c r="H219" s="39"/>
      <c r="I219" s="72" t="s">
        <v>37</v>
      </c>
      <c r="J219" s="37" t="s">
        <v>28</v>
      </c>
      <c r="K219" s="39">
        <v>1.05</v>
      </c>
      <c r="L219" s="113">
        <f>20/1000*K219*F216</f>
        <v>2.3265900000000003E-3</v>
      </c>
      <c r="M219" s="53"/>
      <c r="N219" s="73">
        <f t="shared" si="81"/>
        <v>0</v>
      </c>
    </row>
    <row r="220" spans="1:14" ht="15" thickBot="1" x14ac:dyDescent="0.4">
      <c r="A220" s="37" t="s">
        <v>22</v>
      </c>
      <c r="B220" s="63">
        <v>613</v>
      </c>
      <c r="C220" s="47" t="s">
        <v>308</v>
      </c>
      <c r="D220" s="74" t="s">
        <v>97</v>
      </c>
      <c r="E220" s="37" t="s">
        <v>19</v>
      </c>
      <c r="F220" s="113">
        <f>0.78</f>
        <v>0.78</v>
      </c>
      <c r="G220" s="54"/>
      <c r="H220" s="149">
        <f t="shared" ref="H220" si="82">G220*F220</f>
        <v>0</v>
      </c>
      <c r="I220" s="72" t="s">
        <v>40</v>
      </c>
      <c r="J220" s="37" t="s">
        <v>19</v>
      </c>
      <c r="K220" s="39">
        <v>1.05</v>
      </c>
      <c r="L220" s="113">
        <f>K220*F220</f>
        <v>0.81900000000000006</v>
      </c>
      <c r="M220" s="54"/>
      <c r="N220" s="73">
        <f t="shared" si="81"/>
        <v>0</v>
      </c>
    </row>
    <row r="221" spans="1:14" ht="16.5" thickBot="1" x14ac:dyDescent="0.45">
      <c r="A221" s="37" t="s">
        <v>22</v>
      </c>
      <c r="B221" s="63">
        <v>614</v>
      </c>
      <c r="C221" s="47" t="s">
        <v>309</v>
      </c>
      <c r="D221" s="198" t="s">
        <v>310</v>
      </c>
      <c r="E221" s="199"/>
      <c r="F221" s="200">
        <v>1</v>
      </c>
      <c r="G221" s="201"/>
      <c r="H221" s="200"/>
      <c r="I221" s="202"/>
      <c r="J221" s="199"/>
      <c r="K221" s="200"/>
      <c r="L221" s="200"/>
      <c r="M221" s="200"/>
      <c r="N221" s="203"/>
    </row>
    <row r="222" spans="1:14" ht="16" x14ac:dyDescent="0.4">
      <c r="A222" s="37" t="s">
        <v>22</v>
      </c>
      <c r="B222" s="63">
        <v>615</v>
      </c>
      <c r="C222" s="47" t="s">
        <v>311</v>
      </c>
      <c r="D222" s="74" t="s">
        <v>24</v>
      </c>
      <c r="E222" s="37" t="s">
        <v>25</v>
      </c>
      <c r="F222" s="39">
        <f>(1*(3.4)*1)*2+(1*(3.4)*0.25)*2</f>
        <v>8.5</v>
      </c>
      <c r="G222" s="175"/>
      <c r="H222" s="39">
        <f t="shared" ref="H222:H223" si="83">G222*F222</f>
        <v>0</v>
      </c>
      <c r="I222" s="191"/>
      <c r="J222" s="37"/>
      <c r="K222" s="39"/>
      <c r="L222" s="39"/>
      <c r="M222" s="39"/>
      <c r="N222" s="73"/>
    </row>
    <row r="223" spans="1:14" ht="29" x14ac:dyDescent="0.35">
      <c r="A223" s="37" t="s">
        <v>22</v>
      </c>
      <c r="B223" s="63">
        <v>616</v>
      </c>
      <c r="C223" s="47" t="s">
        <v>312</v>
      </c>
      <c r="D223" s="71" t="s">
        <v>27</v>
      </c>
      <c r="E223" s="37" t="s">
        <v>28</v>
      </c>
      <c r="F223" s="113">
        <f>101.94/1000</f>
        <v>0.10194</v>
      </c>
      <c r="G223" s="100"/>
      <c r="H223" s="39">
        <f t="shared" si="83"/>
        <v>0</v>
      </c>
      <c r="I223" s="72" t="s">
        <v>29</v>
      </c>
      <c r="J223" s="37" t="s">
        <v>28</v>
      </c>
      <c r="K223" s="39">
        <v>1.05</v>
      </c>
      <c r="L223" s="113">
        <f>K223*81.84/1000</f>
        <v>8.5932000000000008E-2</v>
      </c>
      <c r="M223" s="53"/>
      <c r="N223" s="73">
        <f t="shared" ref="N223:N227" si="84">M223*L223</f>
        <v>0</v>
      </c>
    </row>
    <row r="224" spans="1:14" x14ac:dyDescent="0.35">
      <c r="A224" s="37" t="s">
        <v>22</v>
      </c>
      <c r="B224" s="63">
        <v>617</v>
      </c>
      <c r="C224" s="47" t="s">
        <v>313</v>
      </c>
      <c r="D224" s="74"/>
      <c r="E224" s="37"/>
      <c r="F224" s="39"/>
      <c r="G224" s="39"/>
      <c r="H224" s="39"/>
      <c r="I224" s="72" t="s">
        <v>54</v>
      </c>
      <c r="J224" s="37" t="s">
        <v>28</v>
      </c>
      <c r="K224" s="39">
        <v>1.05</v>
      </c>
      <c r="L224" s="113">
        <f>K224*15.98/1000</f>
        <v>1.6778999999999999E-2</v>
      </c>
      <c r="M224" s="53"/>
      <c r="N224" s="73">
        <f t="shared" si="84"/>
        <v>0</v>
      </c>
    </row>
    <row r="225" spans="1:14" x14ac:dyDescent="0.35">
      <c r="A225" s="37" t="s">
        <v>22</v>
      </c>
      <c r="B225" s="63">
        <v>618</v>
      </c>
      <c r="C225" s="47" t="s">
        <v>314</v>
      </c>
      <c r="D225" s="74"/>
      <c r="E225" s="37"/>
      <c r="F225" s="39"/>
      <c r="G225" s="39"/>
      <c r="H225" s="39"/>
      <c r="I225" s="72" t="s">
        <v>35</v>
      </c>
      <c r="J225" s="37" t="s">
        <v>28</v>
      </c>
      <c r="K225" s="39">
        <v>1.05</v>
      </c>
      <c r="L225" s="113">
        <f>K225*4.12/1000</f>
        <v>4.3260000000000009E-3</v>
      </c>
      <c r="M225" s="53"/>
      <c r="N225" s="73">
        <f t="shared" si="84"/>
        <v>0</v>
      </c>
    </row>
    <row r="226" spans="1:14" x14ac:dyDescent="0.35">
      <c r="A226" s="37" t="s">
        <v>22</v>
      </c>
      <c r="B226" s="63">
        <v>619</v>
      </c>
      <c r="C226" s="47" t="s">
        <v>315</v>
      </c>
      <c r="D226" s="74"/>
      <c r="E226" s="37"/>
      <c r="F226" s="39"/>
      <c r="G226" s="39"/>
      <c r="H226" s="39"/>
      <c r="I226" s="72" t="s">
        <v>37</v>
      </c>
      <c r="J226" s="37" t="s">
        <v>28</v>
      </c>
      <c r="K226" s="39">
        <v>1.05</v>
      </c>
      <c r="L226" s="113">
        <f>20/1000*K226*F223</f>
        <v>2.1407400000000004E-3</v>
      </c>
      <c r="M226" s="53"/>
      <c r="N226" s="73">
        <f t="shared" si="84"/>
        <v>0</v>
      </c>
    </row>
    <row r="227" spans="1:14" ht="15" thickBot="1" x14ac:dyDescent="0.4">
      <c r="A227" s="37" t="s">
        <v>22</v>
      </c>
      <c r="B227" s="63">
        <v>620</v>
      </c>
      <c r="C227" s="47" t="s">
        <v>316</v>
      </c>
      <c r="D227" s="74" t="s">
        <v>97</v>
      </c>
      <c r="E227" s="37" t="s">
        <v>19</v>
      </c>
      <c r="F227" s="113">
        <v>0.68</v>
      </c>
      <c r="G227" s="54"/>
      <c r="H227" s="149">
        <f t="shared" ref="H227" si="85">G227*F227</f>
        <v>0</v>
      </c>
      <c r="I227" s="72" t="s">
        <v>40</v>
      </c>
      <c r="J227" s="37" t="s">
        <v>19</v>
      </c>
      <c r="K227" s="39">
        <v>1.05</v>
      </c>
      <c r="L227" s="113">
        <f>K227*F227</f>
        <v>0.71400000000000008</v>
      </c>
      <c r="M227" s="54"/>
      <c r="N227" s="73">
        <f t="shared" si="84"/>
        <v>0</v>
      </c>
    </row>
    <row r="228" spans="1:14" ht="16.5" thickBot="1" x14ac:dyDescent="0.45">
      <c r="A228" s="37" t="s">
        <v>22</v>
      </c>
      <c r="B228" s="63">
        <v>621</v>
      </c>
      <c r="C228" s="47" t="s">
        <v>317</v>
      </c>
      <c r="D228" s="198" t="s">
        <v>318</v>
      </c>
      <c r="E228" s="199"/>
      <c r="F228" s="200">
        <v>1</v>
      </c>
      <c r="G228" s="201"/>
      <c r="H228" s="200"/>
      <c r="I228" s="202"/>
      <c r="J228" s="199"/>
      <c r="K228" s="200"/>
      <c r="L228" s="200"/>
      <c r="M228" s="200"/>
      <c r="N228" s="203"/>
    </row>
    <row r="229" spans="1:14" ht="16" x14ac:dyDescent="0.4">
      <c r="A229" s="37" t="s">
        <v>22</v>
      </c>
      <c r="B229" s="63">
        <v>622</v>
      </c>
      <c r="C229" s="47" t="s">
        <v>319</v>
      </c>
      <c r="D229" s="74" t="s">
        <v>24</v>
      </c>
      <c r="E229" s="37" t="s">
        <v>25</v>
      </c>
      <c r="F229" s="39">
        <f>(2.14+2+2.14+2)*2.4</f>
        <v>19.872000000000003</v>
      </c>
      <c r="G229" s="175"/>
      <c r="H229" s="67">
        <f t="shared" ref="H229:H230" si="86">G229*F229</f>
        <v>0</v>
      </c>
      <c r="I229" s="69"/>
      <c r="J229" s="37"/>
      <c r="K229" s="67"/>
      <c r="L229" s="67"/>
      <c r="M229" s="39"/>
      <c r="N229" s="70"/>
    </row>
    <row r="230" spans="1:14" ht="29" x14ac:dyDescent="0.35">
      <c r="A230" s="37" t="s">
        <v>22</v>
      </c>
      <c r="B230" s="63">
        <v>623</v>
      </c>
      <c r="C230" s="47" t="s">
        <v>320</v>
      </c>
      <c r="D230" s="71" t="s">
        <v>27</v>
      </c>
      <c r="E230" s="37" t="s">
        <v>28</v>
      </c>
      <c r="F230" s="113">
        <f>538.6/1000</f>
        <v>0.53859999999999997</v>
      </c>
      <c r="G230" s="100"/>
      <c r="H230" s="39">
        <f t="shared" si="86"/>
        <v>0</v>
      </c>
      <c r="I230" s="72" t="s">
        <v>29</v>
      </c>
      <c r="J230" s="37" t="s">
        <v>28</v>
      </c>
      <c r="K230" s="39">
        <v>1.05</v>
      </c>
      <c r="L230" s="113">
        <f>K230*(12.39)/1000</f>
        <v>1.30095E-2</v>
      </c>
      <c r="M230" s="53"/>
      <c r="N230" s="73">
        <f t="shared" ref="N230:N236" si="87">M230*L230</f>
        <v>0</v>
      </c>
    </row>
    <row r="231" spans="1:14" x14ac:dyDescent="0.35">
      <c r="A231" s="37" t="s">
        <v>22</v>
      </c>
      <c r="B231" s="63">
        <v>624</v>
      </c>
      <c r="C231" s="47" t="s">
        <v>321</v>
      </c>
      <c r="D231" s="71"/>
      <c r="E231" s="37"/>
      <c r="F231" s="39"/>
      <c r="G231" s="39"/>
      <c r="H231" s="39"/>
      <c r="I231" s="72" t="s">
        <v>44</v>
      </c>
      <c r="J231" s="37" t="s">
        <v>28</v>
      </c>
      <c r="K231" s="39">
        <v>1.05</v>
      </c>
      <c r="L231" s="113">
        <f>K231*266.08/1000</f>
        <v>0.27938400000000002</v>
      </c>
      <c r="M231" s="53"/>
      <c r="N231" s="73">
        <f t="shared" si="87"/>
        <v>0</v>
      </c>
    </row>
    <row r="232" spans="1:14" x14ac:dyDescent="0.35">
      <c r="A232" s="37" t="s">
        <v>22</v>
      </c>
      <c r="B232" s="63">
        <v>625</v>
      </c>
      <c r="C232" s="47" t="s">
        <v>322</v>
      </c>
      <c r="D232" s="71"/>
      <c r="E232" s="37"/>
      <c r="F232" s="39"/>
      <c r="G232" s="39"/>
      <c r="H232" s="39"/>
      <c r="I232" s="72" t="s">
        <v>31</v>
      </c>
      <c r="J232" s="37" t="s">
        <v>28</v>
      </c>
      <c r="K232" s="39">
        <v>1.05</v>
      </c>
      <c r="L232" s="113">
        <f>K232*207.76/1000</f>
        <v>0.21814800000000001</v>
      </c>
      <c r="M232" s="53"/>
      <c r="N232" s="73">
        <f t="shared" si="87"/>
        <v>0</v>
      </c>
    </row>
    <row r="233" spans="1:14" x14ac:dyDescent="0.35">
      <c r="A233" s="37" t="s">
        <v>22</v>
      </c>
      <c r="B233" s="63">
        <v>626</v>
      </c>
      <c r="C233" s="47" t="s">
        <v>323</v>
      </c>
      <c r="D233" s="74"/>
      <c r="E233" s="37"/>
      <c r="F233" s="39"/>
      <c r="G233" s="39"/>
      <c r="H233" s="39"/>
      <c r="I233" s="72" t="s">
        <v>54</v>
      </c>
      <c r="J233" s="37" t="s">
        <v>28</v>
      </c>
      <c r="K233" s="39">
        <v>1.05</v>
      </c>
      <c r="L233" s="113">
        <f>K233*6.83/1000</f>
        <v>7.1714999999999999E-3</v>
      </c>
      <c r="M233" s="53"/>
      <c r="N233" s="73">
        <f t="shared" si="87"/>
        <v>0</v>
      </c>
    </row>
    <row r="234" spans="1:14" x14ac:dyDescent="0.35">
      <c r="A234" s="37" t="s">
        <v>22</v>
      </c>
      <c r="B234" s="63">
        <v>627</v>
      </c>
      <c r="C234" s="47" t="s">
        <v>324</v>
      </c>
      <c r="D234" s="74"/>
      <c r="E234" s="37"/>
      <c r="F234" s="39"/>
      <c r="G234" s="39"/>
      <c r="H234" s="39"/>
      <c r="I234" s="72" t="s">
        <v>35</v>
      </c>
      <c r="J234" s="37" t="s">
        <v>28</v>
      </c>
      <c r="K234" s="39">
        <v>1.05</v>
      </c>
      <c r="L234" s="113">
        <f>K234*17.65/1000</f>
        <v>1.85325E-2</v>
      </c>
      <c r="M234" s="53"/>
      <c r="N234" s="73">
        <f t="shared" si="87"/>
        <v>0</v>
      </c>
    </row>
    <row r="235" spans="1:14" x14ac:dyDescent="0.35">
      <c r="A235" s="37" t="s">
        <v>22</v>
      </c>
      <c r="B235" s="63">
        <v>628</v>
      </c>
      <c r="C235" s="47" t="s">
        <v>325</v>
      </c>
      <c r="D235" s="74"/>
      <c r="E235" s="37"/>
      <c r="F235" s="39"/>
      <c r="G235" s="39"/>
      <c r="H235" s="39"/>
      <c r="I235" s="72" t="s">
        <v>37</v>
      </c>
      <c r="J235" s="37" t="s">
        <v>28</v>
      </c>
      <c r="K235" s="39">
        <v>1.05</v>
      </c>
      <c r="L235" s="113">
        <f>20/1000*K235*F230</f>
        <v>1.1310600000000001E-2</v>
      </c>
      <c r="M235" s="53"/>
      <c r="N235" s="73">
        <f t="shared" si="87"/>
        <v>0</v>
      </c>
    </row>
    <row r="236" spans="1:14" ht="15" thickBot="1" x14ac:dyDescent="0.4">
      <c r="A236" s="37" t="s">
        <v>22</v>
      </c>
      <c r="B236" s="63">
        <v>629</v>
      </c>
      <c r="C236" s="47" t="s">
        <v>326</v>
      </c>
      <c r="D236" s="74" t="s">
        <v>162</v>
      </c>
      <c r="E236" s="37" t="s">
        <v>19</v>
      </c>
      <c r="F236" s="113">
        <v>4.4000000000000004</v>
      </c>
      <c r="G236" s="54"/>
      <c r="H236" s="149">
        <f t="shared" ref="H236" si="88">G236*F236</f>
        <v>0</v>
      </c>
      <c r="I236" s="72" t="s">
        <v>40</v>
      </c>
      <c r="J236" s="37" t="s">
        <v>19</v>
      </c>
      <c r="K236" s="39">
        <v>1.05</v>
      </c>
      <c r="L236" s="113">
        <f>K236*F236</f>
        <v>4.620000000000001</v>
      </c>
      <c r="M236" s="54"/>
      <c r="N236" s="73">
        <f t="shared" si="87"/>
        <v>0</v>
      </c>
    </row>
    <row r="237" spans="1:14" ht="16.5" thickBot="1" x14ac:dyDescent="0.45">
      <c r="A237" s="37" t="s">
        <v>22</v>
      </c>
      <c r="B237" s="63">
        <v>630</v>
      </c>
      <c r="C237" s="47" t="s">
        <v>327</v>
      </c>
      <c r="D237" s="198" t="s">
        <v>328</v>
      </c>
      <c r="E237" s="199"/>
      <c r="F237" s="200">
        <v>1</v>
      </c>
      <c r="G237" s="201"/>
      <c r="H237" s="200"/>
      <c r="I237" s="202"/>
      <c r="J237" s="199"/>
      <c r="K237" s="200"/>
      <c r="L237" s="200"/>
      <c r="M237" s="200"/>
      <c r="N237" s="203"/>
    </row>
    <row r="238" spans="1:14" ht="16" x14ac:dyDescent="0.4">
      <c r="A238" s="37" t="s">
        <v>22</v>
      </c>
      <c r="B238" s="63">
        <v>631</v>
      </c>
      <c r="C238" s="47" t="s">
        <v>329</v>
      </c>
      <c r="D238" s="141" t="s">
        <v>24</v>
      </c>
      <c r="E238" s="88" t="s">
        <v>25</v>
      </c>
      <c r="F238" s="40">
        <f>3.4*(F244/3.4/0.22)*2</f>
        <v>63.63636363636364</v>
      </c>
      <c r="G238" s="175"/>
      <c r="H238" s="40">
        <f t="shared" ref="H238:H239" si="89">G238*F238</f>
        <v>0</v>
      </c>
      <c r="I238" s="112"/>
      <c r="J238" s="37"/>
      <c r="K238" s="40"/>
      <c r="L238" s="40"/>
      <c r="M238" s="39"/>
      <c r="N238" s="90"/>
    </row>
    <row r="239" spans="1:14" ht="29" x14ac:dyDescent="0.35">
      <c r="A239" s="37" t="s">
        <v>22</v>
      </c>
      <c r="B239" s="63">
        <v>632</v>
      </c>
      <c r="C239" s="47" t="s">
        <v>330</v>
      </c>
      <c r="D239" s="71" t="s">
        <v>27</v>
      </c>
      <c r="E239" s="37" t="s">
        <v>28</v>
      </c>
      <c r="F239" s="113">
        <f>900.89/1000</f>
        <v>0.90088999999999997</v>
      </c>
      <c r="G239" s="100"/>
      <c r="H239" s="39">
        <f t="shared" si="89"/>
        <v>0</v>
      </c>
      <c r="I239" s="72" t="s">
        <v>44</v>
      </c>
      <c r="J239" s="37" t="s">
        <v>28</v>
      </c>
      <c r="K239" s="39">
        <v>1.05</v>
      </c>
      <c r="L239" s="113">
        <f>K239*496.47/1000</f>
        <v>0.52129349999999997</v>
      </c>
      <c r="M239" s="53"/>
      <c r="N239" s="73">
        <f t="shared" ref="N239:N244" si="90">M239*L239</f>
        <v>0</v>
      </c>
    </row>
    <row r="240" spans="1:14" x14ac:dyDescent="0.35">
      <c r="A240" s="37" t="s">
        <v>22</v>
      </c>
      <c r="B240" s="63"/>
      <c r="C240" s="47"/>
      <c r="D240" s="71"/>
      <c r="E240" s="37"/>
      <c r="F240" s="113"/>
      <c r="G240" s="100"/>
      <c r="H240" s="39"/>
      <c r="I240" s="72" t="s">
        <v>29</v>
      </c>
      <c r="J240" s="37" t="s">
        <v>28</v>
      </c>
      <c r="K240" s="39">
        <v>1.05</v>
      </c>
      <c r="L240" s="113">
        <f>K240*20.22/1000</f>
        <v>2.1230999999999996E-2</v>
      </c>
      <c r="M240" s="53"/>
      <c r="N240" s="73">
        <f t="shared" si="90"/>
        <v>0</v>
      </c>
    </row>
    <row r="241" spans="1:14" x14ac:dyDescent="0.35">
      <c r="A241" s="37" t="s">
        <v>22</v>
      </c>
      <c r="B241" s="63">
        <v>633</v>
      </c>
      <c r="C241" s="47" t="s">
        <v>331</v>
      </c>
      <c r="D241" s="71"/>
      <c r="E241" s="37"/>
      <c r="F241" s="39"/>
      <c r="G241" s="39"/>
      <c r="H241" s="39"/>
      <c r="I241" s="72" t="s">
        <v>31</v>
      </c>
      <c r="J241" s="37" t="s">
        <v>28</v>
      </c>
      <c r="K241" s="39">
        <v>1.05</v>
      </c>
      <c r="L241" s="113">
        <f>K241*352.55/1000</f>
        <v>0.37017749999999999</v>
      </c>
      <c r="M241" s="53"/>
      <c r="N241" s="73">
        <f t="shared" si="90"/>
        <v>0</v>
      </c>
    </row>
    <row r="242" spans="1:14" x14ac:dyDescent="0.35">
      <c r="A242" s="37" t="s">
        <v>22</v>
      </c>
      <c r="B242" s="63">
        <v>634</v>
      </c>
      <c r="C242" s="47" t="s">
        <v>332</v>
      </c>
      <c r="D242" s="74"/>
      <c r="E242" s="37"/>
      <c r="F242" s="39"/>
      <c r="G242" s="39"/>
      <c r="H242" s="39"/>
      <c r="I242" s="72" t="s">
        <v>35</v>
      </c>
      <c r="J242" s="37" t="s">
        <v>28</v>
      </c>
      <c r="K242" s="39">
        <v>1.05</v>
      </c>
      <c r="L242" s="113">
        <f>31.65*1.05/1000</f>
        <v>3.3232500000000005E-2</v>
      </c>
      <c r="M242" s="53"/>
      <c r="N242" s="73">
        <f t="shared" si="90"/>
        <v>0</v>
      </c>
    </row>
    <row r="243" spans="1:14" x14ac:dyDescent="0.35">
      <c r="A243" s="37" t="s">
        <v>22</v>
      </c>
      <c r="B243" s="63">
        <v>635</v>
      </c>
      <c r="C243" s="47" t="s">
        <v>333</v>
      </c>
      <c r="D243" s="74"/>
      <c r="E243" s="37"/>
      <c r="F243" s="39"/>
      <c r="G243" s="39"/>
      <c r="H243" s="39"/>
      <c r="I243" s="72" t="s">
        <v>37</v>
      </c>
      <c r="J243" s="37" t="s">
        <v>28</v>
      </c>
      <c r="K243" s="39">
        <v>1.05</v>
      </c>
      <c r="L243" s="113">
        <f>20/1000*K243*F239</f>
        <v>1.8918690000000002E-2</v>
      </c>
      <c r="M243" s="53"/>
      <c r="N243" s="73">
        <f t="shared" si="90"/>
        <v>0</v>
      </c>
    </row>
    <row r="244" spans="1:14" ht="15" thickBot="1" x14ac:dyDescent="0.4">
      <c r="A244" s="37" t="s">
        <v>22</v>
      </c>
      <c r="B244" s="63">
        <v>636</v>
      </c>
      <c r="C244" s="47" t="s">
        <v>334</v>
      </c>
      <c r="D244" s="74" t="s">
        <v>173</v>
      </c>
      <c r="E244" s="37" t="s">
        <v>19</v>
      </c>
      <c r="F244" s="113">
        <v>7</v>
      </c>
      <c r="G244" s="54"/>
      <c r="H244" s="149">
        <f t="shared" ref="H244" si="91">G244*F244</f>
        <v>0</v>
      </c>
      <c r="I244" s="72" t="s">
        <v>40</v>
      </c>
      <c r="J244" s="37" t="s">
        <v>19</v>
      </c>
      <c r="K244" s="39">
        <v>1.05</v>
      </c>
      <c r="L244" s="113">
        <f>K244*F244</f>
        <v>7.3500000000000005</v>
      </c>
      <c r="M244" s="54"/>
      <c r="N244" s="73">
        <f t="shared" si="90"/>
        <v>0</v>
      </c>
    </row>
    <row r="245" spans="1:14" ht="16.5" thickBot="1" x14ac:dyDescent="0.45">
      <c r="A245" s="37" t="s">
        <v>22</v>
      </c>
      <c r="B245" s="63">
        <v>637</v>
      </c>
      <c r="C245" s="47" t="s">
        <v>335</v>
      </c>
      <c r="D245" s="198" t="s">
        <v>336</v>
      </c>
      <c r="E245" s="199"/>
      <c r="F245" s="200">
        <v>1</v>
      </c>
      <c r="G245" s="201"/>
      <c r="H245" s="200"/>
      <c r="I245" s="202"/>
      <c r="J245" s="199"/>
      <c r="K245" s="200"/>
      <c r="L245" s="200"/>
      <c r="M245" s="200"/>
      <c r="N245" s="203"/>
    </row>
    <row r="246" spans="1:14" ht="16" x14ac:dyDescent="0.4">
      <c r="A246" s="37" t="s">
        <v>22</v>
      </c>
      <c r="B246" s="63">
        <v>638</v>
      </c>
      <c r="C246" s="47" t="s">
        <v>337</v>
      </c>
      <c r="D246" s="204" t="s">
        <v>185</v>
      </c>
      <c r="E246" s="66" t="s">
        <v>28</v>
      </c>
      <c r="F246" s="205">
        <f>0.245/1.05</f>
        <v>0.23333333333333331</v>
      </c>
      <c r="G246" s="206"/>
      <c r="H246" s="207">
        <f t="shared" ref="H246" si="92">G246*F246</f>
        <v>0</v>
      </c>
      <c r="I246" s="208" t="s">
        <v>186</v>
      </c>
      <c r="J246" s="66" t="s">
        <v>28</v>
      </c>
      <c r="K246" s="67">
        <v>1.05</v>
      </c>
      <c r="L246" s="205">
        <f>K246*95.9/1000</f>
        <v>0.10069500000000001</v>
      </c>
      <c r="M246" s="53"/>
      <c r="N246" s="70">
        <f t="shared" ref="N246:N263" si="93">M246*L246</f>
        <v>0</v>
      </c>
    </row>
    <row r="247" spans="1:14" x14ac:dyDescent="0.35">
      <c r="A247" s="37" t="s">
        <v>22</v>
      </c>
      <c r="B247" s="63">
        <v>639</v>
      </c>
      <c r="C247" s="47" t="s">
        <v>338</v>
      </c>
      <c r="D247" s="102"/>
      <c r="E247" s="72"/>
      <c r="F247" s="39"/>
      <c r="G247" s="39"/>
      <c r="H247" s="39"/>
      <c r="I247" s="72" t="s">
        <v>188</v>
      </c>
      <c r="J247" s="37" t="s">
        <v>28</v>
      </c>
      <c r="K247" s="39">
        <v>1.05</v>
      </c>
      <c r="L247" s="113">
        <f>K247*116.48/1000</f>
        <v>0.12230400000000001</v>
      </c>
      <c r="M247" s="53"/>
      <c r="N247" s="73">
        <f t="shared" si="93"/>
        <v>0</v>
      </c>
    </row>
    <row r="248" spans="1:14" x14ac:dyDescent="0.35">
      <c r="A248" s="37" t="s">
        <v>22</v>
      </c>
      <c r="B248" s="63">
        <v>640</v>
      </c>
      <c r="C248" s="47" t="s">
        <v>339</v>
      </c>
      <c r="D248" s="102"/>
      <c r="E248" s="72"/>
      <c r="F248" s="39"/>
      <c r="G248" s="39"/>
      <c r="H248" s="39"/>
      <c r="I248" s="72" t="s">
        <v>340</v>
      </c>
      <c r="J248" s="37" t="s">
        <v>28</v>
      </c>
      <c r="K248" s="39">
        <v>1.05</v>
      </c>
      <c r="L248" s="113">
        <f>K248*4.17/1000</f>
        <v>4.3784999999999996E-3</v>
      </c>
      <c r="M248" s="53"/>
      <c r="N248" s="73">
        <f t="shared" si="93"/>
        <v>0</v>
      </c>
    </row>
    <row r="249" spans="1:14" x14ac:dyDescent="0.35">
      <c r="A249" s="37" t="s">
        <v>22</v>
      </c>
      <c r="B249" s="63">
        <v>641</v>
      </c>
      <c r="C249" s="47" t="s">
        <v>341</v>
      </c>
      <c r="D249" s="102"/>
      <c r="E249" s="72"/>
      <c r="F249" s="39"/>
      <c r="G249" s="39"/>
      <c r="H249" s="39"/>
      <c r="I249" s="72" t="s">
        <v>190</v>
      </c>
      <c r="J249" s="37" t="s">
        <v>28</v>
      </c>
      <c r="K249" s="39">
        <v>1.05</v>
      </c>
      <c r="L249" s="113">
        <f>K249*6.04/1000</f>
        <v>6.3420000000000004E-3</v>
      </c>
      <c r="M249" s="53"/>
      <c r="N249" s="73">
        <f t="shared" si="93"/>
        <v>0</v>
      </c>
    </row>
    <row r="250" spans="1:14" x14ac:dyDescent="0.35">
      <c r="A250" s="37" t="s">
        <v>22</v>
      </c>
      <c r="B250" s="63">
        <v>642</v>
      </c>
      <c r="C250" s="47" t="s">
        <v>342</v>
      </c>
      <c r="D250" s="102"/>
      <c r="E250" s="72"/>
      <c r="F250" s="39"/>
      <c r="G250" s="39"/>
      <c r="H250" s="39"/>
      <c r="I250" s="72" t="s">
        <v>192</v>
      </c>
      <c r="J250" s="37" t="s">
        <v>28</v>
      </c>
      <c r="K250" s="39">
        <v>1.05</v>
      </c>
      <c r="L250" s="113">
        <f>K250*7.54/1000</f>
        <v>7.9170000000000004E-3</v>
      </c>
      <c r="M250" s="53"/>
      <c r="N250" s="73">
        <f t="shared" si="93"/>
        <v>0</v>
      </c>
    </row>
    <row r="251" spans="1:14" x14ac:dyDescent="0.35">
      <c r="A251" s="37" t="s">
        <v>22</v>
      </c>
      <c r="B251" s="63">
        <v>643</v>
      </c>
      <c r="C251" s="47" t="s">
        <v>343</v>
      </c>
      <c r="D251" s="102"/>
      <c r="E251" s="72"/>
      <c r="F251" s="39"/>
      <c r="G251" s="39"/>
      <c r="H251" s="39"/>
      <c r="I251" s="72" t="s">
        <v>194</v>
      </c>
      <c r="J251" s="37" t="s">
        <v>28</v>
      </c>
      <c r="K251" s="39">
        <v>1.05</v>
      </c>
      <c r="L251" s="113">
        <f>K251*7.39/1000</f>
        <v>7.7594999999999999E-3</v>
      </c>
      <c r="M251" s="53"/>
      <c r="N251" s="73">
        <f t="shared" si="93"/>
        <v>0</v>
      </c>
    </row>
    <row r="252" spans="1:14" x14ac:dyDescent="0.35">
      <c r="A252" s="37" t="s">
        <v>22</v>
      </c>
      <c r="B252" s="63">
        <v>644</v>
      </c>
      <c r="C252" s="47" t="s">
        <v>344</v>
      </c>
      <c r="D252" s="102"/>
      <c r="E252" s="72"/>
      <c r="F252" s="39"/>
      <c r="G252" s="39"/>
      <c r="H252" s="39"/>
      <c r="I252" s="72" t="s">
        <v>196</v>
      </c>
      <c r="J252" s="37" t="s">
        <v>28</v>
      </c>
      <c r="K252" s="39">
        <v>1.05</v>
      </c>
      <c r="L252" s="113">
        <f>K252*3.77/1000</f>
        <v>3.9585000000000002E-3</v>
      </c>
      <c r="M252" s="53"/>
      <c r="N252" s="73">
        <f t="shared" si="93"/>
        <v>0</v>
      </c>
    </row>
    <row r="253" spans="1:14" x14ac:dyDescent="0.35">
      <c r="A253" s="37" t="s">
        <v>22</v>
      </c>
      <c r="B253" s="63">
        <v>645</v>
      </c>
      <c r="C253" s="47" t="s">
        <v>345</v>
      </c>
      <c r="D253" s="102"/>
      <c r="E253" s="72"/>
      <c r="F253" s="39"/>
      <c r="G253" s="39"/>
      <c r="H253" s="39"/>
      <c r="I253" s="72" t="s">
        <v>31</v>
      </c>
      <c r="J253" s="37" t="s">
        <v>28</v>
      </c>
      <c r="K253" s="39">
        <v>1.05</v>
      </c>
      <c r="L253" s="113">
        <f>K253*1.3/1000</f>
        <v>1.3650000000000001E-3</v>
      </c>
      <c r="M253" s="53"/>
      <c r="N253" s="73">
        <f t="shared" si="93"/>
        <v>0</v>
      </c>
    </row>
    <row r="254" spans="1:14" x14ac:dyDescent="0.35">
      <c r="A254" s="37" t="s">
        <v>22</v>
      </c>
      <c r="B254" s="63">
        <v>646</v>
      </c>
      <c r="C254" s="47" t="s">
        <v>346</v>
      </c>
      <c r="D254" s="102"/>
      <c r="E254" s="72"/>
      <c r="F254" s="39"/>
      <c r="G254" s="39"/>
      <c r="H254" s="39"/>
      <c r="I254" s="72" t="s">
        <v>199</v>
      </c>
      <c r="J254" s="37" t="s">
        <v>200</v>
      </c>
      <c r="K254" s="39">
        <f>2*1000</f>
        <v>2000</v>
      </c>
      <c r="L254" s="113">
        <f>K254*L246+L247+L248+L249+L250+L251+L252+L253</f>
        <v>201.54402450000001</v>
      </c>
      <c r="M254" s="53"/>
      <c r="N254" s="73">
        <f t="shared" si="93"/>
        <v>0</v>
      </c>
    </row>
    <row r="255" spans="1:14" x14ac:dyDescent="0.35">
      <c r="A255" s="37" t="s">
        <v>22</v>
      </c>
      <c r="B255" s="63">
        <v>647</v>
      </c>
      <c r="C255" s="47" t="s">
        <v>347</v>
      </c>
      <c r="D255" s="102"/>
      <c r="E255" s="72"/>
      <c r="F255" s="39"/>
      <c r="G255" s="39"/>
      <c r="H255" s="39"/>
      <c r="I255" s="72" t="s">
        <v>348</v>
      </c>
      <c r="J255" s="37" t="s">
        <v>91</v>
      </c>
      <c r="K255" s="39"/>
      <c r="L255" s="113">
        <v>6</v>
      </c>
      <c r="M255" s="53"/>
      <c r="N255" s="73">
        <f t="shared" si="93"/>
        <v>0</v>
      </c>
    </row>
    <row r="256" spans="1:14" x14ac:dyDescent="0.35">
      <c r="A256" s="37" t="s">
        <v>22</v>
      </c>
      <c r="B256" s="63">
        <v>648</v>
      </c>
      <c r="C256" s="47" t="s">
        <v>349</v>
      </c>
      <c r="D256" s="102"/>
      <c r="E256" s="72"/>
      <c r="F256" s="39"/>
      <c r="G256" s="39"/>
      <c r="H256" s="39"/>
      <c r="I256" s="72" t="s">
        <v>204</v>
      </c>
      <c r="J256" s="37" t="s">
        <v>91</v>
      </c>
      <c r="K256" s="39"/>
      <c r="L256" s="113">
        <v>6</v>
      </c>
      <c r="M256" s="53"/>
      <c r="N256" s="73">
        <f t="shared" si="93"/>
        <v>0</v>
      </c>
    </row>
    <row r="257" spans="1:14" x14ac:dyDescent="0.35">
      <c r="A257" s="37" t="s">
        <v>22</v>
      </c>
      <c r="B257" s="63">
        <v>649</v>
      </c>
      <c r="C257" s="47" t="s">
        <v>350</v>
      </c>
      <c r="D257" s="102"/>
      <c r="E257" s="72"/>
      <c r="F257" s="39"/>
      <c r="G257" s="39"/>
      <c r="H257" s="39"/>
      <c r="I257" s="72" t="s">
        <v>206</v>
      </c>
      <c r="J257" s="37" t="s">
        <v>91</v>
      </c>
      <c r="K257" s="39"/>
      <c r="L257" s="113">
        <v>12</v>
      </c>
      <c r="M257" s="53"/>
      <c r="N257" s="73">
        <f t="shared" si="93"/>
        <v>0</v>
      </c>
    </row>
    <row r="258" spans="1:14" x14ac:dyDescent="0.35">
      <c r="A258" s="37" t="s">
        <v>22</v>
      </c>
      <c r="B258" s="63">
        <v>650</v>
      </c>
      <c r="C258" s="47" t="s">
        <v>351</v>
      </c>
      <c r="D258" s="102"/>
      <c r="E258" s="72"/>
      <c r="F258" s="39"/>
      <c r="G258" s="39"/>
      <c r="H258" s="39"/>
      <c r="I258" s="72" t="s">
        <v>208</v>
      </c>
      <c r="J258" s="37" t="s">
        <v>91</v>
      </c>
      <c r="K258" s="39"/>
      <c r="L258" s="113">
        <v>3</v>
      </c>
      <c r="M258" s="53"/>
      <c r="N258" s="73">
        <f t="shared" si="93"/>
        <v>0</v>
      </c>
    </row>
    <row r="259" spans="1:14" x14ac:dyDescent="0.35">
      <c r="A259" s="37" t="s">
        <v>22</v>
      </c>
      <c r="B259" s="63">
        <v>651</v>
      </c>
      <c r="C259" s="47" t="s">
        <v>352</v>
      </c>
      <c r="D259" s="102"/>
      <c r="E259" s="72"/>
      <c r="F259" s="39"/>
      <c r="G259" s="39"/>
      <c r="H259" s="39"/>
      <c r="I259" s="72" t="s">
        <v>210</v>
      </c>
      <c r="J259" s="37" t="s">
        <v>91</v>
      </c>
      <c r="K259" s="39"/>
      <c r="L259" s="113">
        <v>3</v>
      </c>
      <c r="M259" s="53"/>
      <c r="N259" s="73">
        <f t="shared" si="93"/>
        <v>0</v>
      </c>
    </row>
    <row r="260" spans="1:14" x14ac:dyDescent="0.35">
      <c r="A260" s="37" t="s">
        <v>22</v>
      </c>
      <c r="B260" s="63">
        <v>652</v>
      </c>
      <c r="C260" s="47" t="s">
        <v>353</v>
      </c>
      <c r="D260" s="102"/>
      <c r="E260" s="72"/>
      <c r="F260" s="39"/>
      <c r="G260" s="39"/>
      <c r="H260" s="39"/>
      <c r="I260" s="72" t="s">
        <v>212</v>
      </c>
      <c r="J260" s="37" t="s">
        <v>91</v>
      </c>
      <c r="K260" s="39"/>
      <c r="L260" s="113">
        <v>6</v>
      </c>
      <c r="M260" s="53"/>
      <c r="N260" s="73">
        <f t="shared" si="93"/>
        <v>0</v>
      </c>
    </row>
    <row r="261" spans="1:14" x14ac:dyDescent="0.35">
      <c r="A261" s="37" t="s">
        <v>22</v>
      </c>
      <c r="B261" s="63">
        <v>653</v>
      </c>
      <c r="C261" s="47" t="s">
        <v>354</v>
      </c>
      <c r="D261" s="102"/>
      <c r="E261" s="72"/>
      <c r="F261" s="39"/>
      <c r="G261" s="39"/>
      <c r="H261" s="39"/>
      <c r="I261" s="72" t="s">
        <v>214</v>
      </c>
      <c r="J261" s="37" t="s">
        <v>215</v>
      </c>
      <c r="K261" s="39"/>
      <c r="L261" s="113">
        <v>0.11</v>
      </c>
      <c r="M261" s="53"/>
      <c r="N261" s="73">
        <f t="shared" si="93"/>
        <v>0</v>
      </c>
    </row>
    <row r="262" spans="1:14" ht="29.5" x14ac:dyDescent="0.4">
      <c r="A262" s="37" t="s">
        <v>22</v>
      </c>
      <c r="B262" s="63">
        <v>654</v>
      </c>
      <c r="C262" s="47" t="s">
        <v>355</v>
      </c>
      <c r="D262" s="101" t="s">
        <v>217</v>
      </c>
      <c r="E262" s="37" t="s">
        <v>25</v>
      </c>
      <c r="F262" s="113">
        <v>7.1</v>
      </c>
      <c r="G262" s="152"/>
      <c r="H262" s="149">
        <f t="shared" ref="H262:H263" si="94">G262*F262</f>
        <v>0</v>
      </c>
      <c r="I262" s="72" t="s">
        <v>218</v>
      </c>
      <c r="J262" s="37" t="s">
        <v>215</v>
      </c>
      <c r="K262" s="39">
        <v>0.2</v>
      </c>
      <c r="L262" s="113">
        <f>K262*F262</f>
        <v>1.42</v>
      </c>
      <c r="M262" s="53"/>
      <c r="N262" s="73">
        <f t="shared" si="93"/>
        <v>0</v>
      </c>
    </row>
    <row r="263" spans="1:14" ht="30" thickBot="1" x14ac:dyDescent="0.45">
      <c r="A263" s="37" t="s">
        <v>22</v>
      </c>
      <c r="B263" s="63">
        <v>655</v>
      </c>
      <c r="C263" s="209" t="s">
        <v>356</v>
      </c>
      <c r="D263" s="91" t="s">
        <v>220</v>
      </c>
      <c r="E263" s="92" t="s">
        <v>25</v>
      </c>
      <c r="F263" s="114">
        <v>7.1</v>
      </c>
      <c r="G263" s="155"/>
      <c r="H263" s="103">
        <f t="shared" si="94"/>
        <v>0</v>
      </c>
      <c r="I263" s="156" t="s">
        <v>221</v>
      </c>
      <c r="J263" s="92" t="s">
        <v>215</v>
      </c>
      <c r="K263" s="93">
        <v>1.5</v>
      </c>
      <c r="L263" s="114">
        <f>K263*F263</f>
        <v>10.649999999999999</v>
      </c>
      <c r="M263" s="54"/>
      <c r="N263" s="96">
        <f t="shared" si="93"/>
        <v>0</v>
      </c>
    </row>
    <row r="264" spans="1:14" ht="21.5" thickBot="1" x14ac:dyDescent="0.55000000000000004">
      <c r="A264" s="124"/>
      <c r="B264" s="125">
        <v>656</v>
      </c>
      <c r="C264" s="126"/>
      <c r="D264" s="127" t="s">
        <v>86</v>
      </c>
      <c r="E264" s="128"/>
      <c r="F264" s="129"/>
      <c r="G264" s="129"/>
      <c r="H264" s="133">
        <f>SUM(H176:H263)</f>
        <v>0</v>
      </c>
      <c r="I264" s="131"/>
      <c r="J264" s="132"/>
      <c r="K264" s="133"/>
      <c r="L264" s="133"/>
      <c r="M264" s="133"/>
      <c r="N264" s="133">
        <f>SUM(N176:N263)</f>
        <v>0</v>
      </c>
    </row>
    <row r="265" spans="1:14" ht="21.5" thickBot="1" x14ac:dyDescent="0.55000000000000004">
      <c r="A265" s="55"/>
      <c r="B265" s="56">
        <v>657</v>
      </c>
      <c r="C265" s="210" t="s">
        <v>357</v>
      </c>
      <c r="D265" s="211"/>
      <c r="E265" s="212"/>
      <c r="F265" s="213"/>
      <c r="G265" s="181" t="s">
        <v>358</v>
      </c>
      <c r="H265" s="213"/>
      <c r="I265" s="214"/>
      <c r="J265" s="212"/>
      <c r="K265" s="213"/>
      <c r="L265" s="213"/>
      <c r="M265" s="213"/>
      <c r="N265" s="183"/>
    </row>
    <row r="266" spans="1:14" ht="16" x14ac:dyDescent="0.4">
      <c r="A266" s="37" t="s">
        <v>22</v>
      </c>
      <c r="B266" s="63">
        <v>658</v>
      </c>
      <c r="C266" s="64" t="s">
        <v>359</v>
      </c>
      <c r="D266" s="65" t="s">
        <v>24</v>
      </c>
      <c r="E266" s="66" t="s">
        <v>25</v>
      </c>
      <c r="F266" s="67">
        <f>67.2/0.2</f>
        <v>336</v>
      </c>
      <c r="G266" s="215"/>
      <c r="H266" s="67">
        <f t="shared" ref="H266" si="95">G266*F266</f>
        <v>0</v>
      </c>
      <c r="I266" s="69"/>
      <c r="J266" s="66"/>
      <c r="K266" s="67"/>
      <c r="L266" s="67"/>
      <c r="M266" s="39"/>
      <c r="N266" s="70"/>
    </row>
    <row r="267" spans="1:14" ht="29" x14ac:dyDescent="0.35">
      <c r="A267" s="37" t="s">
        <v>22</v>
      </c>
      <c r="B267" s="63">
        <v>659</v>
      </c>
      <c r="C267" s="47" t="s">
        <v>360</v>
      </c>
      <c r="D267" s="71" t="s">
        <v>27</v>
      </c>
      <c r="E267" s="37" t="s">
        <v>28</v>
      </c>
      <c r="F267" s="113">
        <f>(6397.76-797.34-530.09-140.62-14.22-118.55)/1000</f>
        <v>4.7969399999999993</v>
      </c>
      <c r="G267" s="53"/>
      <c r="H267" s="39">
        <f>G267*F267</f>
        <v>0</v>
      </c>
      <c r="I267" s="72" t="s">
        <v>29</v>
      </c>
      <c r="J267" s="37" t="s">
        <v>28</v>
      </c>
      <c r="K267" s="39">
        <v>1.05</v>
      </c>
      <c r="L267" s="113">
        <f>K267*222.78/1000</f>
        <v>0.23391900000000002</v>
      </c>
      <c r="M267" s="53"/>
      <c r="N267" s="73">
        <f t="shared" ref="N267:N339" si="96">M267*L267</f>
        <v>0</v>
      </c>
    </row>
    <row r="268" spans="1:14" x14ac:dyDescent="0.35">
      <c r="A268" s="37" t="s">
        <v>22</v>
      </c>
      <c r="B268" s="63">
        <v>660</v>
      </c>
      <c r="C268" s="47" t="s">
        <v>361</v>
      </c>
      <c r="D268" s="71"/>
      <c r="E268" s="37"/>
      <c r="F268" s="39"/>
      <c r="G268" s="39"/>
      <c r="H268" s="39"/>
      <c r="I268" s="72" t="s">
        <v>31</v>
      </c>
      <c r="J268" s="37" t="s">
        <v>28</v>
      </c>
      <c r="K268" s="39">
        <v>1.05</v>
      </c>
      <c r="L268" s="113">
        <f>K268*(1872.52-797.34)/1000</f>
        <v>1.1289389999999999</v>
      </c>
      <c r="M268" s="53"/>
      <c r="N268" s="73">
        <f t="shared" si="96"/>
        <v>0</v>
      </c>
    </row>
    <row r="269" spans="1:14" x14ac:dyDescent="0.35">
      <c r="A269" s="37" t="s">
        <v>22</v>
      </c>
      <c r="B269" s="63">
        <v>661</v>
      </c>
      <c r="C269" s="47" t="s">
        <v>362</v>
      </c>
      <c r="D269" s="71"/>
      <c r="E269" s="37"/>
      <c r="F269" s="39"/>
      <c r="G269" s="39"/>
      <c r="H269" s="39"/>
      <c r="I269" s="72" t="s">
        <v>33</v>
      </c>
      <c r="J269" s="37" t="s">
        <v>28</v>
      </c>
      <c r="K269" s="39">
        <v>1.05</v>
      </c>
      <c r="L269" s="113">
        <f>K269*(4201.84-530.09-140.62-14.22)/1000</f>
        <v>3.6927555000000005</v>
      </c>
      <c r="M269" s="53"/>
      <c r="N269" s="73">
        <f t="shared" si="96"/>
        <v>0</v>
      </c>
    </row>
    <row r="270" spans="1:14" x14ac:dyDescent="0.35">
      <c r="A270" s="37" t="s">
        <v>22</v>
      </c>
      <c r="B270" s="63">
        <v>662</v>
      </c>
      <c r="C270" s="47" t="s">
        <v>363</v>
      </c>
      <c r="D270" s="71"/>
      <c r="E270" s="37"/>
      <c r="F270" s="39"/>
      <c r="G270" s="39"/>
      <c r="H270" s="39"/>
      <c r="I270" s="72" t="s">
        <v>54</v>
      </c>
      <c r="J270" s="37" t="s">
        <v>28</v>
      </c>
      <c r="K270" s="39">
        <v>1.05</v>
      </c>
      <c r="L270" s="113">
        <f>K270*(21.68)/1000</f>
        <v>2.2764E-2</v>
      </c>
      <c r="M270" s="53"/>
      <c r="N270" s="73">
        <f t="shared" si="96"/>
        <v>0</v>
      </c>
    </row>
    <row r="271" spans="1:14" x14ac:dyDescent="0.35">
      <c r="A271" s="37" t="s">
        <v>22</v>
      </c>
      <c r="B271" s="63">
        <v>663</v>
      </c>
      <c r="C271" s="47" t="s">
        <v>364</v>
      </c>
      <c r="D271" s="71"/>
      <c r="E271" s="37"/>
      <c r="F271" s="39"/>
      <c r="G271" s="39"/>
      <c r="H271" s="39"/>
      <c r="I271" s="72" t="s">
        <v>35</v>
      </c>
      <c r="J271" s="37" t="s">
        <v>28</v>
      </c>
      <c r="K271" s="39">
        <v>1.05</v>
      </c>
      <c r="L271" s="113">
        <f>K271*(131.08-118.55)/1000</f>
        <v>1.3156500000000017E-2</v>
      </c>
      <c r="M271" s="53"/>
      <c r="N271" s="73">
        <f t="shared" si="96"/>
        <v>0</v>
      </c>
    </row>
    <row r="272" spans="1:14" x14ac:dyDescent="0.35">
      <c r="A272" s="37" t="s">
        <v>22</v>
      </c>
      <c r="B272" s="63">
        <v>664</v>
      </c>
      <c r="C272" s="47" t="s">
        <v>365</v>
      </c>
      <c r="D272" s="71"/>
      <c r="E272" s="37"/>
      <c r="F272" s="39"/>
      <c r="G272" s="39"/>
      <c r="H272" s="39"/>
      <c r="I272" s="72" t="s">
        <v>37</v>
      </c>
      <c r="J272" s="37" t="s">
        <v>28</v>
      </c>
      <c r="K272" s="39">
        <v>1.05</v>
      </c>
      <c r="L272" s="113">
        <f>20/1000*K272*F267</f>
        <v>0.10073573999999999</v>
      </c>
      <c r="M272" s="53"/>
      <c r="N272" s="73">
        <f t="shared" si="96"/>
        <v>0</v>
      </c>
    </row>
    <row r="273" spans="1:14" ht="15" thickBot="1" x14ac:dyDescent="0.4">
      <c r="A273" s="37" t="s">
        <v>22</v>
      </c>
      <c r="B273" s="63">
        <v>665</v>
      </c>
      <c r="C273" s="209" t="s">
        <v>366</v>
      </c>
      <c r="D273" s="123" t="s">
        <v>39</v>
      </c>
      <c r="E273" s="92" t="s">
        <v>19</v>
      </c>
      <c r="F273" s="114">
        <f>91-24.17</f>
        <v>66.83</v>
      </c>
      <c r="G273" s="54"/>
      <c r="H273" s="103">
        <f>G273*F273</f>
        <v>0</v>
      </c>
      <c r="I273" s="95" t="s">
        <v>40</v>
      </c>
      <c r="J273" s="92" t="s">
        <v>19</v>
      </c>
      <c r="K273" s="93">
        <v>1.05</v>
      </c>
      <c r="L273" s="114">
        <f>K273*F273</f>
        <v>70.171499999999995</v>
      </c>
      <c r="M273" s="54"/>
      <c r="N273" s="96">
        <f t="shared" si="96"/>
        <v>0</v>
      </c>
    </row>
    <row r="274" spans="1:14" ht="21.5" thickBot="1" x14ac:dyDescent="0.55000000000000004">
      <c r="A274" s="124"/>
      <c r="B274" s="125">
        <v>666</v>
      </c>
      <c r="C274" s="126"/>
      <c r="D274" s="127" t="s">
        <v>86</v>
      </c>
      <c r="E274" s="128"/>
      <c r="F274" s="129"/>
      <c r="G274" s="129"/>
      <c r="H274" s="133">
        <f>SUM(H266:H273)</f>
        <v>0</v>
      </c>
      <c r="I274" s="131"/>
      <c r="J274" s="132"/>
      <c r="K274" s="133"/>
      <c r="L274" s="133"/>
      <c r="M274" s="133"/>
      <c r="N274" s="157">
        <f>SUM(N266:N273)</f>
        <v>0</v>
      </c>
    </row>
    <row r="275" spans="1:14" ht="21.5" thickBot="1" x14ac:dyDescent="0.55000000000000004">
      <c r="A275" s="55"/>
      <c r="B275" s="56">
        <v>667</v>
      </c>
      <c r="C275" s="216" t="s">
        <v>367</v>
      </c>
      <c r="D275" s="217"/>
      <c r="E275" s="218"/>
      <c r="F275" s="219"/>
      <c r="G275" s="220" t="s">
        <v>368</v>
      </c>
      <c r="H275" s="221"/>
      <c r="I275" s="222"/>
      <c r="J275" s="218"/>
      <c r="K275" s="221"/>
      <c r="L275" s="221"/>
      <c r="M275" s="221"/>
      <c r="N275" s="221"/>
    </row>
    <row r="276" spans="1:14" ht="16" x14ac:dyDescent="0.4">
      <c r="A276" s="37" t="s">
        <v>22</v>
      </c>
      <c r="B276" s="63">
        <v>668</v>
      </c>
      <c r="C276" s="64" t="s">
        <v>369</v>
      </c>
      <c r="D276" s="65" t="s">
        <v>24</v>
      </c>
      <c r="E276" s="66" t="s">
        <v>25</v>
      </c>
      <c r="F276" s="67">
        <f>75.535*1.6*2</f>
        <v>241.71199999999999</v>
      </c>
      <c r="G276" s="215"/>
      <c r="H276" s="67">
        <f t="shared" ref="H276" si="97">G276*F276</f>
        <v>0</v>
      </c>
      <c r="I276" s="69"/>
      <c r="J276" s="66"/>
      <c r="K276" s="67"/>
      <c r="L276" s="67"/>
      <c r="M276" s="67"/>
      <c r="N276" s="70"/>
    </row>
    <row r="277" spans="1:14" ht="29" x14ac:dyDescent="0.35">
      <c r="A277" s="37" t="s">
        <v>22</v>
      </c>
      <c r="B277" s="63">
        <v>669</v>
      </c>
      <c r="C277" s="47" t="s">
        <v>370</v>
      </c>
      <c r="D277" s="71" t="s">
        <v>27</v>
      </c>
      <c r="E277" s="37" t="s">
        <v>28</v>
      </c>
      <c r="F277" s="113">
        <f>1600.82/1000</f>
        <v>1.6008199999999999</v>
      </c>
      <c r="G277" s="53"/>
      <c r="H277" s="39">
        <f>G277*F277</f>
        <v>0</v>
      </c>
      <c r="I277" s="72" t="s">
        <v>31</v>
      </c>
      <c r="J277" s="37" t="s">
        <v>28</v>
      </c>
      <c r="K277" s="39">
        <v>1.05</v>
      </c>
      <c r="L277" s="113">
        <f>K277*797.34/1000</f>
        <v>0.83720700000000015</v>
      </c>
      <c r="M277" s="53"/>
      <c r="N277" s="73">
        <f t="shared" ref="N277:N280" si="98">M277*L277</f>
        <v>0</v>
      </c>
    </row>
    <row r="278" spans="1:14" x14ac:dyDescent="0.35">
      <c r="A278" s="37" t="s">
        <v>22</v>
      </c>
      <c r="B278" s="63">
        <v>670</v>
      </c>
      <c r="C278" s="47" t="s">
        <v>371</v>
      </c>
      <c r="D278" s="71"/>
      <c r="E278" s="37"/>
      <c r="F278" s="39"/>
      <c r="G278" s="39"/>
      <c r="H278" s="39"/>
      <c r="I278" s="72" t="s">
        <v>33</v>
      </c>
      <c r="J278" s="37" t="s">
        <v>28</v>
      </c>
      <c r="K278" s="39">
        <v>1.05</v>
      </c>
      <c r="L278" s="113">
        <f>K278*(530.09+140.62+14.22)/1000</f>
        <v>0.71917650000000011</v>
      </c>
      <c r="M278" s="53"/>
      <c r="N278" s="73">
        <f t="shared" si="98"/>
        <v>0</v>
      </c>
    </row>
    <row r="279" spans="1:14" x14ac:dyDescent="0.35">
      <c r="A279" s="37" t="s">
        <v>22</v>
      </c>
      <c r="B279" s="63">
        <v>671</v>
      </c>
      <c r="C279" s="47" t="s">
        <v>372</v>
      </c>
      <c r="D279" s="71"/>
      <c r="E279" s="37"/>
      <c r="F279" s="39"/>
      <c r="G279" s="39"/>
      <c r="H279" s="39"/>
      <c r="I279" s="72" t="s">
        <v>35</v>
      </c>
      <c r="J279" s="37" t="s">
        <v>28</v>
      </c>
      <c r="K279" s="39">
        <v>1.05</v>
      </c>
      <c r="L279" s="113">
        <f>K279*118.55/1000</f>
        <v>0.1244775</v>
      </c>
      <c r="M279" s="53"/>
      <c r="N279" s="73">
        <f t="shared" si="98"/>
        <v>0</v>
      </c>
    </row>
    <row r="280" spans="1:14" x14ac:dyDescent="0.35">
      <c r="A280" s="37" t="s">
        <v>22</v>
      </c>
      <c r="B280" s="63">
        <v>672</v>
      </c>
      <c r="C280" s="47" t="s">
        <v>373</v>
      </c>
      <c r="D280" s="71"/>
      <c r="E280" s="37"/>
      <c r="F280" s="39"/>
      <c r="G280" s="39"/>
      <c r="H280" s="39"/>
      <c r="I280" s="72" t="s">
        <v>37</v>
      </c>
      <c r="J280" s="37" t="s">
        <v>28</v>
      </c>
      <c r="K280" s="39">
        <v>1.05</v>
      </c>
      <c r="L280" s="113">
        <f>20/1000*K280*F277</f>
        <v>3.3617220000000003E-2</v>
      </c>
      <c r="M280" s="53"/>
      <c r="N280" s="73">
        <f t="shared" si="98"/>
        <v>0</v>
      </c>
    </row>
    <row r="281" spans="1:14" ht="15" thickBot="1" x14ac:dyDescent="0.4">
      <c r="A281" s="37" t="s">
        <v>22</v>
      </c>
      <c r="B281" s="63">
        <v>673</v>
      </c>
      <c r="C281" s="209" t="s">
        <v>374</v>
      </c>
      <c r="D281" s="123" t="s">
        <v>39</v>
      </c>
      <c r="E281" s="92" t="s">
        <v>19</v>
      </c>
      <c r="F281" s="114">
        <v>24.17</v>
      </c>
      <c r="G281" s="54"/>
      <c r="H281" s="103">
        <f>G281*F281</f>
        <v>0</v>
      </c>
      <c r="I281" s="95" t="s">
        <v>40</v>
      </c>
      <c r="J281" s="92" t="s">
        <v>19</v>
      </c>
      <c r="K281" s="93">
        <v>1.05</v>
      </c>
      <c r="L281" s="114">
        <f>K281*F281</f>
        <v>25.378500000000003</v>
      </c>
      <c r="M281" s="54"/>
      <c r="N281" s="96">
        <f t="shared" si="96"/>
        <v>0</v>
      </c>
    </row>
    <row r="282" spans="1:14" ht="21.5" thickBot="1" x14ac:dyDescent="0.55000000000000004">
      <c r="A282" s="124"/>
      <c r="B282" s="125">
        <v>674</v>
      </c>
      <c r="C282" s="126" t="s">
        <v>375</v>
      </c>
      <c r="D282" s="127" t="s">
        <v>86</v>
      </c>
      <c r="E282" s="128"/>
      <c r="F282" s="129"/>
      <c r="G282" s="129"/>
      <c r="H282" s="133">
        <f>SUM(H276:H281)</f>
        <v>0</v>
      </c>
      <c r="I282" s="131"/>
      <c r="J282" s="132"/>
      <c r="K282" s="133"/>
      <c r="L282" s="133"/>
      <c r="M282" s="133"/>
      <c r="N282" s="157">
        <f>SUM(N276:N281)</f>
        <v>0</v>
      </c>
    </row>
    <row r="283" spans="1:14" ht="24" thickBot="1" x14ac:dyDescent="0.6">
      <c r="A283" s="55"/>
      <c r="B283" s="56">
        <v>675</v>
      </c>
      <c r="C283" s="223" t="s">
        <v>376</v>
      </c>
      <c r="D283" s="217"/>
      <c r="E283" s="218"/>
      <c r="F283" s="221"/>
      <c r="G283" s="224" t="s">
        <v>377</v>
      </c>
      <c r="H283" s="221"/>
      <c r="I283" s="222"/>
      <c r="J283" s="218"/>
      <c r="K283" s="221"/>
      <c r="L283" s="221"/>
      <c r="M283" s="221"/>
      <c r="N283" s="221"/>
    </row>
    <row r="284" spans="1:14" ht="16" x14ac:dyDescent="0.4">
      <c r="A284" s="37" t="s">
        <v>22</v>
      </c>
      <c r="B284" s="63">
        <v>676</v>
      </c>
      <c r="C284" s="64" t="s">
        <v>378</v>
      </c>
      <c r="D284" s="225" t="s">
        <v>379</v>
      </c>
      <c r="E284" s="226"/>
      <c r="F284" s="227"/>
      <c r="G284" s="228"/>
      <c r="H284" s="227"/>
      <c r="I284" s="229"/>
      <c r="J284" s="226"/>
      <c r="K284" s="227"/>
      <c r="L284" s="227"/>
      <c r="M284" s="227"/>
      <c r="N284" s="230"/>
    </row>
    <row r="285" spans="1:14" x14ac:dyDescent="0.35">
      <c r="A285" s="37" t="s">
        <v>22</v>
      </c>
      <c r="B285" s="63">
        <v>677</v>
      </c>
      <c r="C285" s="47" t="s">
        <v>380</v>
      </c>
      <c r="D285" s="74" t="s">
        <v>24</v>
      </c>
      <c r="E285" s="37" t="s">
        <v>25</v>
      </c>
      <c r="F285" s="39">
        <f>2.57*(0.5*2+0.25*2)*2</f>
        <v>7.7099999999999991</v>
      </c>
      <c r="G285" s="231"/>
      <c r="H285" s="39">
        <f>G285*F285</f>
        <v>0</v>
      </c>
      <c r="I285" s="72"/>
      <c r="J285" s="37"/>
      <c r="K285" s="39"/>
      <c r="L285" s="39"/>
      <c r="M285" s="39"/>
      <c r="N285" s="73"/>
    </row>
    <row r="286" spans="1:14" ht="29" x14ac:dyDescent="0.35">
      <c r="A286" s="37" t="s">
        <v>22</v>
      </c>
      <c r="B286" s="63">
        <v>678</v>
      </c>
      <c r="C286" s="47" t="s">
        <v>381</v>
      </c>
      <c r="D286" s="71" t="s">
        <v>27</v>
      </c>
      <c r="E286" s="37" t="s">
        <v>28</v>
      </c>
      <c r="F286" s="113">
        <f>43.94*2/1000</f>
        <v>8.788E-2</v>
      </c>
      <c r="G286" s="231"/>
      <c r="H286" s="39">
        <f>G286*F286</f>
        <v>0</v>
      </c>
      <c r="I286" s="72" t="s">
        <v>29</v>
      </c>
      <c r="J286" s="37" t="s">
        <v>28</v>
      </c>
      <c r="K286" s="39">
        <v>1.05</v>
      </c>
      <c r="L286" s="113">
        <f>32.23*2/1000*K286</f>
        <v>6.7682999999999993E-2</v>
      </c>
      <c r="M286" s="53"/>
      <c r="N286" s="73">
        <f>M286*L286</f>
        <v>0</v>
      </c>
    </row>
    <row r="287" spans="1:14" ht="16" x14ac:dyDescent="0.4">
      <c r="A287" s="37" t="s">
        <v>22</v>
      </c>
      <c r="B287" s="63">
        <v>679</v>
      </c>
      <c r="C287" s="47" t="s">
        <v>382</v>
      </c>
      <c r="D287" s="71"/>
      <c r="E287" s="37"/>
      <c r="F287" s="39"/>
      <c r="G287" s="232"/>
      <c r="H287" s="39"/>
      <c r="I287" s="72" t="s">
        <v>383</v>
      </c>
      <c r="J287" s="37" t="s">
        <v>28</v>
      </c>
      <c r="K287" s="39">
        <v>1.05</v>
      </c>
      <c r="L287" s="113">
        <f>11.71*2/1000*K287</f>
        <v>2.4591000000000005E-2</v>
      </c>
      <c r="M287" s="53"/>
      <c r="N287" s="73">
        <f t="shared" ref="N287:N289" si="99">M287*L287</f>
        <v>0</v>
      </c>
    </row>
    <row r="288" spans="1:14" ht="16" x14ac:dyDescent="0.4">
      <c r="A288" s="37" t="s">
        <v>22</v>
      </c>
      <c r="B288" s="63">
        <v>680</v>
      </c>
      <c r="C288" s="47" t="s">
        <v>384</v>
      </c>
      <c r="D288" s="71"/>
      <c r="E288" s="37"/>
      <c r="F288" s="39"/>
      <c r="G288" s="232"/>
      <c r="H288" s="39"/>
      <c r="I288" s="72" t="s">
        <v>37</v>
      </c>
      <c r="J288" s="37" t="s">
        <v>28</v>
      </c>
      <c r="K288" s="39">
        <v>1.05</v>
      </c>
      <c r="L288" s="113">
        <f>15/1000*F286*K288</f>
        <v>1.3841099999999998E-3</v>
      </c>
      <c r="M288" s="53"/>
      <c r="N288" s="73">
        <f t="shared" si="99"/>
        <v>0</v>
      </c>
    </row>
    <row r="289" spans="1:14" x14ac:dyDescent="0.35">
      <c r="A289" s="37" t="s">
        <v>22</v>
      </c>
      <c r="B289" s="63">
        <v>681</v>
      </c>
      <c r="C289" s="47" t="s">
        <v>385</v>
      </c>
      <c r="D289" s="71" t="s">
        <v>97</v>
      </c>
      <c r="E289" s="37" t="s">
        <v>19</v>
      </c>
      <c r="F289" s="113">
        <f>0.27*2</f>
        <v>0.54</v>
      </c>
      <c r="G289" s="233"/>
      <c r="H289" s="39">
        <f>G289*F289</f>
        <v>0</v>
      </c>
      <c r="I289" s="72" t="s">
        <v>40</v>
      </c>
      <c r="J289" s="37" t="s">
        <v>19</v>
      </c>
      <c r="K289" s="39">
        <v>1.05</v>
      </c>
      <c r="L289" s="113">
        <f>K289*F289</f>
        <v>0.56700000000000006</v>
      </c>
      <c r="M289" s="53"/>
      <c r="N289" s="73">
        <f t="shared" si="99"/>
        <v>0</v>
      </c>
    </row>
    <row r="290" spans="1:14" ht="16" x14ac:dyDescent="0.4">
      <c r="A290" s="37" t="s">
        <v>22</v>
      </c>
      <c r="B290" s="63">
        <v>682</v>
      </c>
      <c r="C290" s="47" t="s">
        <v>386</v>
      </c>
      <c r="D290" s="234" t="s">
        <v>387</v>
      </c>
      <c r="E290" s="235"/>
      <c r="F290" s="236"/>
      <c r="G290" s="237"/>
      <c r="H290" s="236"/>
      <c r="I290" s="238"/>
      <c r="J290" s="235"/>
      <c r="K290" s="236"/>
      <c r="L290" s="236"/>
      <c r="M290" s="236"/>
      <c r="N290" s="239"/>
    </row>
    <row r="291" spans="1:14" x14ac:dyDescent="0.35">
      <c r="A291" s="37" t="s">
        <v>22</v>
      </c>
      <c r="B291" s="63">
        <v>683</v>
      </c>
      <c r="C291" s="47" t="s">
        <v>388</v>
      </c>
      <c r="D291" s="74" t="s">
        <v>24</v>
      </c>
      <c r="E291" s="37" t="s">
        <v>25</v>
      </c>
      <c r="F291" s="39">
        <f>2.17*(1*2+0.25*2)</f>
        <v>5.4249999999999998</v>
      </c>
      <c r="G291" s="231"/>
      <c r="H291" s="39">
        <f>G291*F291</f>
        <v>0</v>
      </c>
      <c r="I291" s="72"/>
      <c r="J291" s="37"/>
      <c r="K291" s="39"/>
      <c r="L291" s="39"/>
      <c r="M291" s="39"/>
      <c r="N291" s="73"/>
    </row>
    <row r="292" spans="1:14" ht="29" x14ac:dyDescent="0.35">
      <c r="A292" s="37" t="s">
        <v>22</v>
      </c>
      <c r="B292" s="63">
        <v>684</v>
      </c>
      <c r="C292" s="47" t="s">
        <v>389</v>
      </c>
      <c r="D292" s="71" t="s">
        <v>27</v>
      </c>
      <c r="E292" s="37" t="s">
        <v>28</v>
      </c>
      <c r="F292" s="113">
        <f>71.97/1000</f>
        <v>7.1969999999999992E-2</v>
      </c>
      <c r="G292" s="231"/>
      <c r="H292" s="39">
        <f>G292*F292</f>
        <v>0</v>
      </c>
      <c r="I292" s="72" t="s">
        <v>29</v>
      </c>
      <c r="J292" s="37" t="s">
        <v>28</v>
      </c>
      <c r="K292" s="39">
        <v>1.05</v>
      </c>
      <c r="L292" s="113">
        <f>56.41/1000*K292</f>
        <v>5.9230499999999998E-2</v>
      </c>
      <c r="M292" s="53"/>
      <c r="N292" s="73">
        <f t="shared" ref="N292:N296" si="100">M292*L292</f>
        <v>0</v>
      </c>
    </row>
    <row r="293" spans="1:14" ht="16" x14ac:dyDescent="0.4">
      <c r="A293" s="37" t="s">
        <v>22</v>
      </c>
      <c r="B293" s="63">
        <v>685</v>
      </c>
      <c r="C293" s="47" t="s">
        <v>390</v>
      </c>
      <c r="D293" s="71"/>
      <c r="E293" s="37"/>
      <c r="F293" s="39"/>
      <c r="G293" s="232"/>
      <c r="H293" s="39"/>
      <c r="I293" s="72" t="s">
        <v>383</v>
      </c>
      <c r="J293" s="37" t="s">
        <v>28</v>
      </c>
      <c r="K293" s="39">
        <v>1.05</v>
      </c>
      <c r="L293" s="113">
        <f>12.22/1000*K293</f>
        <v>1.2831E-2</v>
      </c>
      <c r="M293" s="53"/>
      <c r="N293" s="73">
        <f t="shared" si="100"/>
        <v>0</v>
      </c>
    </row>
    <row r="294" spans="1:14" ht="16" x14ac:dyDescent="0.4">
      <c r="A294" s="37" t="s">
        <v>22</v>
      </c>
      <c r="B294" s="63">
        <v>686</v>
      </c>
      <c r="C294" s="47" t="s">
        <v>391</v>
      </c>
      <c r="D294" s="71"/>
      <c r="E294" s="37"/>
      <c r="F294" s="39"/>
      <c r="G294" s="232"/>
      <c r="H294" s="39"/>
      <c r="I294" s="72" t="s">
        <v>392</v>
      </c>
      <c r="J294" s="37" t="s">
        <v>28</v>
      </c>
      <c r="K294" s="39">
        <v>1.05</v>
      </c>
      <c r="L294" s="113">
        <f>K294*3.34/1000</f>
        <v>3.5070000000000001E-3</v>
      </c>
      <c r="M294" s="53"/>
      <c r="N294" s="73">
        <f t="shared" si="100"/>
        <v>0</v>
      </c>
    </row>
    <row r="295" spans="1:14" x14ac:dyDescent="0.35">
      <c r="A295" s="37" t="s">
        <v>22</v>
      </c>
      <c r="B295" s="63">
        <v>687</v>
      </c>
      <c r="C295" s="47" t="s">
        <v>393</v>
      </c>
      <c r="D295" s="71"/>
      <c r="E295" s="37"/>
      <c r="F295" s="39"/>
      <c r="G295" s="39"/>
      <c r="H295" s="39"/>
      <c r="I295" s="72" t="s">
        <v>37</v>
      </c>
      <c r="J295" s="37" t="s">
        <v>28</v>
      </c>
      <c r="K295" s="39">
        <v>1.05</v>
      </c>
      <c r="L295" s="113">
        <f>20/1000*F292*K295</f>
        <v>1.5113699999999999E-3</v>
      </c>
      <c r="M295" s="53"/>
      <c r="N295" s="73">
        <f t="shared" si="100"/>
        <v>0</v>
      </c>
    </row>
    <row r="296" spans="1:14" x14ac:dyDescent="0.35">
      <c r="A296" s="37" t="s">
        <v>22</v>
      </c>
      <c r="B296" s="63">
        <v>688</v>
      </c>
      <c r="C296" s="47" t="s">
        <v>394</v>
      </c>
      <c r="D296" s="71" t="s">
        <v>97</v>
      </c>
      <c r="E296" s="37" t="s">
        <v>19</v>
      </c>
      <c r="F296" s="113">
        <v>0.55000000000000004</v>
      </c>
      <c r="G296" s="233"/>
      <c r="H296" s="39">
        <f>G296*F296</f>
        <v>0</v>
      </c>
      <c r="I296" s="72" t="s">
        <v>40</v>
      </c>
      <c r="J296" s="37" t="s">
        <v>19</v>
      </c>
      <c r="K296" s="39">
        <v>1.05</v>
      </c>
      <c r="L296" s="113">
        <f>K296*F296</f>
        <v>0.57750000000000012</v>
      </c>
      <c r="M296" s="53"/>
      <c r="N296" s="73">
        <f t="shared" si="100"/>
        <v>0</v>
      </c>
    </row>
    <row r="297" spans="1:14" ht="16" x14ac:dyDescent="0.4">
      <c r="A297" s="37" t="s">
        <v>22</v>
      </c>
      <c r="B297" s="63">
        <v>689</v>
      </c>
      <c r="C297" s="47" t="s">
        <v>395</v>
      </c>
      <c r="D297" s="234" t="s">
        <v>396</v>
      </c>
      <c r="E297" s="235"/>
      <c r="F297" s="236"/>
      <c r="G297" s="237"/>
      <c r="H297" s="236"/>
      <c r="I297" s="238"/>
      <c r="J297" s="235"/>
      <c r="K297" s="236"/>
      <c r="L297" s="236"/>
      <c r="M297" s="236"/>
      <c r="N297" s="239"/>
    </row>
    <row r="298" spans="1:14" x14ac:dyDescent="0.35">
      <c r="A298" s="37" t="s">
        <v>22</v>
      </c>
      <c r="B298" s="63">
        <v>690</v>
      </c>
      <c r="C298" s="47" t="s">
        <v>397</v>
      </c>
      <c r="D298" s="74" t="s">
        <v>24</v>
      </c>
      <c r="E298" s="37" t="s">
        <v>25</v>
      </c>
      <c r="F298" s="39">
        <f>(9.67-6.7)*(1*2+0.25*2)</f>
        <v>7.4249999999999989</v>
      </c>
      <c r="G298" s="231"/>
      <c r="H298" s="39">
        <f>G298*F298</f>
        <v>0</v>
      </c>
      <c r="I298" s="72"/>
      <c r="J298" s="37"/>
      <c r="K298" s="39"/>
      <c r="L298" s="39"/>
      <c r="M298" s="39"/>
      <c r="N298" s="73"/>
    </row>
    <row r="299" spans="1:14" ht="29" x14ac:dyDescent="0.35">
      <c r="A299" s="37" t="s">
        <v>22</v>
      </c>
      <c r="B299" s="63">
        <v>691</v>
      </c>
      <c r="C299" s="47" t="s">
        <v>398</v>
      </c>
      <c r="D299" s="71" t="s">
        <v>27</v>
      </c>
      <c r="E299" s="37" t="s">
        <v>28</v>
      </c>
      <c r="F299" s="113">
        <f>83.04/1000</f>
        <v>8.3040000000000003E-2</v>
      </c>
      <c r="G299" s="231"/>
      <c r="H299" s="39">
        <f>G299*F299</f>
        <v>0</v>
      </c>
      <c r="I299" s="72" t="s">
        <v>29</v>
      </c>
      <c r="J299" s="37" t="s">
        <v>28</v>
      </c>
      <c r="K299" s="39">
        <v>1.05</v>
      </c>
      <c r="L299" s="113">
        <f>65.25/1000*K299</f>
        <v>6.8512500000000004E-2</v>
      </c>
      <c r="M299" s="53"/>
      <c r="N299" s="73">
        <f t="shared" ref="N299:N303" si="101">M299*L299</f>
        <v>0</v>
      </c>
    </row>
    <row r="300" spans="1:14" ht="16" x14ac:dyDescent="0.4">
      <c r="A300" s="37" t="s">
        <v>22</v>
      </c>
      <c r="B300" s="63">
        <v>692</v>
      </c>
      <c r="C300" s="47" t="s">
        <v>399</v>
      </c>
      <c r="D300" s="71"/>
      <c r="E300" s="37"/>
      <c r="F300" s="39"/>
      <c r="G300" s="232"/>
      <c r="H300" s="39"/>
      <c r="I300" s="72" t="s">
        <v>383</v>
      </c>
      <c r="J300" s="37" t="s">
        <v>28</v>
      </c>
      <c r="K300" s="39">
        <v>1.05</v>
      </c>
      <c r="L300" s="113">
        <f>14.1/1000*K300</f>
        <v>1.4805E-2</v>
      </c>
      <c r="M300" s="53"/>
      <c r="N300" s="73">
        <f t="shared" si="101"/>
        <v>0</v>
      </c>
    </row>
    <row r="301" spans="1:14" ht="16" x14ac:dyDescent="0.4">
      <c r="A301" s="37" t="s">
        <v>22</v>
      </c>
      <c r="B301" s="63">
        <v>693</v>
      </c>
      <c r="C301" s="47" t="s">
        <v>400</v>
      </c>
      <c r="D301" s="71"/>
      <c r="E301" s="37"/>
      <c r="F301" s="39"/>
      <c r="G301" s="232"/>
      <c r="H301" s="39"/>
      <c r="I301" s="72" t="s">
        <v>392</v>
      </c>
      <c r="J301" s="37" t="s">
        <v>28</v>
      </c>
      <c r="K301" s="39">
        <v>1.05</v>
      </c>
      <c r="L301" s="113">
        <f>K301*3.69/1000</f>
        <v>3.8745000000000003E-3</v>
      </c>
      <c r="M301" s="53"/>
      <c r="N301" s="73">
        <f t="shared" si="101"/>
        <v>0</v>
      </c>
    </row>
    <row r="302" spans="1:14" x14ac:dyDescent="0.35">
      <c r="A302" s="37" t="s">
        <v>22</v>
      </c>
      <c r="B302" s="63">
        <v>694</v>
      </c>
      <c r="C302" s="47" t="s">
        <v>401</v>
      </c>
      <c r="D302" s="71"/>
      <c r="E302" s="37"/>
      <c r="F302" s="39"/>
      <c r="G302" s="39"/>
      <c r="H302" s="39"/>
      <c r="I302" s="72" t="s">
        <v>37</v>
      </c>
      <c r="J302" s="37" t="s">
        <v>28</v>
      </c>
      <c r="K302" s="39">
        <v>1.05</v>
      </c>
      <c r="L302" s="113">
        <f>20/1000*F299*K302</f>
        <v>1.7438400000000002E-3</v>
      </c>
      <c r="M302" s="53"/>
      <c r="N302" s="73">
        <f t="shared" si="101"/>
        <v>0</v>
      </c>
    </row>
    <row r="303" spans="1:14" x14ac:dyDescent="0.35">
      <c r="A303" s="37" t="s">
        <v>22</v>
      </c>
      <c r="B303" s="63">
        <v>695</v>
      </c>
      <c r="C303" s="47" t="s">
        <v>402</v>
      </c>
      <c r="D303" s="71" t="s">
        <v>97</v>
      </c>
      <c r="E303" s="37" t="s">
        <v>19</v>
      </c>
      <c r="F303" s="113">
        <v>0.64</v>
      </c>
      <c r="G303" s="233"/>
      <c r="H303" s="39">
        <f>G303*F303</f>
        <v>0</v>
      </c>
      <c r="I303" s="72" t="s">
        <v>40</v>
      </c>
      <c r="J303" s="37" t="s">
        <v>19</v>
      </c>
      <c r="K303" s="39">
        <v>1.05</v>
      </c>
      <c r="L303" s="113">
        <f>K303*F303</f>
        <v>0.67200000000000004</v>
      </c>
      <c r="M303" s="53"/>
      <c r="N303" s="73">
        <f t="shared" si="101"/>
        <v>0</v>
      </c>
    </row>
    <row r="304" spans="1:14" ht="16" x14ac:dyDescent="0.4">
      <c r="A304" s="37" t="s">
        <v>22</v>
      </c>
      <c r="B304" s="63">
        <v>696</v>
      </c>
      <c r="C304" s="47" t="s">
        <v>403</v>
      </c>
      <c r="D304" s="234" t="s">
        <v>404</v>
      </c>
      <c r="E304" s="235"/>
      <c r="F304" s="236"/>
      <c r="G304" s="237"/>
      <c r="H304" s="236"/>
      <c r="I304" s="238"/>
      <c r="J304" s="235"/>
      <c r="K304" s="236"/>
      <c r="L304" s="236"/>
      <c r="M304" s="236"/>
      <c r="N304" s="239"/>
    </row>
    <row r="305" spans="1:14" x14ac:dyDescent="0.35">
      <c r="A305" s="37" t="s">
        <v>22</v>
      </c>
      <c r="B305" s="63">
        <v>697</v>
      </c>
      <c r="C305" s="47" t="s">
        <v>405</v>
      </c>
      <c r="D305" s="74" t="s">
        <v>24</v>
      </c>
      <c r="E305" s="37" t="s">
        <v>25</v>
      </c>
      <c r="F305" s="39">
        <f>(10.7-7.1)*(2*2+2*2)</f>
        <v>28.799999999999997</v>
      </c>
      <c r="G305" s="231"/>
      <c r="H305" s="39">
        <f>G305*F305</f>
        <v>0</v>
      </c>
      <c r="I305" s="89"/>
      <c r="J305" s="88"/>
      <c r="K305" s="40"/>
      <c r="L305" s="40"/>
      <c r="M305" s="39"/>
      <c r="N305" s="90"/>
    </row>
    <row r="306" spans="1:14" ht="29" x14ac:dyDescent="0.35">
      <c r="A306" s="37" t="s">
        <v>22</v>
      </c>
      <c r="B306" s="63">
        <v>698</v>
      </c>
      <c r="C306" s="47" t="s">
        <v>406</v>
      </c>
      <c r="D306" s="71" t="s">
        <v>27</v>
      </c>
      <c r="E306" s="37" t="s">
        <v>28</v>
      </c>
      <c r="F306" s="113">
        <f>543.29/1000</f>
        <v>0.54328999999999994</v>
      </c>
      <c r="G306" s="231"/>
      <c r="H306" s="39">
        <f>G306*F306</f>
        <v>0</v>
      </c>
      <c r="I306" s="72" t="s">
        <v>29</v>
      </c>
      <c r="J306" s="37" t="s">
        <v>28</v>
      </c>
      <c r="K306" s="39">
        <v>1.05</v>
      </c>
      <c r="L306" s="113">
        <f>12.39/1000*K306</f>
        <v>1.30095E-2</v>
      </c>
      <c r="M306" s="53"/>
      <c r="N306" s="73">
        <f t="shared" ref="N306:N312" si="102">M306*L306</f>
        <v>0</v>
      </c>
    </row>
    <row r="307" spans="1:14" ht="16" x14ac:dyDescent="0.4">
      <c r="A307" s="37" t="s">
        <v>22</v>
      </c>
      <c r="B307" s="63">
        <v>699</v>
      </c>
      <c r="C307" s="47" t="s">
        <v>407</v>
      </c>
      <c r="D307" s="71"/>
      <c r="E307" s="37"/>
      <c r="F307" s="39"/>
      <c r="G307" s="232"/>
      <c r="H307" s="39"/>
      <c r="I307" s="72" t="s">
        <v>44</v>
      </c>
      <c r="J307" s="37" t="s">
        <v>28</v>
      </c>
      <c r="K307" s="39">
        <v>1.05</v>
      </c>
      <c r="L307" s="113">
        <f>263.52/1000*K307</f>
        <v>0.276696</v>
      </c>
      <c r="M307" s="53"/>
      <c r="N307" s="73">
        <f t="shared" si="102"/>
        <v>0</v>
      </c>
    </row>
    <row r="308" spans="1:14" ht="16" x14ac:dyDescent="0.4">
      <c r="A308" s="37" t="s">
        <v>22</v>
      </c>
      <c r="B308" s="63">
        <v>700</v>
      </c>
      <c r="C308" s="47" t="s">
        <v>408</v>
      </c>
      <c r="D308" s="71"/>
      <c r="E308" s="37"/>
      <c r="F308" s="39"/>
      <c r="G308" s="232"/>
      <c r="H308" s="39"/>
      <c r="I308" s="72" t="s">
        <v>31</v>
      </c>
      <c r="J308" s="37" t="s">
        <v>28</v>
      </c>
      <c r="K308" s="39">
        <v>1.05</v>
      </c>
      <c r="L308" s="113">
        <f>241.03/1000*K308</f>
        <v>0.25308150000000001</v>
      </c>
      <c r="M308" s="53"/>
      <c r="N308" s="73">
        <f t="shared" si="102"/>
        <v>0</v>
      </c>
    </row>
    <row r="309" spans="1:14" ht="16" x14ac:dyDescent="0.4">
      <c r="A309" s="37" t="s">
        <v>22</v>
      </c>
      <c r="B309" s="63">
        <v>701</v>
      </c>
      <c r="C309" s="47" t="s">
        <v>409</v>
      </c>
      <c r="D309" s="71"/>
      <c r="E309" s="37"/>
      <c r="F309" s="39"/>
      <c r="G309" s="232"/>
      <c r="H309" s="39"/>
      <c r="I309" s="72" t="s">
        <v>383</v>
      </c>
      <c r="J309" s="37" t="s">
        <v>28</v>
      </c>
      <c r="K309" s="39">
        <v>1.05</v>
      </c>
      <c r="L309" s="113">
        <f>6.83/1000*K309</f>
        <v>7.1715000000000008E-3</v>
      </c>
      <c r="M309" s="53"/>
      <c r="N309" s="73">
        <f t="shared" si="102"/>
        <v>0</v>
      </c>
    </row>
    <row r="310" spans="1:14" ht="16" x14ac:dyDescent="0.4">
      <c r="A310" s="37" t="s">
        <v>22</v>
      </c>
      <c r="B310" s="63">
        <v>702</v>
      </c>
      <c r="C310" s="47" t="s">
        <v>410</v>
      </c>
      <c r="D310" s="71"/>
      <c r="E310" s="37"/>
      <c r="F310" s="39"/>
      <c r="G310" s="232"/>
      <c r="H310" s="39"/>
      <c r="I310" s="72" t="s">
        <v>392</v>
      </c>
      <c r="J310" s="37" t="s">
        <v>28</v>
      </c>
      <c r="K310" s="39">
        <v>1.05</v>
      </c>
      <c r="L310" s="113">
        <f>K310*19.52/1000</f>
        <v>2.0496E-2</v>
      </c>
      <c r="M310" s="53"/>
      <c r="N310" s="73">
        <f t="shared" si="102"/>
        <v>0</v>
      </c>
    </row>
    <row r="311" spans="1:14" x14ac:dyDescent="0.35">
      <c r="A311" s="37" t="s">
        <v>22</v>
      </c>
      <c r="B311" s="63">
        <v>703</v>
      </c>
      <c r="C311" s="47" t="s">
        <v>411</v>
      </c>
      <c r="D311" s="71"/>
      <c r="E311" s="37"/>
      <c r="F311" s="39"/>
      <c r="G311" s="39"/>
      <c r="H311" s="39"/>
      <c r="I311" s="72" t="s">
        <v>37</v>
      </c>
      <c r="J311" s="37" t="s">
        <v>28</v>
      </c>
      <c r="K311" s="39">
        <v>1.05</v>
      </c>
      <c r="L311" s="113">
        <f>15/1000*F306*K311</f>
        <v>8.5568174999999993E-3</v>
      </c>
      <c r="M311" s="53"/>
      <c r="N311" s="73">
        <f t="shared" si="102"/>
        <v>0</v>
      </c>
    </row>
    <row r="312" spans="1:14" x14ac:dyDescent="0.35">
      <c r="A312" s="37" t="s">
        <v>22</v>
      </c>
      <c r="B312" s="63">
        <v>704</v>
      </c>
      <c r="C312" s="47" t="s">
        <v>412</v>
      </c>
      <c r="D312" s="120" t="s">
        <v>162</v>
      </c>
      <c r="E312" s="88" t="s">
        <v>19</v>
      </c>
      <c r="F312" s="121">
        <v>4.8</v>
      </c>
      <c r="G312" s="233"/>
      <c r="H312" s="40">
        <f>G312*F312</f>
        <v>0</v>
      </c>
      <c r="I312" s="72" t="s">
        <v>40</v>
      </c>
      <c r="J312" s="37" t="s">
        <v>19</v>
      </c>
      <c r="K312" s="39">
        <v>1.05</v>
      </c>
      <c r="L312" s="113">
        <f>K312*F312</f>
        <v>5.04</v>
      </c>
      <c r="M312" s="53"/>
      <c r="N312" s="73">
        <f t="shared" si="102"/>
        <v>0</v>
      </c>
    </row>
    <row r="313" spans="1:14" ht="16" x14ac:dyDescent="0.4">
      <c r="A313" s="37" t="s">
        <v>22</v>
      </c>
      <c r="B313" s="63">
        <v>705</v>
      </c>
      <c r="C313" s="47" t="s">
        <v>413</v>
      </c>
      <c r="D313" s="234" t="s">
        <v>414</v>
      </c>
      <c r="E313" s="235"/>
      <c r="F313" s="236"/>
      <c r="G313" s="237"/>
      <c r="H313" s="236"/>
      <c r="I313" s="238"/>
      <c r="J313" s="235"/>
      <c r="K313" s="236"/>
      <c r="L313" s="236"/>
      <c r="M313" s="236"/>
      <c r="N313" s="239"/>
    </row>
    <row r="314" spans="1:14" x14ac:dyDescent="0.35">
      <c r="A314" s="37" t="s">
        <v>22</v>
      </c>
      <c r="B314" s="63">
        <v>706</v>
      </c>
      <c r="C314" s="47" t="s">
        <v>415</v>
      </c>
      <c r="D314" s="74" t="s">
        <v>24</v>
      </c>
      <c r="E314" s="37" t="s">
        <v>25</v>
      </c>
      <c r="F314" s="39">
        <f>(10.7-7.4)*((2.325+1.65+0.45)*2+0.25*2)</f>
        <v>30.85499999999999</v>
      </c>
      <c r="G314" s="231"/>
      <c r="H314" s="39">
        <f>G314*F314</f>
        <v>0</v>
      </c>
      <c r="I314" s="89"/>
      <c r="J314" s="88"/>
      <c r="K314" s="40"/>
      <c r="L314" s="40"/>
      <c r="M314" s="39"/>
      <c r="N314" s="90"/>
    </row>
    <row r="315" spans="1:14" ht="29" x14ac:dyDescent="0.35">
      <c r="A315" s="37" t="s">
        <v>22</v>
      </c>
      <c r="B315" s="63">
        <v>707</v>
      </c>
      <c r="C315" s="47" t="s">
        <v>416</v>
      </c>
      <c r="D315" s="71" t="s">
        <v>27</v>
      </c>
      <c r="E315" s="37" t="s">
        <v>28</v>
      </c>
      <c r="F315" s="121">
        <f>885.44/1000</f>
        <v>0.88544</v>
      </c>
      <c r="G315" s="231"/>
      <c r="H315" s="39">
        <f>G315*F315</f>
        <v>0</v>
      </c>
      <c r="I315" s="72" t="s">
        <v>29</v>
      </c>
      <c r="J315" s="37" t="s">
        <v>28</v>
      </c>
      <c r="K315" s="39">
        <v>1.05</v>
      </c>
      <c r="L315" s="113">
        <f>15.8/1000*K315</f>
        <v>1.6590000000000004E-2</v>
      </c>
      <c r="M315" s="53"/>
      <c r="N315" s="73">
        <f t="shared" ref="N315:N321" si="103">M315*L315</f>
        <v>0</v>
      </c>
    </row>
    <row r="316" spans="1:14" ht="16" x14ac:dyDescent="0.4">
      <c r="A316" s="37" t="s">
        <v>22</v>
      </c>
      <c r="B316" s="63">
        <v>708</v>
      </c>
      <c r="C316" s="47" t="s">
        <v>417</v>
      </c>
      <c r="D316" s="120"/>
      <c r="E316" s="88"/>
      <c r="F316" s="40"/>
      <c r="G316" s="240"/>
      <c r="H316" s="40"/>
      <c r="I316" s="72" t="s">
        <v>44</v>
      </c>
      <c r="J316" s="37" t="s">
        <v>28</v>
      </c>
      <c r="K316" s="39">
        <v>1.05</v>
      </c>
      <c r="L316" s="113">
        <f>525.45/1000*K316</f>
        <v>0.55172250000000012</v>
      </c>
      <c r="M316" s="53"/>
      <c r="N316" s="73">
        <f t="shared" si="103"/>
        <v>0</v>
      </c>
    </row>
    <row r="317" spans="1:14" ht="16" x14ac:dyDescent="0.4">
      <c r="A317" s="37" t="s">
        <v>22</v>
      </c>
      <c r="B317" s="63">
        <v>709</v>
      </c>
      <c r="C317" s="47" t="s">
        <v>418</v>
      </c>
      <c r="D317" s="120"/>
      <c r="E317" s="88"/>
      <c r="F317" s="40"/>
      <c r="G317" s="240"/>
      <c r="H317" s="40"/>
      <c r="I317" s="72" t="s">
        <v>31</v>
      </c>
      <c r="J317" s="37" t="s">
        <v>28</v>
      </c>
      <c r="K317" s="39">
        <v>1.05</v>
      </c>
      <c r="L317" s="113">
        <f>311.22/1000*K317</f>
        <v>0.32678100000000004</v>
      </c>
      <c r="M317" s="53"/>
      <c r="N317" s="73">
        <f t="shared" si="103"/>
        <v>0</v>
      </c>
    </row>
    <row r="318" spans="1:14" ht="16" x14ac:dyDescent="0.4">
      <c r="A318" s="37" t="s">
        <v>22</v>
      </c>
      <c r="B318" s="63">
        <v>710</v>
      </c>
      <c r="C318" s="47" t="s">
        <v>419</v>
      </c>
      <c r="D318" s="120"/>
      <c r="E318" s="88"/>
      <c r="F318" s="40"/>
      <c r="G318" s="240"/>
      <c r="H318" s="40"/>
      <c r="I318" s="72" t="s">
        <v>383</v>
      </c>
      <c r="J318" s="37" t="s">
        <v>28</v>
      </c>
      <c r="K318" s="39">
        <v>1.05</v>
      </c>
      <c r="L318" s="113">
        <f>5.4/1000*K318</f>
        <v>5.6700000000000006E-3</v>
      </c>
      <c r="M318" s="53"/>
      <c r="N318" s="73">
        <f t="shared" si="103"/>
        <v>0</v>
      </c>
    </row>
    <row r="319" spans="1:14" ht="16" x14ac:dyDescent="0.4">
      <c r="A319" s="37" t="s">
        <v>22</v>
      </c>
      <c r="B319" s="63">
        <v>711</v>
      </c>
      <c r="C319" s="47" t="s">
        <v>420</v>
      </c>
      <c r="D319" s="120"/>
      <c r="E319" s="88"/>
      <c r="F319" s="40"/>
      <c r="G319" s="240"/>
      <c r="H319" s="40"/>
      <c r="I319" s="72" t="s">
        <v>392</v>
      </c>
      <c r="J319" s="37" t="s">
        <v>28</v>
      </c>
      <c r="K319" s="39">
        <v>1.05</v>
      </c>
      <c r="L319" s="113">
        <f>K319*27.57/1000</f>
        <v>2.8948500000000002E-2</v>
      </c>
      <c r="M319" s="53"/>
      <c r="N319" s="73">
        <f t="shared" si="103"/>
        <v>0</v>
      </c>
    </row>
    <row r="320" spans="1:14" ht="16" x14ac:dyDescent="0.4">
      <c r="A320" s="37" t="s">
        <v>22</v>
      </c>
      <c r="B320" s="63">
        <v>712</v>
      </c>
      <c r="C320" s="47" t="s">
        <v>421</v>
      </c>
      <c r="D320" s="120"/>
      <c r="E320" s="88"/>
      <c r="F320" s="40"/>
      <c r="G320" s="240"/>
      <c r="H320" s="40"/>
      <c r="I320" s="72" t="s">
        <v>37</v>
      </c>
      <c r="J320" s="37" t="s">
        <v>28</v>
      </c>
      <c r="K320" s="39">
        <v>1.05</v>
      </c>
      <c r="L320" s="113">
        <f>20/1000*F315*K320</f>
        <v>1.8594240000000001E-2</v>
      </c>
      <c r="M320" s="53"/>
      <c r="N320" s="73">
        <f t="shared" si="103"/>
        <v>0</v>
      </c>
    </row>
    <row r="321" spans="1:14" ht="16.5" thickBot="1" x14ac:dyDescent="0.45">
      <c r="A321" s="37" t="s">
        <v>22</v>
      </c>
      <c r="B321" s="63">
        <v>713</v>
      </c>
      <c r="C321" s="209" t="s">
        <v>422</v>
      </c>
      <c r="D321" s="241" t="s">
        <v>162</v>
      </c>
      <c r="E321" s="242" t="s">
        <v>19</v>
      </c>
      <c r="F321" s="243">
        <v>7.1</v>
      </c>
      <c r="G321" s="244"/>
      <c r="H321" s="245">
        <f>G321*F321</f>
        <v>0</v>
      </c>
      <c r="I321" s="95" t="s">
        <v>40</v>
      </c>
      <c r="J321" s="92" t="s">
        <v>19</v>
      </c>
      <c r="K321" s="93">
        <v>1.05</v>
      </c>
      <c r="L321" s="114">
        <f>K321*F321</f>
        <v>7.4550000000000001</v>
      </c>
      <c r="M321" s="53"/>
      <c r="N321" s="96">
        <f t="shared" si="103"/>
        <v>0</v>
      </c>
    </row>
    <row r="322" spans="1:14" ht="23.5" x14ac:dyDescent="0.55000000000000004">
      <c r="A322" s="37" t="s">
        <v>22</v>
      </c>
      <c r="B322" s="63">
        <v>714</v>
      </c>
      <c r="C322" s="246" t="s">
        <v>423</v>
      </c>
      <c r="D322" s="247"/>
      <c r="E322" s="248"/>
      <c r="F322" s="249"/>
      <c r="G322" s="250" t="s">
        <v>424</v>
      </c>
      <c r="H322" s="249"/>
      <c r="I322" s="251"/>
      <c r="J322" s="248"/>
      <c r="K322" s="249"/>
      <c r="L322" s="249"/>
      <c r="M322" s="249"/>
      <c r="N322" s="252"/>
    </row>
    <row r="323" spans="1:14" ht="16" x14ac:dyDescent="0.4">
      <c r="A323" s="37" t="s">
        <v>22</v>
      </c>
      <c r="B323" s="63">
        <v>715</v>
      </c>
      <c r="C323" s="47" t="s">
        <v>425</v>
      </c>
      <c r="D323" s="74" t="s">
        <v>24</v>
      </c>
      <c r="E323" s="37" t="s">
        <v>25</v>
      </c>
      <c r="F323" s="39">
        <f>(1.525+0.475)*2+2.1*2</f>
        <v>8.1999999999999993</v>
      </c>
      <c r="G323" s="253"/>
      <c r="H323" s="39">
        <f t="shared" ref="H323" si="104">G323*F323</f>
        <v>0</v>
      </c>
      <c r="I323" s="191"/>
      <c r="J323" s="37"/>
      <c r="K323" s="39"/>
      <c r="L323" s="39"/>
      <c r="M323" s="39"/>
      <c r="N323" s="90"/>
    </row>
    <row r="324" spans="1:14" ht="29" x14ac:dyDescent="0.35">
      <c r="A324" s="37" t="s">
        <v>22</v>
      </c>
      <c r="B324" s="63">
        <v>716</v>
      </c>
      <c r="C324" s="47" t="s">
        <v>426</v>
      </c>
      <c r="D324" s="71" t="s">
        <v>27</v>
      </c>
      <c r="E324" s="37" t="s">
        <v>28</v>
      </c>
      <c r="F324" s="113">
        <f>66.12/1000</f>
        <v>6.6119999999999998E-2</v>
      </c>
      <c r="G324" s="53"/>
      <c r="H324" s="39">
        <f>G324*F324</f>
        <v>0</v>
      </c>
      <c r="I324" s="72" t="s">
        <v>33</v>
      </c>
      <c r="J324" s="37" t="s">
        <v>28</v>
      </c>
      <c r="K324" s="39">
        <v>1.05</v>
      </c>
      <c r="L324" s="113">
        <f>K324*57.78/1000</f>
        <v>6.0669000000000001E-2</v>
      </c>
      <c r="M324" s="53"/>
      <c r="N324" s="73">
        <f t="shared" ref="N324:N326" si="105">M324*L324</f>
        <v>0</v>
      </c>
    </row>
    <row r="325" spans="1:14" x14ac:dyDescent="0.35">
      <c r="A325" s="37" t="s">
        <v>22</v>
      </c>
      <c r="B325" s="63">
        <v>717</v>
      </c>
      <c r="C325" s="47" t="s">
        <v>427</v>
      </c>
      <c r="D325" s="71"/>
      <c r="E325" s="37"/>
      <c r="F325" s="39"/>
      <c r="G325" s="39"/>
      <c r="H325" s="39"/>
      <c r="I325" s="72" t="s">
        <v>428</v>
      </c>
      <c r="J325" s="37" t="s">
        <v>28</v>
      </c>
      <c r="K325" s="39">
        <v>1.05</v>
      </c>
      <c r="L325" s="113">
        <f>K325*8.34/1000</f>
        <v>8.7569999999999992E-3</v>
      </c>
      <c r="M325" s="53"/>
      <c r="N325" s="73">
        <f t="shared" si="105"/>
        <v>0</v>
      </c>
    </row>
    <row r="326" spans="1:14" x14ac:dyDescent="0.35">
      <c r="A326" s="37" t="s">
        <v>22</v>
      </c>
      <c r="B326" s="63">
        <v>718</v>
      </c>
      <c r="C326" s="47" t="s">
        <v>429</v>
      </c>
      <c r="D326" s="71"/>
      <c r="E326" s="37"/>
      <c r="F326" s="39"/>
      <c r="G326" s="39"/>
      <c r="H326" s="39"/>
      <c r="I326" s="72" t="s">
        <v>37</v>
      </c>
      <c r="J326" s="37" t="s">
        <v>28</v>
      </c>
      <c r="K326" s="39">
        <v>1.05</v>
      </c>
      <c r="L326" s="113">
        <f>20/1000*F324*K326</f>
        <v>1.3885200000000001E-3</v>
      </c>
      <c r="M326" s="53"/>
      <c r="N326" s="73">
        <f t="shared" si="105"/>
        <v>0</v>
      </c>
    </row>
    <row r="327" spans="1:14" x14ac:dyDescent="0.35">
      <c r="A327" s="37" t="s">
        <v>22</v>
      </c>
      <c r="B327" s="63">
        <v>719</v>
      </c>
      <c r="C327" s="47" t="s">
        <v>430</v>
      </c>
      <c r="D327" s="74" t="s">
        <v>39</v>
      </c>
      <c r="E327" s="37" t="s">
        <v>19</v>
      </c>
      <c r="F327" s="113">
        <v>0.86</v>
      </c>
      <c r="G327" s="53"/>
      <c r="H327" s="149">
        <f>G327*F327</f>
        <v>0</v>
      </c>
      <c r="I327" s="72" t="s">
        <v>40</v>
      </c>
      <c r="J327" s="37" t="s">
        <v>19</v>
      </c>
      <c r="K327" s="39">
        <v>1.05</v>
      </c>
      <c r="L327" s="113">
        <f>K327*F327</f>
        <v>0.90300000000000002</v>
      </c>
      <c r="M327" s="53"/>
      <c r="N327" s="73">
        <f t="shared" si="96"/>
        <v>0</v>
      </c>
    </row>
    <row r="328" spans="1:14" ht="16" x14ac:dyDescent="0.4">
      <c r="A328" s="37" t="s">
        <v>22</v>
      </c>
      <c r="B328" s="63">
        <v>720</v>
      </c>
      <c r="C328" s="47" t="s">
        <v>431</v>
      </c>
      <c r="D328" s="254" t="s">
        <v>432</v>
      </c>
      <c r="E328" s="37"/>
      <c r="F328" s="39"/>
      <c r="G328" s="255"/>
      <c r="H328" s="149"/>
      <c r="I328" s="72"/>
      <c r="J328" s="37"/>
      <c r="K328" s="39"/>
      <c r="L328" s="39"/>
      <c r="M328" s="39"/>
      <c r="N328" s="73"/>
    </row>
    <row r="329" spans="1:14" ht="16" x14ac:dyDescent="0.4">
      <c r="A329" s="37" t="s">
        <v>22</v>
      </c>
      <c r="B329" s="63">
        <v>721</v>
      </c>
      <c r="C329" s="47" t="s">
        <v>433</v>
      </c>
      <c r="D329" s="74" t="s">
        <v>24</v>
      </c>
      <c r="E329" s="37" t="s">
        <v>25</v>
      </c>
      <c r="F329" s="39">
        <f>(4.91+0.23+1.18)*2+0.4*2</f>
        <v>13.440000000000001</v>
      </c>
      <c r="G329" s="253"/>
      <c r="H329" s="39">
        <f t="shared" ref="H329" si="106">G329*F329</f>
        <v>0</v>
      </c>
      <c r="I329" s="191"/>
      <c r="J329" s="37"/>
      <c r="K329" s="39"/>
      <c r="L329" s="39"/>
      <c r="M329" s="39"/>
      <c r="N329" s="90"/>
    </row>
    <row r="330" spans="1:14" ht="29" x14ac:dyDescent="0.35">
      <c r="A330" s="37" t="s">
        <v>22</v>
      </c>
      <c r="B330" s="63">
        <v>722</v>
      </c>
      <c r="C330" s="47" t="s">
        <v>434</v>
      </c>
      <c r="D330" s="71" t="s">
        <v>27</v>
      </c>
      <c r="E330" s="37" t="s">
        <v>28</v>
      </c>
      <c r="F330" s="113">
        <f>169.28/1000</f>
        <v>0.16928000000000001</v>
      </c>
      <c r="G330" s="53"/>
      <c r="H330" s="39">
        <f>G330*F330</f>
        <v>0</v>
      </c>
      <c r="I330" s="72" t="s">
        <v>29</v>
      </c>
      <c r="J330" s="37" t="s">
        <v>28</v>
      </c>
      <c r="K330" s="39">
        <v>1.05</v>
      </c>
      <c r="L330" s="113">
        <f>K330*91.64/1000</f>
        <v>9.6222000000000002E-2</v>
      </c>
      <c r="M330" s="53"/>
      <c r="N330" s="73">
        <f t="shared" ref="N330:N335" si="107">M330*L330</f>
        <v>0</v>
      </c>
    </row>
    <row r="331" spans="1:14" x14ac:dyDescent="0.35">
      <c r="A331" s="37" t="s">
        <v>22</v>
      </c>
      <c r="B331" s="63">
        <v>723</v>
      </c>
      <c r="C331" s="47" t="s">
        <v>435</v>
      </c>
      <c r="D331" s="71"/>
      <c r="E331" s="37"/>
      <c r="F331" s="39"/>
      <c r="G331" s="39"/>
      <c r="H331" s="39"/>
      <c r="I331" s="72" t="s">
        <v>44</v>
      </c>
      <c r="J331" s="37" t="s">
        <v>28</v>
      </c>
      <c r="K331" s="39">
        <v>1.05</v>
      </c>
      <c r="L331" s="113">
        <f>K331*2.7/1000</f>
        <v>2.8350000000000003E-3</v>
      </c>
      <c r="M331" s="53"/>
      <c r="N331" s="73">
        <f t="shared" si="107"/>
        <v>0</v>
      </c>
    </row>
    <row r="332" spans="1:14" x14ac:dyDescent="0.35">
      <c r="A332" s="37" t="s">
        <v>22</v>
      </c>
      <c r="B332" s="63">
        <v>724</v>
      </c>
      <c r="C332" s="47" t="s">
        <v>436</v>
      </c>
      <c r="D332" s="71"/>
      <c r="E332" s="37"/>
      <c r="F332" s="39"/>
      <c r="G332" s="39"/>
      <c r="H332" s="39"/>
      <c r="I332" s="72" t="s">
        <v>33</v>
      </c>
      <c r="J332" s="37" t="s">
        <v>28</v>
      </c>
      <c r="K332" s="39">
        <v>1.05</v>
      </c>
      <c r="L332" s="113">
        <f>K332*11.46/1000</f>
        <v>1.2033000000000002E-2</v>
      </c>
      <c r="M332" s="53"/>
      <c r="N332" s="73">
        <f t="shared" si="107"/>
        <v>0</v>
      </c>
    </row>
    <row r="333" spans="1:14" x14ac:dyDescent="0.35">
      <c r="A333" s="37" t="s">
        <v>22</v>
      </c>
      <c r="B333" s="63">
        <v>725</v>
      </c>
      <c r="C333" s="47" t="s">
        <v>437</v>
      </c>
      <c r="D333" s="71"/>
      <c r="E333" s="37"/>
      <c r="F333" s="39"/>
      <c r="G333" s="39"/>
      <c r="H333" s="39"/>
      <c r="I333" s="72" t="s">
        <v>54</v>
      </c>
      <c r="J333" s="37" t="s">
        <v>28</v>
      </c>
      <c r="K333" s="39">
        <v>1.05</v>
      </c>
      <c r="L333" s="113">
        <f>K333*63.48/1000</f>
        <v>6.6653999999999991E-2</v>
      </c>
      <c r="M333" s="53"/>
      <c r="N333" s="73">
        <f t="shared" si="107"/>
        <v>0</v>
      </c>
    </row>
    <row r="334" spans="1:14" x14ac:dyDescent="0.35">
      <c r="A334" s="37" t="s">
        <v>22</v>
      </c>
      <c r="B334" s="63">
        <v>726</v>
      </c>
      <c r="C334" s="47" t="s">
        <v>438</v>
      </c>
      <c r="D334" s="71"/>
      <c r="E334" s="37"/>
      <c r="F334" s="39"/>
      <c r="G334" s="39"/>
      <c r="H334" s="39"/>
      <c r="I334" s="72" t="s">
        <v>37</v>
      </c>
      <c r="J334" s="37" t="s">
        <v>28</v>
      </c>
      <c r="K334" s="39">
        <v>1.05</v>
      </c>
      <c r="L334" s="113">
        <f>20/1000*F330*K334</f>
        <v>3.5548800000000003E-3</v>
      </c>
      <c r="M334" s="53"/>
      <c r="N334" s="73">
        <f t="shared" si="107"/>
        <v>0</v>
      </c>
    </row>
    <row r="335" spans="1:14" ht="15" thickBot="1" x14ac:dyDescent="0.4">
      <c r="A335" s="37" t="s">
        <v>22</v>
      </c>
      <c r="B335" s="63">
        <v>727</v>
      </c>
      <c r="C335" s="209" t="s">
        <v>439</v>
      </c>
      <c r="D335" s="123" t="s">
        <v>39</v>
      </c>
      <c r="E335" s="92" t="s">
        <v>19</v>
      </c>
      <c r="F335" s="114">
        <v>1.47</v>
      </c>
      <c r="G335" s="54"/>
      <c r="H335" s="103">
        <f>G335*F335</f>
        <v>0</v>
      </c>
      <c r="I335" s="95" t="s">
        <v>40</v>
      </c>
      <c r="J335" s="92" t="s">
        <v>19</v>
      </c>
      <c r="K335" s="93">
        <v>1.05</v>
      </c>
      <c r="L335" s="114">
        <f>K335*F335</f>
        <v>1.5435000000000001</v>
      </c>
      <c r="M335" s="53"/>
      <c r="N335" s="96">
        <f t="shared" si="107"/>
        <v>0</v>
      </c>
    </row>
    <row r="336" spans="1:14" ht="28.5" x14ac:dyDescent="0.65">
      <c r="A336" s="256" t="s">
        <v>22</v>
      </c>
      <c r="B336" s="63">
        <v>729</v>
      </c>
      <c r="C336" s="257" t="s">
        <v>440</v>
      </c>
      <c r="D336" s="65"/>
      <c r="E336" s="66"/>
      <c r="F336" s="67"/>
      <c r="G336" s="258" t="s">
        <v>441</v>
      </c>
      <c r="H336" s="67"/>
      <c r="I336" s="208"/>
      <c r="J336" s="66"/>
      <c r="K336" s="67"/>
      <c r="L336" s="67"/>
      <c r="M336" s="67"/>
      <c r="N336" s="70"/>
    </row>
    <row r="337" spans="1:14" ht="16" x14ac:dyDescent="0.4">
      <c r="A337" s="256" t="s">
        <v>22</v>
      </c>
      <c r="B337" s="63">
        <v>730</v>
      </c>
      <c r="C337" s="259" t="s">
        <v>442</v>
      </c>
      <c r="D337" s="74" t="s">
        <v>24</v>
      </c>
      <c r="E337" s="37" t="s">
        <v>25</v>
      </c>
      <c r="F337" s="39">
        <f>78.8*6*0.3</f>
        <v>141.83999999999997</v>
      </c>
      <c r="G337" s="253"/>
      <c r="H337" s="39">
        <f t="shared" ref="H337" si="108">G337*F337</f>
        <v>0</v>
      </c>
      <c r="I337" s="191"/>
      <c r="J337" s="37"/>
      <c r="K337" s="39"/>
      <c r="L337" s="39"/>
      <c r="M337" s="39"/>
      <c r="N337" s="90"/>
    </row>
    <row r="338" spans="1:14" ht="29" x14ac:dyDescent="0.35">
      <c r="A338" s="256" t="s">
        <v>22</v>
      </c>
      <c r="B338" s="63">
        <v>731</v>
      </c>
      <c r="C338" s="259" t="s">
        <v>443</v>
      </c>
      <c r="D338" s="71" t="s">
        <v>27</v>
      </c>
      <c r="E338" s="37" t="s">
        <v>28</v>
      </c>
      <c r="F338" s="39">
        <f>520/1000</f>
        <v>0.52</v>
      </c>
      <c r="G338" s="53"/>
      <c r="H338" s="39">
        <f>G338*F338</f>
        <v>0</v>
      </c>
      <c r="I338" s="72" t="s">
        <v>444</v>
      </c>
      <c r="J338" s="37" t="s">
        <v>28</v>
      </c>
      <c r="K338" s="39">
        <v>1.05</v>
      </c>
      <c r="L338" s="39">
        <f>K338*F338</f>
        <v>0.54600000000000004</v>
      </c>
      <c r="M338" s="53"/>
      <c r="N338" s="73">
        <f t="shared" ref="N338" si="109">M338*L338</f>
        <v>0</v>
      </c>
    </row>
    <row r="339" spans="1:14" ht="15" thickBot="1" x14ac:dyDescent="0.4">
      <c r="A339" s="256" t="s">
        <v>22</v>
      </c>
      <c r="B339" s="63">
        <v>732</v>
      </c>
      <c r="C339" s="260" t="s">
        <v>445</v>
      </c>
      <c r="D339" s="123" t="s">
        <v>39</v>
      </c>
      <c r="E339" s="92" t="s">
        <v>19</v>
      </c>
      <c r="F339" s="93">
        <v>4</v>
      </c>
      <c r="G339" s="54"/>
      <c r="H339" s="103">
        <f>G339*F339</f>
        <v>0</v>
      </c>
      <c r="I339" s="95" t="s">
        <v>40</v>
      </c>
      <c r="J339" s="92" t="s">
        <v>19</v>
      </c>
      <c r="K339" s="93">
        <v>1.05</v>
      </c>
      <c r="L339" s="93">
        <f>K339*F339</f>
        <v>4.2</v>
      </c>
      <c r="M339" s="53"/>
      <c r="N339" s="96">
        <f t="shared" si="96"/>
        <v>0</v>
      </c>
    </row>
    <row r="340" spans="1:14" ht="21.5" thickBot="1" x14ac:dyDescent="0.55000000000000004">
      <c r="A340" s="124"/>
      <c r="B340" s="63">
        <v>733</v>
      </c>
      <c r="C340" s="126"/>
      <c r="D340" s="127" t="s">
        <v>86</v>
      </c>
      <c r="E340" s="128"/>
      <c r="F340" s="129"/>
      <c r="G340" s="129"/>
      <c r="H340" s="133">
        <f>SUM(H285:H339)</f>
        <v>0</v>
      </c>
      <c r="I340" s="131"/>
      <c r="J340" s="132"/>
      <c r="K340" s="133"/>
      <c r="L340" s="133"/>
      <c r="M340" s="133"/>
      <c r="N340" s="133">
        <f>SUM(N285:N339)</f>
        <v>0</v>
      </c>
    </row>
    <row r="341" spans="1:14" ht="24" thickBot="1" x14ac:dyDescent="0.6">
      <c r="A341" s="261"/>
      <c r="B341" s="63">
        <v>734</v>
      </c>
      <c r="C341" s="262" t="s">
        <v>446</v>
      </c>
      <c r="D341" s="263" t="s">
        <v>447</v>
      </c>
      <c r="E341" s="264"/>
      <c r="F341" s="265"/>
      <c r="G341" s="266" t="s">
        <v>448</v>
      </c>
      <c r="H341" s="265"/>
      <c r="I341" s="267"/>
      <c r="J341" s="268"/>
      <c r="K341" s="265"/>
      <c r="L341" s="265"/>
      <c r="M341" s="269"/>
      <c r="N341" s="270"/>
    </row>
    <row r="342" spans="1:14" x14ac:dyDescent="0.35">
      <c r="A342" s="37" t="s">
        <v>22</v>
      </c>
      <c r="B342" s="63">
        <v>735</v>
      </c>
      <c r="C342" s="271" t="s">
        <v>449</v>
      </c>
      <c r="D342" s="272" t="s">
        <v>450</v>
      </c>
      <c r="E342" s="273" t="s">
        <v>91</v>
      </c>
      <c r="F342" s="274">
        <v>1</v>
      </c>
      <c r="G342" s="274"/>
      <c r="H342" s="274"/>
      <c r="I342" s="275"/>
      <c r="J342" s="273"/>
      <c r="K342" s="274"/>
      <c r="L342" s="274"/>
      <c r="M342" s="274"/>
      <c r="N342" s="276"/>
    </row>
    <row r="343" spans="1:14" ht="16" x14ac:dyDescent="0.4">
      <c r="A343" s="37" t="s">
        <v>22</v>
      </c>
      <c r="B343" s="63">
        <v>736</v>
      </c>
      <c r="C343" s="47" t="s">
        <v>451</v>
      </c>
      <c r="D343" s="74" t="s">
        <v>452</v>
      </c>
      <c r="E343" s="37" t="s">
        <v>25</v>
      </c>
      <c r="F343" s="39">
        <f>(1.944*2.4+1.556*2.4)*2</f>
        <v>16.799999999999997</v>
      </c>
      <c r="G343" s="253"/>
      <c r="H343" s="39">
        <f t="shared" ref="H343:H344" si="110">G343*F343</f>
        <v>0</v>
      </c>
      <c r="I343" s="191"/>
      <c r="J343" s="37"/>
      <c r="K343" s="39"/>
      <c r="L343" s="39"/>
      <c r="M343" s="39"/>
      <c r="N343" s="90"/>
    </row>
    <row r="344" spans="1:14" ht="29" x14ac:dyDescent="0.35">
      <c r="A344" s="37" t="s">
        <v>22</v>
      </c>
      <c r="B344" s="63">
        <v>737</v>
      </c>
      <c r="C344" s="47" t="s">
        <v>453</v>
      </c>
      <c r="D344" s="71" t="s">
        <v>27</v>
      </c>
      <c r="E344" s="37" t="s">
        <v>28</v>
      </c>
      <c r="F344" s="277">
        <f>140.25/1000</f>
        <v>0.14025000000000001</v>
      </c>
      <c r="G344" s="53"/>
      <c r="H344" s="39">
        <f t="shared" si="110"/>
        <v>0</v>
      </c>
      <c r="I344" s="72" t="s">
        <v>29</v>
      </c>
      <c r="J344" s="37" t="s">
        <v>28</v>
      </c>
      <c r="K344" s="39">
        <v>1.05</v>
      </c>
      <c r="L344" s="277">
        <f>K344*39.31/1000</f>
        <v>4.12755E-2</v>
      </c>
      <c r="M344" s="53"/>
      <c r="N344" s="73">
        <f t="shared" ref="N344:N350" si="111">M344*L344</f>
        <v>0</v>
      </c>
    </row>
    <row r="345" spans="1:14" x14ac:dyDescent="0.35">
      <c r="A345" s="37" t="s">
        <v>22</v>
      </c>
      <c r="B345" s="63">
        <v>738</v>
      </c>
      <c r="C345" s="47" t="s">
        <v>454</v>
      </c>
      <c r="D345" s="74"/>
      <c r="E345" s="37"/>
      <c r="F345" s="39"/>
      <c r="G345" s="39"/>
      <c r="H345" s="39"/>
      <c r="I345" s="72" t="s">
        <v>44</v>
      </c>
      <c r="J345" s="37" t="s">
        <v>28</v>
      </c>
      <c r="K345" s="39">
        <v>1.05</v>
      </c>
      <c r="L345" s="277">
        <f>K345*17.75/1000</f>
        <v>1.8637499999999998E-2</v>
      </c>
      <c r="M345" s="53"/>
      <c r="N345" s="73">
        <f t="shared" si="111"/>
        <v>0</v>
      </c>
    </row>
    <row r="346" spans="1:14" x14ac:dyDescent="0.35">
      <c r="A346" s="37" t="s">
        <v>22</v>
      </c>
      <c r="B346" s="63">
        <v>739</v>
      </c>
      <c r="C346" s="47" t="s">
        <v>455</v>
      </c>
      <c r="D346" s="74"/>
      <c r="E346" s="37"/>
      <c r="F346" s="39"/>
      <c r="G346" s="39"/>
      <c r="H346" s="39"/>
      <c r="I346" s="72" t="s">
        <v>31</v>
      </c>
      <c r="J346" s="37" t="s">
        <v>28</v>
      </c>
      <c r="K346" s="39">
        <v>1.05</v>
      </c>
      <c r="L346" s="277">
        <f>K346*54.38/1000</f>
        <v>5.7099000000000004E-2</v>
      </c>
      <c r="M346" s="53"/>
      <c r="N346" s="73">
        <f t="shared" si="111"/>
        <v>0</v>
      </c>
    </row>
    <row r="347" spans="1:14" x14ac:dyDescent="0.35">
      <c r="A347" s="37" t="s">
        <v>22</v>
      </c>
      <c r="B347" s="63">
        <v>740</v>
      </c>
      <c r="C347" s="47" t="s">
        <v>456</v>
      </c>
      <c r="D347" s="74"/>
      <c r="E347" s="37"/>
      <c r="F347" s="39"/>
      <c r="G347" s="39"/>
      <c r="H347" s="39"/>
      <c r="I347" s="72" t="s">
        <v>54</v>
      </c>
      <c r="J347" s="37" t="s">
        <v>28</v>
      </c>
      <c r="K347" s="39">
        <v>1.05</v>
      </c>
      <c r="L347" s="277">
        <f>K347*15.51/1000</f>
        <v>1.6285499999999998E-2</v>
      </c>
      <c r="M347" s="53"/>
      <c r="N347" s="73">
        <f t="shared" si="111"/>
        <v>0</v>
      </c>
    </row>
    <row r="348" spans="1:14" x14ac:dyDescent="0.35">
      <c r="A348" s="37" t="s">
        <v>22</v>
      </c>
      <c r="B348" s="63">
        <v>741</v>
      </c>
      <c r="C348" s="47" t="s">
        <v>457</v>
      </c>
      <c r="D348" s="74"/>
      <c r="E348" s="37"/>
      <c r="F348" s="39"/>
      <c r="G348" s="39"/>
      <c r="H348" s="39"/>
      <c r="I348" s="72" t="s">
        <v>35</v>
      </c>
      <c r="J348" s="37" t="s">
        <v>28</v>
      </c>
      <c r="K348" s="39">
        <v>1.05</v>
      </c>
      <c r="L348" s="277">
        <f>K348*13.3/1000</f>
        <v>1.3965000000000002E-2</v>
      </c>
      <c r="M348" s="53"/>
      <c r="N348" s="73">
        <f t="shared" si="111"/>
        <v>0</v>
      </c>
    </row>
    <row r="349" spans="1:14" x14ac:dyDescent="0.35">
      <c r="A349" s="37" t="s">
        <v>22</v>
      </c>
      <c r="B349" s="63">
        <v>742</v>
      </c>
      <c r="C349" s="47" t="s">
        <v>458</v>
      </c>
      <c r="D349" s="74"/>
      <c r="E349" s="37"/>
      <c r="F349" s="39"/>
      <c r="G349" s="39"/>
      <c r="H349" s="39"/>
      <c r="I349" s="72" t="s">
        <v>37</v>
      </c>
      <c r="J349" s="37" t="s">
        <v>28</v>
      </c>
      <c r="K349" s="39">
        <v>1.05</v>
      </c>
      <c r="L349" s="277">
        <f>20/1000*K349*F344</f>
        <v>2.9452500000000004E-3</v>
      </c>
      <c r="M349" s="53"/>
      <c r="N349" s="73">
        <f t="shared" si="111"/>
        <v>0</v>
      </c>
    </row>
    <row r="350" spans="1:14" x14ac:dyDescent="0.35">
      <c r="A350" s="37" t="s">
        <v>22</v>
      </c>
      <c r="B350" s="63">
        <v>743</v>
      </c>
      <c r="C350" s="47" t="s">
        <v>459</v>
      </c>
      <c r="D350" s="74" t="s">
        <v>460</v>
      </c>
      <c r="E350" s="37" t="s">
        <v>19</v>
      </c>
      <c r="F350" s="277">
        <v>1.1599999999999999</v>
      </c>
      <c r="G350" s="53"/>
      <c r="H350" s="149">
        <f t="shared" ref="H350" si="112">G350*F350</f>
        <v>0</v>
      </c>
      <c r="I350" s="72" t="s">
        <v>461</v>
      </c>
      <c r="J350" s="37" t="s">
        <v>19</v>
      </c>
      <c r="K350" s="39">
        <v>1.05</v>
      </c>
      <c r="L350" s="277">
        <f>K350*F350</f>
        <v>1.218</v>
      </c>
      <c r="M350" s="53"/>
      <c r="N350" s="73">
        <f t="shared" si="111"/>
        <v>0</v>
      </c>
    </row>
    <row r="351" spans="1:14" x14ac:dyDescent="0.35">
      <c r="A351" s="37" t="s">
        <v>22</v>
      </c>
      <c r="B351" s="63">
        <v>744</v>
      </c>
      <c r="C351" s="47" t="s">
        <v>462</v>
      </c>
      <c r="D351" s="278" t="s">
        <v>463</v>
      </c>
      <c r="E351" s="279" t="s">
        <v>91</v>
      </c>
      <c r="F351" s="280">
        <v>2</v>
      </c>
      <c r="G351" s="280"/>
      <c r="H351" s="280"/>
      <c r="I351" s="281"/>
      <c r="J351" s="279"/>
      <c r="K351" s="280"/>
      <c r="L351" s="280"/>
      <c r="M351" s="280"/>
      <c r="N351" s="282"/>
    </row>
    <row r="352" spans="1:14" ht="16" x14ac:dyDescent="0.4">
      <c r="A352" s="37" t="s">
        <v>22</v>
      </c>
      <c r="B352" s="63">
        <v>745</v>
      </c>
      <c r="C352" s="47" t="s">
        <v>464</v>
      </c>
      <c r="D352" s="74" t="s">
        <v>452</v>
      </c>
      <c r="E352" s="37" t="s">
        <v>25</v>
      </c>
      <c r="F352" s="39">
        <f>(1.37*1.42+2.683*1.42+1.53*1.42)*2*2</f>
        <v>31.71144</v>
      </c>
      <c r="G352" s="253"/>
      <c r="H352" s="39">
        <f t="shared" ref="H352:H353" si="113">G352*F352</f>
        <v>0</v>
      </c>
      <c r="I352" s="191"/>
      <c r="J352" s="37"/>
      <c r="K352" s="39"/>
      <c r="L352" s="39"/>
      <c r="M352" s="39"/>
      <c r="N352" s="90"/>
    </row>
    <row r="353" spans="1:14" ht="29" x14ac:dyDescent="0.35">
      <c r="A353" s="37" t="s">
        <v>22</v>
      </c>
      <c r="B353" s="63">
        <v>746</v>
      </c>
      <c r="C353" s="47" t="s">
        <v>465</v>
      </c>
      <c r="D353" s="71" t="s">
        <v>27</v>
      </c>
      <c r="E353" s="37" t="s">
        <v>28</v>
      </c>
      <c r="F353" s="277">
        <f>187.08*2/1000</f>
        <v>0.37416000000000005</v>
      </c>
      <c r="G353" s="53"/>
      <c r="H353" s="39">
        <f t="shared" si="113"/>
        <v>0</v>
      </c>
      <c r="I353" s="72" t="s">
        <v>29</v>
      </c>
      <c r="J353" s="37" t="s">
        <v>28</v>
      </c>
      <c r="K353" s="39">
        <v>1.05</v>
      </c>
      <c r="L353" s="277">
        <f>K353*58.25*2/1000</f>
        <v>0.122325</v>
      </c>
      <c r="M353" s="53"/>
      <c r="N353" s="73">
        <f t="shared" ref="N353:N359" si="114">M353*L353</f>
        <v>0</v>
      </c>
    </row>
    <row r="354" spans="1:14" x14ac:dyDescent="0.35">
      <c r="A354" s="37" t="s">
        <v>22</v>
      </c>
      <c r="B354" s="63">
        <v>747</v>
      </c>
      <c r="C354" s="47" t="s">
        <v>466</v>
      </c>
      <c r="D354" s="74"/>
      <c r="E354" s="37"/>
      <c r="F354" s="39"/>
      <c r="G354" s="39"/>
      <c r="H354" s="39"/>
      <c r="I354" s="72" t="s">
        <v>44</v>
      </c>
      <c r="J354" s="37" t="s">
        <v>28</v>
      </c>
      <c r="K354" s="39">
        <v>1.05</v>
      </c>
      <c r="L354" s="277">
        <f>K354*26.3*2/1000</f>
        <v>5.5230000000000001E-2</v>
      </c>
      <c r="M354" s="53"/>
      <c r="N354" s="73">
        <f t="shared" si="114"/>
        <v>0</v>
      </c>
    </row>
    <row r="355" spans="1:14" x14ac:dyDescent="0.35">
      <c r="A355" s="37" t="s">
        <v>22</v>
      </c>
      <c r="B355" s="63">
        <v>748</v>
      </c>
      <c r="C355" s="47" t="s">
        <v>467</v>
      </c>
      <c r="D355" s="74"/>
      <c r="E355" s="37"/>
      <c r="F355" s="39"/>
      <c r="G355" s="39"/>
      <c r="H355" s="39"/>
      <c r="I355" s="72" t="s">
        <v>31</v>
      </c>
      <c r="J355" s="37" t="s">
        <v>28</v>
      </c>
      <c r="K355" s="39">
        <v>1.05</v>
      </c>
      <c r="L355" s="277">
        <f>K355*75.24*2/1000</f>
        <v>0.15800399999999998</v>
      </c>
      <c r="M355" s="53"/>
      <c r="N355" s="73">
        <f t="shared" si="114"/>
        <v>0</v>
      </c>
    </row>
    <row r="356" spans="1:14" x14ac:dyDescent="0.35">
      <c r="A356" s="37" t="s">
        <v>22</v>
      </c>
      <c r="B356" s="63">
        <v>749</v>
      </c>
      <c r="C356" s="47" t="s">
        <v>468</v>
      </c>
      <c r="D356" s="74"/>
      <c r="E356" s="37"/>
      <c r="F356" s="39"/>
      <c r="G356" s="39"/>
      <c r="H356" s="39"/>
      <c r="I356" s="72" t="s">
        <v>54</v>
      </c>
      <c r="J356" s="37" t="s">
        <v>28</v>
      </c>
      <c r="K356" s="39">
        <v>1.05</v>
      </c>
      <c r="L356" s="277">
        <f>K356*14.75*2/1000</f>
        <v>3.0975000000000003E-2</v>
      </c>
      <c r="M356" s="53"/>
      <c r="N356" s="73">
        <f t="shared" si="114"/>
        <v>0</v>
      </c>
    </row>
    <row r="357" spans="1:14" x14ac:dyDescent="0.35">
      <c r="A357" s="37" t="s">
        <v>22</v>
      </c>
      <c r="B357" s="63">
        <v>750</v>
      </c>
      <c r="C357" s="47" t="s">
        <v>469</v>
      </c>
      <c r="D357" s="74"/>
      <c r="E357" s="37"/>
      <c r="F357" s="39"/>
      <c r="G357" s="39"/>
      <c r="H357" s="39"/>
      <c r="I357" s="72" t="s">
        <v>35</v>
      </c>
      <c r="J357" s="37" t="s">
        <v>28</v>
      </c>
      <c r="K357" s="39">
        <v>1.05</v>
      </c>
      <c r="L357" s="277">
        <f>K357*12.54*2/1000</f>
        <v>2.6334E-2</v>
      </c>
      <c r="M357" s="53"/>
      <c r="N357" s="73">
        <f t="shared" si="114"/>
        <v>0</v>
      </c>
    </row>
    <row r="358" spans="1:14" x14ac:dyDescent="0.35">
      <c r="A358" s="37" t="s">
        <v>22</v>
      </c>
      <c r="B358" s="63">
        <v>751</v>
      </c>
      <c r="C358" s="47" t="s">
        <v>470</v>
      </c>
      <c r="D358" s="74"/>
      <c r="E358" s="37"/>
      <c r="F358" s="39"/>
      <c r="G358" s="39"/>
      <c r="H358" s="39"/>
      <c r="I358" s="72" t="s">
        <v>37</v>
      </c>
      <c r="J358" s="37" t="s">
        <v>28</v>
      </c>
      <c r="K358" s="39">
        <v>1.05</v>
      </c>
      <c r="L358" s="277">
        <f>20/1000*K358*F353</f>
        <v>7.8573600000000007E-3</v>
      </c>
      <c r="M358" s="53"/>
      <c r="N358" s="73">
        <f t="shared" si="114"/>
        <v>0</v>
      </c>
    </row>
    <row r="359" spans="1:14" x14ac:dyDescent="0.35">
      <c r="A359" s="37" t="s">
        <v>22</v>
      </c>
      <c r="B359" s="63">
        <v>752</v>
      </c>
      <c r="C359" s="47" t="s">
        <v>471</v>
      </c>
      <c r="D359" s="74" t="s">
        <v>460</v>
      </c>
      <c r="E359" s="37" t="s">
        <v>19</v>
      </c>
      <c r="F359" s="277">
        <f>0.9*2</f>
        <v>1.8</v>
      </c>
      <c r="G359" s="53"/>
      <c r="H359" s="149">
        <f t="shared" ref="H359" si="115">G359*F359</f>
        <v>0</v>
      </c>
      <c r="I359" s="72" t="s">
        <v>461</v>
      </c>
      <c r="J359" s="37" t="s">
        <v>19</v>
      </c>
      <c r="K359" s="39">
        <v>1.05</v>
      </c>
      <c r="L359" s="277">
        <f>K359*F359</f>
        <v>1.8900000000000001</v>
      </c>
      <c r="M359" s="53"/>
      <c r="N359" s="73">
        <f t="shared" si="114"/>
        <v>0</v>
      </c>
    </row>
    <row r="360" spans="1:14" x14ac:dyDescent="0.35">
      <c r="A360" s="37" t="s">
        <v>22</v>
      </c>
      <c r="B360" s="63">
        <v>753</v>
      </c>
      <c r="C360" s="47" t="s">
        <v>472</v>
      </c>
      <c r="D360" s="278" t="s">
        <v>473</v>
      </c>
      <c r="E360" s="279" t="s">
        <v>91</v>
      </c>
      <c r="F360" s="280">
        <v>2</v>
      </c>
      <c r="G360" s="280"/>
      <c r="H360" s="280"/>
      <c r="I360" s="281"/>
      <c r="J360" s="279"/>
      <c r="K360" s="280"/>
      <c r="L360" s="280"/>
      <c r="M360" s="280"/>
      <c r="N360" s="282"/>
    </row>
    <row r="361" spans="1:14" ht="16" x14ac:dyDescent="0.4">
      <c r="A361" s="37" t="s">
        <v>22</v>
      </c>
      <c r="B361" s="63">
        <v>754</v>
      </c>
      <c r="C361" s="47" t="s">
        <v>474</v>
      </c>
      <c r="D361" s="74" t="s">
        <v>452</v>
      </c>
      <c r="E361" s="37" t="s">
        <v>25</v>
      </c>
      <c r="F361" s="39">
        <f>(1.37*1.42+2.683*1.42+1.53*1.42)*2*2</f>
        <v>31.71144</v>
      </c>
      <c r="G361" s="253"/>
      <c r="H361" s="39">
        <f t="shared" ref="H361:H362" si="116">G361*F361</f>
        <v>0</v>
      </c>
      <c r="I361" s="191"/>
      <c r="J361" s="37"/>
      <c r="K361" s="39"/>
      <c r="L361" s="39"/>
      <c r="M361" s="39"/>
      <c r="N361" s="90"/>
    </row>
    <row r="362" spans="1:14" ht="29" x14ac:dyDescent="0.35">
      <c r="A362" s="37" t="s">
        <v>22</v>
      </c>
      <c r="B362" s="63">
        <v>755</v>
      </c>
      <c r="C362" s="47" t="s">
        <v>475</v>
      </c>
      <c r="D362" s="71" t="s">
        <v>27</v>
      </c>
      <c r="E362" s="37" t="s">
        <v>28</v>
      </c>
      <c r="F362" s="277">
        <f>137.41*2/1000</f>
        <v>0.27482000000000001</v>
      </c>
      <c r="G362" s="53"/>
      <c r="H362" s="39">
        <f t="shared" si="116"/>
        <v>0</v>
      </c>
      <c r="I362" s="72" t="s">
        <v>29</v>
      </c>
      <c r="J362" s="37" t="s">
        <v>28</v>
      </c>
      <c r="K362" s="39">
        <v>1.05</v>
      </c>
      <c r="L362" s="277">
        <f>K362*33.6*2/1000</f>
        <v>7.0559999999999998E-2</v>
      </c>
      <c r="M362" s="53"/>
      <c r="N362" s="73">
        <f t="shared" ref="N362:N368" si="117">M362*L362</f>
        <v>0</v>
      </c>
    </row>
    <row r="363" spans="1:14" x14ac:dyDescent="0.35">
      <c r="A363" s="37" t="s">
        <v>22</v>
      </c>
      <c r="B363" s="63">
        <v>756</v>
      </c>
      <c r="C363" s="47" t="s">
        <v>476</v>
      </c>
      <c r="D363" s="74"/>
      <c r="E363" s="37"/>
      <c r="F363" s="39"/>
      <c r="G363" s="39"/>
      <c r="H363" s="39"/>
      <c r="I363" s="72" t="s">
        <v>44</v>
      </c>
      <c r="J363" s="37" t="s">
        <v>28</v>
      </c>
      <c r="K363" s="39">
        <v>1.05</v>
      </c>
      <c r="L363" s="277">
        <f>K363*18.85*2/1000</f>
        <v>3.9585000000000009E-2</v>
      </c>
      <c r="M363" s="53"/>
      <c r="N363" s="73">
        <f t="shared" si="117"/>
        <v>0</v>
      </c>
    </row>
    <row r="364" spans="1:14" x14ac:dyDescent="0.35">
      <c r="A364" s="37" t="s">
        <v>22</v>
      </c>
      <c r="B364" s="63">
        <v>757</v>
      </c>
      <c r="C364" s="47" t="s">
        <v>477</v>
      </c>
      <c r="D364" s="74"/>
      <c r="E364" s="37"/>
      <c r="F364" s="39"/>
      <c r="G364" s="39"/>
      <c r="H364" s="39"/>
      <c r="I364" s="72" t="s">
        <v>31</v>
      </c>
      <c r="J364" s="37" t="s">
        <v>28</v>
      </c>
      <c r="K364" s="39">
        <v>1.05</v>
      </c>
      <c r="L364" s="277">
        <f>K364*57.06*2/1000</f>
        <v>0.119826</v>
      </c>
      <c r="M364" s="53"/>
      <c r="N364" s="73">
        <f t="shared" si="117"/>
        <v>0</v>
      </c>
    </row>
    <row r="365" spans="1:14" x14ac:dyDescent="0.35">
      <c r="A365" s="37" t="s">
        <v>22</v>
      </c>
      <c r="B365" s="63">
        <v>758</v>
      </c>
      <c r="C365" s="47" t="s">
        <v>478</v>
      </c>
      <c r="D365" s="74"/>
      <c r="E365" s="37"/>
      <c r="F365" s="39"/>
      <c r="G365" s="39"/>
      <c r="H365" s="39"/>
      <c r="I365" s="72" t="s">
        <v>54</v>
      </c>
      <c r="J365" s="37" t="s">
        <v>28</v>
      </c>
      <c r="K365" s="39">
        <v>1.05</v>
      </c>
      <c r="L365" s="277">
        <f>K365*12.39*2/1000</f>
        <v>2.6019E-2</v>
      </c>
      <c r="M365" s="53"/>
      <c r="N365" s="73">
        <f t="shared" si="117"/>
        <v>0</v>
      </c>
    </row>
    <row r="366" spans="1:14" x14ac:dyDescent="0.35">
      <c r="A366" s="37" t="s">
        <v>22</v>
      </c>
      <c r="B366" s="63">
        <v>759</v>
      </c>
      <c r="C366" s="47" t="s">
        <v>479</v>
      </c>
      <c r="D366" s="74"/>
      <c r="E366" s="37"/>
      <c r="F366" s="39"/>
      <c r="G366" s="39"/>
      <c r="H366" s="39"/>
      <c r="I366" s="72" t="s">
        <v>35</v>
      </c>
      <c r="J366" s="37" t="s">
        <v>28</v>
      </c>
      <c r="K366" s="39">
        <v>1.05</v>
      </c>
      <c r="L366" s="277">
        <f>K366*15.51*2/1000</f>
        <v>3.2570999999999996E-2</v>
      </c>
      <c r="M366" s="53"/>
      <c r="N366" s="73">
        <f t="shared" si="117"/>
        <v>0</v>
      </c>
    </row>
    <row r="367" spans="1:14" x14ac:dyDescent="0.35">
      <c r="A367" s="37" t="s">
        <v>22</v>
      </c>
      <c r="B367" s="63">
        <v>760</v>
      </c>
      <c r="C367" s="47" t="s">
        <v>480</v>
      </c>
      <c r="D367" s="74"/>
      <c r="E367" s="37"/>
      <c r="F367" s="39"/>
      <c r="G367" s="39"/>
      <c r="H367" s="39"/>
      <c r="I367" s="72" t="s">
        <v>37</v>
      </c>
      <c r="J367" s="37" t="s">
        <v>28</v>
      </c>
      <c r="K367" s="39">
        <v>1.05</v>
      </c>
      <c r="L367" s="277">
        <f>20/1000*K367*F362</f>
        <v>5.7712200000000005E-3</v>
      </c>
      <c r="M367" s="53"/>
      <c r="N367" s="73">
        <f t="shared" si="117"/>
        <v>0</v>
      </c>
    </row>
    <row r="368" spans="1:14" x14ac:dyDescent="0.35">
      <c r="A368" s="37" t="s">
        <v>22</v>
      </c>
      <c r="B368" s="63">
        <v>761</v>
      </c>
      <c r="C368" s="47" t="s">
        <v>481</v>
      </c>
      <c r="D368" s="74" t="s">
        <v>460</v>
      </c>
      <c r="E368" s="37" t="s">
        <v>19</v>
      </c>
      <c r="F368" s="277">
        <f>1.2*2</f>
        <v>2.4</v>
      </c>
      <c r="G368" s="53"/>
      <c r="H368" s="149">
        <f t="shared" ref="H368" si="118">G368*F368</f>
        <v>0</v>
      </c>
      <c r="I368" s="72" t="s">
        <v>461</v>
      </c>
      <c r="J368" s="37" t="s">
        <v>19</v>
      </c>
      <c r="K368" s="39">
        <v>1.05</v>
      </c>
      <c r="L368" s="277">
        <f>K368*F368</f>
        <v>2.52</v>
      </c>
      <c r="M368" s="53"/>
      <c r="N368" s="73">
        <f t="shared" si="117"/>
        <v>0</v>
      </c>
    </row>
    <row r="369" spans="1:14" x14ac:dyDescent="0.35">
      <c r="A369" s="37" t="s">
        <v>22</v>
      </c>
      <c r="B369" s="63">
        <v>762</v>
      </c>
      <c r="C369" s="47" t="s">
        <v>482</v>
      </c>
      <c r="D369" s="278" t="s">
        <v>483</v>
      </c>
      <c r="E369" s="279" t="s">
        <v>91</v>
      </c>
      <c r="F369" s="280">
        <v>1</v>
      </c>
      <c r="G369" s="280"/>
      <c r="H369" s="280"/>
      <c r="I369" s="281"/>
      <c r="J369" s="279"/>
      <c r="K369" s="280"/>
      <c r="L369" s="280"/>
      <c r="M369" s="280"/>
      <c r="N369" s="282"/>
    </row>
    <row r="370" spans="1:14" ht="16" x14ac:dyDescent="0.4">
      <c r="A370" s="37" t="s">
        <v>22</v>
      </c>
      <c r="B370" s="63">
        <v>763</v>
      </c>
      <c r="C370" s="47" t="s">
        <v>484</v>
      </c>
      <c r="D370" s="74" t="s">
        <v>452</v>
      </c>
      <c r="E370" s="37" t="s">
        <v>25</v>
      </c>
      <c r="F370" s="39">
        <f>(2.899*1.33+1.46*1.33+1.955*1.33)*2</f>
        <v>16.79524</v>
      </c>
      <c r="G370" s="253"/>
      <c r="H370" s="39">
        <f t="shared" ref="H370:H371" si="119">G370*F370</f>
        <v>0</v>
      </c>
      <c r="I370" s="191"/>
      <c r="J370" s="37"/>
      <c r="K370" s="39"/>
      <c r="L370" s="39"/>
      <c r="M370" s="39"/>
      <c r="N370" s="90"/>
    </row>
    <row r="371" spans="1:14" ht="29" x14ac:dyDescent="0.35">
      <c r="A371" s="37" t="s">
        <v>22</v>
      </c>
      <c r="B371" s="63">
        <v>764</v>
      </c>
      <c r="C371" s="47" t="s">
        <v>485</v>
      </c>
      <c r="D371" s="71" t="s">
        <v>27</v>
      </c>
      <c r="E371" s="37" t="s">
        <v>28</v>
      </c>
      <c r="F371" s="277">
        <f>140.25/1000</f>
        <v>0.14025000000000001</v>
      </c>
      <c r="G371" s="53"/>
      <c r="H371" s="39">
        <f t="shared" si="119"/>
        <v>0</v>
      </c>
      <c r="I371" s="72" t="s">
        <v>29</v>
      </c>
      <c r="J371" s="37" t="s">
        <v>28</v>
      </c>
      <c r="K371" s="39">
        <v>1.05</v>
      </c>
      <c r="L371" s="277">
        <f>K371*(27.5+16.6)/1000</f>
        <v>4.6305000000000006E-2</v>
      </c>
      <c r="M371" s="53"/>
      <c r="N371" s="73">
        <f t="shared" ref="N371:N377" si="120">M371*L371</f>
        <v>0</v>
      </c>
    </row>
    <row r="372" spans="1:14" x14ac:dyDescent="0.35">
      <c r="A372" s="37" t="s">
        <v>22</v>
      </c>
      <c r="B372" s="63">
        <v>765</v>
      </c>
      <c r="C372" s="47" t="s">
        <v>486</v>
      </c>
      <c r="D372" s="74"/>
      <c r="E372" s="37"/>
      <c r="F372" s="39"/>
      <c r="G372" s="39"/>
      <c r="H372" s="39"/>
      <c r="I372" s="72" t="s">
        <v>44</v>
      </c>
      <c r="J372" s="37" t="s">
        <v>28</v>
      </c>
      <c r="K372" s="39">
        <v>1.05</v>
      </c>
      <c r="L372" s="277">
        <f>K372*19.25/1000</f>
        <v>2.0212500000000001E-2</v>
      </c>
      <c r="M372" s="53"/>
      <c r="N372" s="73">
        <f t="shared" si="120"/>
        <v>0</v>
      </c>
    </row>
    <row r="373" spans="1:14" x14ac:dyDescent="0.35">
      <c r="A373" s="37" t="s">
        <v>22</v>
      </c>
      <c r="B373" s="63">
        <v>766</v>
      </c>
      <c r="C373" s="47" t="s">
        <v>487</v>
      </c>
      <c r="D373" s="74"/>
      <c r="E373" s="37"/>
      <c r="F373" s="39"/>
      <c r="G373" s="39"/>
      <c r="H373" s="39"/>
      <c r="I373" s="72" t="s">
        <v>31</v>
      </c>
      <c r="J373" s="37" t="s">
        <v>28</v>
      </c>
      <c r="K373" s="39">
        <v>1.05</v>
      </c>
      <c r="L373" s="277">
        <f>K373*42.27/1000</f>
        <v>4.4383500000000006E-2</v>
      </c>
      <c r="M373" s="53"/>
      <c r="N373" s="73">
        <f t="shared" si="120"/>
        <v>0</v>
      </c>
    </row>
    <row r="374" spans="1:14" x14ac:dyDescent="0.35">
      <c r="A374" s="37" t="s">
        <v>22</v>
      </c>
      <c r="B374" s="63">
        <v>767</v>
      </c>
      <c r="C374" s="47" t="s">
        <v>488</v>
      </c>
      <c r="D374" s="74"/>
      <c r="E374" s="37"/>
      <c r="F374" s="39"/>
      <c r="G374" s="39"/>
      <c r="H374" s="39"/>
      <c r="I374" s="72" t="s">
        <v>54</v>
      </c>
      <c r="J374" s="37" t="s">
        <v>28</v>
      </c>
      <c r="K374" s="39">
        <v>1.05</v>
      </c>
      <c r="L374" s="277">
        <f>K374*25.37/1000</f>
        <v>2.6638499999999999E-2</v>
      </c>
      <c r="M374" s="53"/>
      <c r="N374" s="73">
        <f t="shared" si="120"/>
        <v>0</v>
      </c>
    </row>
    <row r="375" spans="1:14" x14ac:dyDescent="0.35">
      <c r="A375" s="37" t="s">
        <v>22</v>
      </c>
      <c r="B375" s="63">
        <v>768</v>
      </c>
      <c r="C375" s="47" t="s">
        <v>489</v>
      </c>
      <c r="D375" s="74"/>
      <c r="E375" s="37"/>
      <c r="F375" s="39"/>
      <c r="G375" s="39"/>
      <c r="H375" s="39"/>
      <c r="I375" s="72" t="s">
        <v>35</v>
      </c>
      <c r="J375" s="37" t="s">
        <v>28</v>
      </c>
      <c r="K375" s="39">
        <v>1.05</v>
      </c>
      <c r="L375" s="277">
        <f>K375*14.68/1000</f>
        <v>1.5413999999999999E-2</v>
      </c>
      <c r="M375" s="53"/>
      <c r="N375" s="73">
        <f t="shared" si="120"/>
        <v>0</v>
      </c>
    </row>
    <row r="376" spans="1:14" x14ac:dyDescent="0.35">
      <c r="A376" s="37" t="s">
        <v>22</v>
      </c>
      <c r="B376" s="63">
        <v>769</v>
      </c>
      <c r="C376" s="47" t="s">
        <v>490</v>
      </c>
      <c r="D376" s="74"/>
      <c r="E376" s="37"/>
      <c r="F376" s="39"/>
      <c r="G376" s="39"/>
      <c r="H376" s="39"/>
      <c r="I376" s="72" t="s">
        <v>37</v>
      </c>
      <c r="J376" s="37" t="s">
        <v>28</v>
      </c>
      <c r="K376" s="39">
        <v>1.05</v>
      </c>
      <c r="L376" s="277">
        <f>20/1000*K376*F371</f>
        <v>2.9452500000000004E-3</v>
      </c>
      <c r="M376" s="53"/>
      <c r="N376" s="73">
        <f t="shared" si="120"/>
        <v>0</v>
      </c>
    </row>
    <row r="377" spans="1:14" x14ac:dyDescent="0.35">
      <c r="A377" s="37" t="s">
        <v>22</v>
      </c>
      <c r="B377" s="63">
        <v>770</v>
      </c>
      <c r="C377" s="47" t="s">
        <v>491</v>
      </c>
      <c r="D377" s="74" t="s">
        <v>460</v>
      </c>
      <c r="E377" s="37" t="s">
        <v>19</v>
      </c>
      <c r="F377" s="277">
        <v>1.24</v>
      </c>
      <c r="G377" s="53"/>
      <c r="H377" s="149">
        <f t="shared" ref="H377" si="121">G377*F377</f>
        <v>0</v>
      </c>
      <c r="I377" s="72" t="s">
        <v>461</v>
      </c>
      <c r="J377" s="37" t="s">
        <v>19</v>
      </c>
      <c r="K377" s="39">
        <v>1.05</v>
      </c>
      <c r="L377" s="277">
        <f>K377*F377</f>
        <v>1.302</v>
      </c>
      <c r="M377" s="53"/>
      <c r="N377" s="73">
        <f t="shared" si="120"/>
        <v>0</v>
      </c>
    </row>
    <row r="378" spans="1:14" x14ac:dyDescent="0.35">
      <c r="A378" s="37" t="s">
        <v>22</v>
      </c>
      <c r="B378" s="63">
        <v>771</v>
      </c>
      <c r="C378" s="47" t="s">
        <v>492</v>
      </c>
      <c r="D378" s="278" t="s">
        <v>493</v>
      </c>
      <c r="E378" s="279" t="s">
        <v>91</v>
      </c>
      <c r="F378" s="280">
        <v>1</v>
      </c>
      <c r="G378" s="280"/>
      <c r="H378" s="280"/>
      <c r="I378" s="281"/>
      <c r="J378" s="279"/>
      <c r="K378" s="280"/>
      <c r="L378" s="280"/>
      <c r="M378" s="280"/>
      <c r="N378" s="282"/>
    </row>
    <row r="379" spans="1:14" ht="16" x14ac:dyDescent="0.4">
      <c r="A379" s="37" t="s">
        <v>22</v>
      </c>
      <c r="B379" s="63">
        <v>772</v>
      </c>
      <c r="C379" s="47" t="s">
        <v>494</v>
      </c>
      <c r="D379" s="74" t="s">
        <v>452</v>
      </c>
      <c r="E379" s="37" t="s">
        <v>25</v>
      </c>
      <c r="F379" s="39">
        <f>(1.355*1.5+2.729*1.5+1.541*1.5)*2</f>
        <v>16.875</v>
      </c>
      <c r="G379" s="253"/>
      <c r="H379" s="39">
        <f t="shared" ref="H379:H380" si="122">G379*F379</f>
        <v>0</v>
      </c>
      <c r="I379" s="191"/>
      <c r="J379" s="37"/>
      <c r="K379" s="39"/>
      <c r="L379" s="39"/>
      <c r="M379" s="39"/>
      <c r="N379" s="90"/>
    </row>
    <row r="380" spans="1:14" ht="29" x14ac:dyDescent="0.35">
      <c r="A380" s="37" t="s">
        <v>22</v>
      </c>
      <c r="B380" s="63">
        <v>773</v>
      </c>
      <c r="C380" s="47" t="s">
        <v>495</v>
      </c>
      <c r="D380" s="71" t="s">
        <v>27</v>
      </c>
      <c r="E380" s="37" t="s">
        <v>28</v>
      </c>
      <c r="F380" s="277">
        <f>187.77/1000</f>
        <v>0.18777000000000002</v>
      </c>
      <c r="G380" s="53"/>
      <c r="H380" s="39">
        <f t="shared" si="122"/>
        <v>0</v>
      </c>
      <c r="I380" s="72" t="s">
        <v>29</v>
      </c>
      <c r="J380" s="37" t="s">
        <v>28</v>
      </c>
      <c r="K380" s="39">
        <v>1.05</v>
      </c>
      <c r="L380" s="277">
        <f>K380*58.55/1000</f>
        <v>6.1477499999999997E-2</v>
      </c>
      <c r="M380" s="53"/>
      <c r="N380" s="73">
        <f t="shared" ref="N380:N386" si="123">M380*L380</f>
        <v>0</v>
      </c>
    </row>
    <row r="381" spans="1:14" x14ac:dyDescent="0.35">
      <c r="A381" s="37" t="s">
        <v>22</v>
      </c>
      <c r="B381" s="63">
        <v>774</v>
      </c>
      <c r="C381" s="47" t="s">
        <v>496</v>
      </c>
      <c r="D381" s="74"/>
      <c r="E381" s="37"/>
      <c r="F381" s="39"/>
      <c r="G381" s="39"/>
      <c r="H381" s="39"/>
      <c r="I381" s="72" t="s">
        <v>44</v>
      </c>
      <c r="J381" s="37" t="s">
        <v>28</v>
      </c>
      <c r="K381" s="39">
        <v>1.05</v>
      </c>
      <c r="L381" s="277">
        <f>K381*26.45/1000</f>
        <v>2.7772500000000002E-2</v>
      </c>
      <c r="M381" s="53"/>
      <c r="N381" s="73">
        <f t="shared" si="123"/>
        <v>0</v>
      </c>
    </row>
    <row r="382" spans="1:14" x14ac:dyDescent="0.35">
      <c r="A382" s="37" t="s">
        <v>22</v>
      </c>
      <c r="B382" s="63">
        <v>775</v>
      </c>
      <c r="C382" s="47" t="s">
        <v>497</v>
      </c>
      <c r="D382" s="74"/>
      <c r="E382" s="37"/>
      <c r="F382" s="39"/>
      <c r="G382" s="39"/>
      <c r="H382" s="39"/>
      <c r="I382" s="72" t="s">
        <v>31</v>
      </c>
      <c r="J382" s="37" t="s">
        <v>28</v>
      </c>
      <c r="K382" s="39">
        <v>1.05</v>
      </c>
      <c r="L382" s="277">
        <f>K382*75.48/1000</f>
        <v>7.9254000000000005E-2</v>
      </c>
      <c r="M382" s="53"/>
      <c r="N382" s="73">
        <f t="shared" si="123"/>
        <v>0</v>
      </c>
    </row>
    <row r="383" spans="1:14" x14ac:dyDescent="0.35">
      <c r="A383" s="37" t="s">
        <v>22</v>
      </c>
      <c r="B383" s="63">
        <v>776</v>
      </c>
      <c r="C383" s="47" t="s">
        <v>498</v>
      </c>
      <c r="D383" s="74"/>
      <c r="E383" s="37"/>
      <c r="F383" s="39"/>
      <c r="G383" s="39"/>
      <c r="H383" s="39"/>
      <c r="I383" s="72" t="s">
        <v>54</v>
      </c>
      <c r="J383" s="37" t="s">
        <v>28</v>
      </c>
      <c r="K383" s="39">
        <v>1.05</v>
      </c>
      <c r="L383" s="277">
        <f>K383*14.75/1000</f>
        <v>1.5487500000000001E-2</v>
      </c>
      <c r="M383" s="53"/>
      <c r="N383" s="73">
        <f t="shared" si="123"/>
        <v>0</v>
      </c>
    </row>
    <row r="384" spans="1:14" x14ac:dyDescent="0.35">
      <c r="A384" s="37" t="s">
        <v>22</v>
      </c>
      <c r="B384" s="63">
        <v>777</v>
      </c>
      <c r="C384" s="47" t="s">
        <v>499</v>
      </c>
      <c r="D384" s="74"/>
      <c r="E384" s="37"/>
      <c r="F384" s="39"/>
      <c r="G384" s="39"/>
      <c r="H384" s="39"/>
      <c r="I384" s="72" t="s">
        <v>35</v>
      </c>
      <c r="J384" s="37" t="s">
        <v>28</v>
      </c>
      <c r="K384" s="39">
        <v>1.05</v>
      </c>
      <c r="L384" s="277">
        <f>K384*12.54/1000</f>
        <v>1.3167E-2</v>
      </c>
      <c r="M384" s="53"/>
      <c r="N384" s="73">
        <f t="shared" si="123"/>
        <v>0</v>
      </c>
    </row>
    <row r="385" spans="1:14" x14ac:dyDescent="0.35">
      <c r="A385" s="37" t="s">
        <v>22</v>
      </c>
      <c r="B385" s="63">
        <v>778</v>
      </c>
      <c r="C385" s="47" t="s">
        <v>500</v>
      </c>
      <c r="D385" s="74"/>
      <c r="E385" s="37"/>
      <c r="F385" s="39"/>
      <c r="G385" s="39"/>
      <c r="H385" s="39"/>
      <c r="I385" s="72" t="s">
        <v>37</v>
      </c>
      <c r="J385" s="37" t="s">
        <v>28</v>
      </c>
      <c r="K385" s="39">
        <v>1.05</v>
      </c>
      <c r="L385" s="277">
        <f>20/1000*K385*F380</f>
        <v>3.943170000000001E-3</v>
      </c>
      <c r="M385" s="53"/>
      <c r="N385" s="73">
        <f t="shared" si="123"/>
        <v>0</v>
      </c>
    </row>
    <row r="386" spans="1:14" x14ac:dyDescent="0.35">
      <c r="A386" s="37" t="s">
        <v>22</v>
      </c>
      <c r="B386" s="63">
        <v>779</v>
      </c>
      <c r="C386" s="47" t="s">
        <v>501</v>
      </c>
      <c r="D386" s="74" t="s">
        <v>460</v>
      </c>
      <c r="E386" s="37" t="s">
        <v>19</v>
      </c>
      <c r="F386" s="277">
        <v>0.92</v>
      </c>
      <c r="G386" s="53"/>
      <c r="H386" s="149">
        <f t="shared" ref="H386" si="124">G386*F386</f>
        <v>0</v>
      </c>
      <c r="I386" s="72" t="s">
        <v>461</v>
      </c>
      <c r="J386" s="37" t="s">
        <v>19</v>
      </c>
      <c r="K386" s="39">
        <v>1.05</v>
      </c>
      <c r="L386" s="277">
        <f>K386*F386</f>
        <v>0.96600000000000008</v>
      </c>
      <c r="M386" s="53"/>
      <c r="N386" s="73">
        <f t="shared" si="123"/>
        <v>0</v>
      </c>
    </row>
    <row r="387" spans="1:14" x14ac:dyDescent="0.35">
      <c r="A387" s="37" t="s">
        <v>22</v>
      </c>
      <c r="B387" s="63">
        <v>780</v>
      </c>
      <c r="C387" s="47" t="s">
        <v>502</v>
      </c>
      <c r="D387" s="278" t="s">
        <v>503</v>
      </c>
      <c r="E387" s="279" t="s">
        <v>91</v>
      </c>
      <c r="F387" s="280">
        <v>1</v>
      </c>
      <c r="G387" s="280"/>
      <c r="H387" s="280"/>
      <c r="I387" s="281"/>
      <c r="J387" s="279"/>
      <c r="K387" s="280"/>
      <c r="L387" s="280"/>
      <c r="M387" s="280"/>
      <c r="N387" s="282"/>
    </row>
    <row r="388" spans="1:14" ht="16" x14ac:dyDescent="0.4">
      <c r="A388" s="37" t="s">
        <v>22</v>
      </c>
      <c r="B388" s="63">
        <v>781</v>
      </c>
      <c r="C388" s="47" t="s">
        <v>504</v>
      </c>
      <c r="D388" s="74" t="s">
        <v>452</v>
      </c>
      <c r="E388" s="37" t="s">
        <v>25</v>
      </c>
      <c r="F388" s="39">
        <f>(1.475*1.33+2.562*1.33)*2</f>
        <v>10.738420000000001</v>
      </c>
      <c r="G388" s="253"/>
      <c r="H388" s="39">
        <f t="shared" ref="H388:H389" si="125">G388*F388</f>
        <v>0</v>
      </c>
      <c r="I388" s="191"/>
      <c r="J388" s="37"/>
      <c r="K388" s="39"/>
      <c r="L388" s="39"/>
      <c r="M388" s="39"/>
      <c r="N388" s="90"/>
    </row>
    <row r="389" spans="1:14" ht="29" x14ac:dyDescent="0.35">
      <c r="A389" s="37" t="s">
        <v>22</v>
      </c>
      <c r="B389" s="63">
        <v>782</v>
      </c>
      <c r="C389" s="47" t="s">
        <v>505</v>
      </c>
      <c r="D389" s="71" t="s">
        <v>27</v>
      </c>
      <c r="E389" s="37" t="s">
        <v>28</v>
      </c>
      <c r="F389" s="277">
        <f>152.59/1000</f>
        <v>0.15259</v>
      </c>
      <c r="G389" s="53"/>
      <c r="H389" s="39">
        <f t="shared" si="125"/>
        <v>0</v>
      </c>
      <c r="I389" s="72" t="s">
        <v>29</v>
      </c>
      <c r="J389" s="37" t="s">
        <v>28</v>
      </c>
      <c r="K389" s="39">
        <v>1.05</v>
      </c>
      <c r="L389" s="277">
        <f>K389*34.3/1000</f>
        <v>3.6014999999999998E-2</v>
      </c>
      <c r="M389" s="53"/>
      <c r="N389" s="73">
        <f t="shared" ref="N389:N395" si="126">M389*L389</f>
        <v>0</v>
      </c>
    </row>
    <row r="390" spans="1:14" x14ac:dyDescent="0.35">
      <c r="A390" s="37" t="s">
        <v>22</v>
      </c>
      <c r="B390" s="63">
        <v>783</v>
      </c>
      <c r="C390" s="47" t="s">
        <v>506</v>
      </c>
      <c r="D390" s="74"/>
      <c r="E390" s="37"/>
      <c r="F390" s="39"/>
      <c r="G390" s="39"/>
      <c r="H390" s="39"/>
      <c r="I390" s="72" t="s">
        <v>44</v>
      </c>
      <c r="J390" s="37" t="s">
        <v>28</v>
      </c>
      <c r="K390" s="39">
        <v>1.05</v>
      </c>
      <c r="L390" s="277">
        <f>K390*19.25/1000</f>
        <v>2.0212500000000001E-2</v>
      </c>
      <c r="M390" s="53"/>
      <c r="N390" s="73">
        <f t="shared" si="126"/>
        <v>0</v>
      </c>
    </row>
    <row r="391" spans="1:14" x14ac:dyDescent="0.35">
      <c r="A391" s="37" t="s">
        <v>22</v>
      </c>
      <c r="B391" s="63">
        <v>784</v>
      </c>
      <c r="C391" s="47" t="s">
        <v>507</v>
      </c>
      <c r="D391" s="74"/>
      <c r="E391" s="37"/>
      <c r="F391" s="39"/>
      <c r="G391" s="39"/>
      <c r="H391" s="39"/>
      <c r="I391" s="72" t="s">
        <v>31</v>
      </c>
      <c r="J391" s="37" t="s">
        <v>28</v>
      </c>
      <c r="K391" s="39">
        <v>1.05</v>
      </c>
      <c r="L391" s="277">
        <f>K391*58.48/1000</f>
        <v>6.1403999999999993E-2</v>
      </c>
      <c r="M391" s="53"/>
      <c r="N391" s="73">
        <f t="shared" si="126"/>
        <v>0</v>
      </c>
    </row>
    <row r="392" spans="1:14" x14ac:dyDescent="0.35">
      <c r="A392" s="37" t="s">
        <v>22</v>
      </c>
      <c r="B392" s="63">
        <v>785</v>
      </c>
      <c r="C392" s="47" t="s">
        <v>508</v>
      </c>
      <c r="D392" s="74"/>
      <c r="E392" s="37"/>
      <c r="F392" s="39"/>
      <c r="G392" s="39"/>
      <c r="H392" s="39"/>
      <c r="I392" s="72" t="s">
        <v>54</v>
      </c>
      <c r="J392" s="37" t="s">
        <v>28</v>
      </c>
      <c r="K392" s="39">
        <v>1.05</v>
      </c>
      <c r="L392" s="277">
        <f>K392*25.37/1000</f>
        <v>2.6638499999999999E-2</v>
      </c>
      <c r="M392" s="53"/>
      <c r="N392" s="73">
        <f t="shared" si="126"/>
        <v>0</v>
      </c>
    </row>
    <row r="393" spans="1:14" x14ac:dyDescent="0.35">
      <c r="A393" s="37" t="s">
        <v>22</v>
      </c>
      <c r="B393" s="63">
        <v>786</v>
      </c>
      <c r="C393" s="47" t="s">
        <v>509</v>
      </c>
      <c r="D393" s="74"/>
      <c r="E393" s="37"/>
      <c r="F393" s="39"/>
      <c r="G393" s="39"/>
      <c r="H393" s="39"/>
      <c r="I393" s="72" t="s">
        <v>35</v>
      </c>
      <c r="J393" s="37" t="s">
        <v>28</v>
      </c>
      <c r="K393" s="39">
        <v>1.05</v>
      </c>
      <c r="L393" s="277">
        <f>K393*15.09/1000</f>
        <v>1.5844500000000001E-2</v>
      </c>
      <c r="M393" s="53"/>
      <c r="N393" s="73">
        <f t="shared" si="126"/>
        <v>0</v>
      </c>
    </row>
    <row r="394" spans="1:14" x14ac:dyDescent="0.35">
      <c r="A394" s="37" t="s">
        <v>22</v>
      </c>
      <c r="B394" s="63">
        <v>787</v>
      </c>
      <c r="C394" s="47" t="s">
        <v>510</v>
      </c>
      <c r="D394" s="74"/>
      <c r="E394" s="37"/>
      <c r="F394" s="39"/>
      <c r="G394" s="39"/>
      <c r="H394" s="39"/>
      <c r="I394" s="72" t="s">
        <v>37</v>
      </c>
      <c r="J394" s="37" t="s">
        <v>28</v>
      </c>
      <c r="K394" s="39">
        <v>1.05</v>
      </c>
      <c r="L394" s="277">
        <f>20/1000*K394*F389</f>
        <v>3.2043900000000001E-3</v>
      </c>
      <c r="M394" s="53"/>
      <c r="N394" s="73">
        <f t="shared" si="126"/>
        <v>0</v>
      </c>
    </row>
    <row r="395" spans="1:14" x14ac:dyDescent="0.35">
      <c r="A395" s="37" t="s">
        <v>22</v>
      </c>
      <c r="B395" s="63">
        <v>788</v>
      </c>
      <c r="C395" s="47" t="s">
        <v>511</v>
      </c>
      <c r="D395" s="74" t="s">
        <v>460</v>
      </c>
      <c r="E395" s="37" t="s">
        <v>19</v>
      </c>
      <c r="F395" s="277">
        <v>1.21</v>
      </c>
      <c r="G395" s="53"/>
      <c r="H395" s="149">
        <f t="shared" ref="H395" si="127">G395*F395</f>
        <v>0</v>
      </c>
      <c r="I395" s="72" t="s">
        <v>461</v>
      </c>
      <c r="J395" s="37" t="s">
        <v>19</v>
      </c>
      <c r="K395" s="39">
        <v>1.05</v>
      </c>
      <c r="L395" s="277">
        <f>K395*F395</f>
        <v>1.2705</v>
      </c>
      <c r="M395" s="53"/>
      <c r="N395" s="73">
        <f t="shared" si="126"/>
        <v>0</v>
      </c>
    </row>
    <row r="396" spans="1:14" x14ac:dyDescent="0.35">
      <c r="A396" s="37" t="s">
        <v>22</v>
      </c>
      <c r="B396" s="63">
        <v>789</v>
      </c>
      <c r="C396" s="47" t="s">
        <v>512</v>
      </c>
      <c r="D396" s="278" t="s">
        <v>513</v>
      </c>
      <c r="E396" s="279" t="s">
        <v>91</v>
      </c>
      <c r="F396" s="280">
        <v>1</v>
      </c>
      <c r="G396" s="280"/>
      <c r="H396" s="280"/>
      <c r="I396" s="281"/>
      <c r="J396" s="279"/>
      <c r="K396" s="280"/>
      <c r="L396" s="280"/>
      <c r="M396" s="280"/>
      <c r="N396" s="282"/>
    </row>
    <row r="397" spans="1:14" ht="16" x14ac:dyDescent="0.4">
      <c r="A397" s="37" t="s">
        <v>22</v>
      </c>
      <c r="B397" s="63">
        <v>790</v>
      </c>
      <c r="C397" s="47" t="s">
        <v>514</v>
      </c>
      <c r="D397" s="74" t="s">
        <v>452</v>
      </c>
      <c r="E397" s="37" t="s">
        <v>25</v>
      </c>
      <c r="F397" s="39">
        <f>(2.538*1.33+1.46*1.33)*2</f>
        <v>10.634679999999999</v>
      </c>
      <c r="G397" s="253"/>
      <c r="H397" s="39">
        <f t="shared" ref="H397:H398" si="128">G397*F397</f>
        <v>0</v>
      </c>
      <c r="I397" s="191"/>
      <c r="J397" s="37"/>
      <c r="K397" s="39"/>
      <c r="L397" s="39"/>
      <c r="M397" s="39"/>
      <c r="N397" s="90"/>
    </row>
    <row r="398" spans="1:14" ht="29" x14ac:dyDescent="0.35">
      <c r="A398" s="37" t="s">
        <v>22</v>
      </c>
      <c r="B398" s="63">
        <v>791</v>
      </c>
      <c r="C398" s="47" t="s">
        <v>515</v>
      </c>
      <c r="D398" s="71" t="s">
        <v>27</v>
      </c>
      <c r="E398" s="37" t="s">
        <v>28</v>
      </c>
      <c r="F398" s="277">
        <f>155.5/1000</f>
        <v>0.1555</v>
      </c>
      <c r="G398" s="53"/>
      <c r="H398" s="39">
        <f t="shared" si="128"/>
        <v>0</v>
      </c>
      <c r="I398" s="72" t="s">
        <v>29</v>
      </c>
      <c r="J398" s="37" t="s">
        <v>28</v>
      </c>
      <c r="K398" s="39">
        <v>1.05</v>
      </c>
      <c r="L398" s="277">
        <f>K398*44.1/1000</f>
        <v>4.6305000000000006E-2</v>
      </c>
      <c r="M398" s="53"/>
      <c r="N398" s="73">
        <f t="shared" ref="N398:N404" si="129">M398*L398</f>
        <v>0</v>
      </c>
    </row>
    <row r="399" spans="1:14" x14ac:dyDescent="0.35">
      <c r="A399" s="37" t="s">
        <v>22</v>
      </c>
      <c r="B399" s="63">
        <v>792</v>
      </c>
      <c r="C399" s="47" t="s">
        <v>516</v>
      </c>
      <c r="D399" s="74"/>
      <c r="E399" s="37"/>
      <c r="F399" s="39"/>
      <c r="G399" s="39"/>
      <c r="H399" s="39"/>
      <c r="I399" s="72" t="s">
        <v>44</v>
      </c>
      <c r="J399" s="37" t="s">
        <v>28</v>
      </c>
      <c r="K399" s="39">
        <v>1.05</v>
      </c>
      <c r="L399" s="277">
        <f>K399*15.32/1000</f>
        <v>1.6086000000000003E-2</v>
      </c>
      <c r="M399" s="53"/>
      <c r="N399" s="73">
        <f t="shared" si="129"/>
        <v>0</v>
      </c>
    </row>
    <row r="400" spans="1:14" x14ac:dyDescent="0.35">
      <c r="A400" s="37" t="s">
        <v>22</v>
      </c>
      <c r="B400" s="63">
        <v>793</v>
      </c>
      <c r="C400" s="47" t="s">
        <v>517</v>
      </c>
      <c r="D400" s="74"/>
      <c r="E400" s="37"/>
      <c r="F400" s="39"/>
      <c r="G400" s="39"/>
      <c r="H400" s="39"/>
      <c r="I400" s="72" t="s">
        <v>31</v>
      </c>
      <c r="J400" s="37" t="s">
        <v>28</v>
      </c>
      <c r="K400" s="39">
        <v>1.05</v>
      </c>
      <c r="L400" s="277">
        <f>K400*57.34/1000</f>
        <v>6.0207000000000011E-2</v>
      </c>
      <c r="M400" s="53"/>
      <c r="N400" s="73">
        <f t="shared" si="129"/>
        <v>0</v>
      </c>
    </row>
    <row r="401" spans="1:14" x14ac:dyDescent="0.35">
      <c r="A401" s="37" t="s">
        <v>22</v>
      </c>
      <c r="B401" s="63">
        <v>794</v>
      </c>
      <c r="C401" s="47" t="s">
        <v>518</v>
      </c>
      <c r="D401" s="74"/>
      <c r="E401" s="37"/>
      <c r="F401" s="39"/>
      <c r="G401" s="39"/>
      <c r="H401" s="39"/>
      <c r="I401" s="72" t="s">
        <v>54</v>
      </c>
      <c r="J401" s="37" t="s">
        <v>28</v>
      </c>
      <c r="K401" s="39">
        <v>1.05</v>
      </c>
      <c r="L401" s="277">
        <f>K401*24.19/1000</f>
        <v>2.5399500000000002E-2</v>
      </c>
      <c r="M401" s="53"/>
      <c r="N401" s="73">
        <f t="shared" si="129"/>
        <v>0</v>
      </c>
    </row>
    <row r="402" spans="1:14" x14ac:dyDescent="0.35">
      <c r="A402" s="37" t="s">
        <v>22</v>
      </c>
      <c r="B402" s="63">
        <v>795</v>
      </c>
      <c r="C402" s="47" t="s">
        <v>519</v>
      </c>
      <c r="D402" s="74"/>
      <c r="E402" s="37"/>
      <c r="F402" s="39"/>
      <c r="G402" s="39"/>
      <c r="H402" s="39"/>
      <c r="I402" s="72" t="s">
        <v>35</v>
      </c>
      <c r="J402" s="37" t="s">
        <v>28</v>
      </c>
      <c r="K402" s="39">
        <v>1.05</v>
      </c>
      <c r="L402" s="277">
        <f>K402*14.55/1000</f>
        <v>1.5277500000000001E-2</v>
      </c>
      <c r="M402" s="53"/>
      <c r="N402" s="73">
        <f t="shared" si="129"/>
        <v>0</v>
      </c>
    </row>
    <row r="403" spans="1:14" x14ac:dyDescent="0.35">
      <c r="A403" s="37" t="s">
        <v>22</v>
      </c>
      <c r="B403" s="63">
        <v>796</v>
      </c>
      <c r="C403" s="47" t="s">
        <v>520</v>
      </c>
      <c r="D403" s="74"/>
      <c r="E403" s="37"/>
      <c r="F403" s="39"/>
      <c r="G403" s="39"/>
      <c r="H403" s="39"/>
      <c r="I403" s="72" t="s">
        <v>37</v>
      </c>
      <c r="J403" s="37" t="s">
        <v>28</v>
      </c>
      <c r="K403" s="39">
        <v>1.05</v>
      </c>
      <c r="L403" s="277">
        <f>20/1000*K403*F398</f>
        <v>3.2655000000000002E-3</v>
      </c>
      <c r="M403" s="53"/>
      <c r="N403" s="73">
        <f t="shared" si="129"/>
        <v>0</v>
      </c>
    </row>
    <row r="404" spans="1:14" ht="15" thickBot="1" x14ac:dyDescent="0.4">
      <c r="A404" s="37" t="s">
        <v>22</v>
      </c>
      <c r="B404" s="63">
        <v>797</v>
      </c>
      <c r="C404" s="283" t="s">
        <v>521</v>
      </c>
      <c r="D404" s="123" t="s">
        <v>460</v>
      </c>
      <c r="E404" s="92" t="s">
        <v>19</v>
      </c>
      <c r="F404" s="284">
        <v>1.2</v>
      </c>
      <c r="G404" s="54"/>
      <c r="H404" s="103">
        <f t="shared" ref="H404" si="130">G404*F404</f>
        <v>0</v>
      </c>
      <c r="I404" s="95" t="s">
        <v>461</v>
      </c>
      <c r="J404" s="92" t="s">
        <v>19</v>
      </c>
      <c r="K404" s="93">
        <v>1.05</v>
      </c>
      <c r="L404" s="284">
        <f>K404*F404</f>
        <v>1.26</v>
      </c>
      <c r="M404" s="53"/>
      <c r="N404" s="96">
        <f t="shared" si="129"/>
        <v>0</v>
      </c>
    </row>
    <row r="405" spans="1:14" ht="21.5" thickBot="1" x14ac:dyDescent="0.55000000000000004">
      <c r="A405" s="124"/>
      <c r="B405" s="63">
        <v>798</v>
      </c>
      <c r="C405" s="126"/>
      <c r="D405" s="127" t="s">
        <v>86</v>
      </c>
      <c r="E405" s="128"/>
      <c r="F405" s="129"/>
      <c r="G405" s="129"/>
      <c r="H405" s="133">
        <f>SUM(H343:H404)</f>
        <v>0</v>
      </c>
      <c r="I405" s="131"/>
      <c r="J405" s="132"/>
      <c r="K405" s="133"/>
      <c r="L405" s="133"/>
      <c r="M405" s="133"/>
      <c r="N405" s="157">
        <f>SUM(N343:N404)</f>
        <v>0</v>
      </c>
    </row>
    <row r="406" spans="1:14" ht="26.5" thickBot="1" x14ac:dyDescent="0.65">
      <c r="A406" s="55"/>
      <c r="B406" s="63">
        <v>799</v>
      </c>
      <c r="C406" s="285" t="s">
        <v>522</v>
      </c>
      <c r="D406" s="286" t="s">
        <v>523</v>
      </c>
      <c r="E406" s="287"/>
      <c r="F406" s="43"/>
      <c r="G406" s="43"/>
      <c r="H406" s="43"/>
      <c r="I406" s="287"/>
      <c r="J406" s="287"/>
      <c r="K406" s="288"/>
      <c r="L406" s="288"/>
      <c r="M406" s="288"/>
      <c r="N406" s="288"/>
    </row>
    <row r="407" spans="1:14" x14ac:dyDescent="0.35">
      <c r="A407" s="37" t="s">
        <v>524</v>
      </c>
      <c r="B407" s="63">
        <v>800</v>
      </c>
      <c r="C407" s="289" t="s">
        <v>525</v>
      </c>
      <c r="D407" s="65" t="s">
        <v>526</v>
      </c>
      <c r="E407" s="66" t="s">
        <v>19</v>
      </c>
      <c r="F407" s="290">
        <f>285.4*5.3</f>
        <v>1512.62</v>
      </c>
      <c r="G407" s="175"/>
      <c r="H407" s="67">
        <f t="shared" ref="H407:H410" si="131">G407*F407</f>
        <v>0</v>
      </c>
      <c r="I407" s="44"/>
      <c r="J407" s="44"/>
      <c r="K407" s="45"/>
      <c r="L407" s="45"/>
      <c r="M407" s="67"/>
      <c r="N407" s="46"/>
    </row>
    <row r="408" spans="1:14" x14ac:dyDescent="0.35">
      <c r="A408" s="37" t="s">
        <v>524</v>
      </c>
      <c r="B408" s="63">
        <v>801</v>
      </c>
      <c r="C408" s="47" t="s">
        <v>527</v>
      </c>
      <c r="D408" s="74" t="s">
        <v>528</v>
      </c>
      <c r="E408" s="37" t="s">
        <v>19</v>
      </c>
      <c r="F408" s="39">
        <f>285.4*0.3</f>
        <v>85.61999999999999</v>
      </c>
      <c r="G408" s="53"/>
      <c r="H408" s="39">
        <f t="shared" si="131"/>
        <v>0</v>
      </c>
      <c r="I408" s="48"/>
      <c r="J408" s="48"/>
      <c r="K408" s="49"/>
      <c r="L408" s="49"/>
      <c r="M408" s="39"/>
      <c r="N408" s="50"/>
    </row>
    <row r="409" spans="1:14" x14ac:dyDescent="0.35">
      <c r="A409" s="37" t="s">
        <v>524</v>
      </c>
      <c r="B409" s="63">
        <v>802</v>
      </c>
      <c r="C409" s="47" t="s">
        <v>529</v>
      </c>
      <c r="D409" s="74" t="s">
        <v>530</v>
      </c>
      <c r="E409" s="37" t="s">
        <v>19</v>
      </c>
      <c r="F409" s="291">
        <f>0.03*F407</f>
        <v>45.378599999999992</v>
      </c>
      <c r="G409" s="53"/>
      <c r="H409" s="39">
        <f t="shared" si="131"/>
        <v>0</v>
      </c>
      <c r="I409" s="48"/>
      <c r="J409" s="48"/>
      <c r="K409" s="49"/>
      <c r="L409" s="49"/>
      <c r="M409" s="42"/>
      <c r="N409" s="50"/>
    </row>
    <row r="410" spans="1:14" ht="43.5" x14ac:dyDescent="0.35">
      <c r="A410" s="37" t="s">
        <v>531</v>
      </c>
      <c r="B410" s="63">
        <v>803</v>
      </c>
      <c r="C410" s="47" t="s">
        <v>532</v>
      </c>
      <c r="D410" s="71" t="s">
        <v>533</v>
      </c>
      <c r="E410" s="37" t="s">
        <v>19</v>
      </c>
      <c r="F410" s="39">
        <f>300*0.3</f>
        <v>90</v>
      </c>
      <c r="G410" s="53"/>
      <c r="H410" s="39">
        <f t="shared" si="131"/>
        <v>0</v>
      </c>
      <c r="I410" s="72" t="s">
        <v>534</v>
      </c>
      <c r="J410" s="39" t="s">
        <v>19</v>
      </c>
      <c r="K410" s="39">
        <v>1.01</v>
      </c>
      <c r="L410" s="53">
        <f>K410*F410/0.25*0.1</f>
        <v>36.360000000000007</v>
      </c>
      <c r="M410" s="53"/>
      <c r="N410" s="73">
        <f>M410*L410</f>
        <v>0</v>
      </c>
    </row>
    <row r="411" spans="1:14" ht="21" x14ac:dyDescent="0.5">
      <c r="A411" s="37" t="s">
        <v>531</v>
      </c>
      <c r="B411" s="63">
        <v>804</v>
      </c>
      <c r="C411" s="47" t="s">
        <v>535</v>
      </c>
      <c r="D411" s="71"/>
      <c r="E411" s="37"/>
      <c r="F411" s="152"/>
      <c r="G411" s="39"/>
      <c r="H411" s="292"/>
      <c r="I411" s="72" t="s">
        <v>536</v>
      </c>
      <c r="J411" s="39" t="s">
        <v>19</v>
      </c>
      <c r="K411" s="39">
        <v>1.01</v>
      </c>
      <c r="L411" s="53">
        <f>K411*F410/0.25*0.15</f>
        <v>54.54</v>
      </c>
      <c r="M411" s="53"/>
      <c r="N411" s="73">
        <f>M411*L411</f>
        <v>0</v>
      </c>
    </row>
    <row r="412" spans="1:14" x14ac:dyDescent="0.35">
      <c r="A412" s="37" t="s">
        <v>524</v>
      </c>
      <c r="B412" s="63">
        <v>805</v>
      </c>
      <c r="C412" s="47" t="s">
        <v>537</v>
      </c>
      <c r="D412" s="71" t="s">
        <v>538</v>
      </c>
      <c r="E412" s="37" t="s">
        <v>19</v>
      </c>
      <c r="F412" s="39">
        <f>F407</f>
        <v>1512.62</v>
      </c>
      <c r="G412" s="39"/>
      <c r="H412" s="39"/>
      <c r="I412" s="72" t="s">
        <v>539</v>
      </c>
      <c r="J412" s="37" t="s">
        <v>540</v>
      </c>
      <c r="K412" s="39"/>
      <c r="L412" s="39">
        <f>F412/(15)</f>
        <v>100.84133333333332</v>
      </c>
      <c r="M412" s="53"/>
      <c r="N412" s="293">
        <f t="shared" ref="N412:N414" si="132">M412*L412</f>
        <v>0</v>
      </c>
    </row>
    <row r="413" spans="1:14" x14ac:dyDescent="0.35">
      <c r="A413" s="37" t="s">
        <v>531</v>
      </c>
      <c r="B413" s="63">
        <v>806</v>
      </c>
      <c r="C413" s="47" t="s">
        <v>541</v>
      </c>
      <c r="D413" s="71" t="s">
        <v>538</v>
      </c>
      <c r="E413" s="37" t="s">
        <v>19</v>
      </c>
      <c r="F413" s="39">
        <f>F407</f>
        <v>1512.62</v>
      </c>
      <c r="G413" s="39"/>
      <c r="H413" s="39"/>
      <c r="I413" s="72" t="s">
        <v>542</v>
      </c>
      <c r="J413" s="37" t="s">
        <v>540</v>
      </c>
      <c r="K413" s="39"/>
      <c r="L413" s="39">
        <f t="shared" ref="L413:L414" si="133">F413/(15)</f>
        <v>100.84133333333332</v>
      </c>
      <c r="M413" s="53"/>
      <c r="N413" s="293">
        <f t="shared" si="132"/>
        <v>0</v>
      </c>
    </row>
    <row r="414" spans="1:14" x14ac:dyDescent="0.35">
      <c r="A414" s="37" t="s">
        <v>531</v>
      </c>
      <c r="B414" s="63">
        <v>807</v>
      </c>
      <c r="C414" s="47" t="s">
        <v>543</v>
      </c>
      <c r="D414" s="71" t="s">
        <v>538</v>
      </c>
      <c r="E414" s="37" t="s">
        <v>19</v>
      </c>
      <c r="F414" s="39">
        <f>F407</f>
        <v>1512.62</v>
      </c>
      <c r="G414" s="39"/>
      <c r="H414" s="39"/>
      <c r="I414" s="72" t="s">
        <v>544</v>
      </c>
      <c r="J414" s="37" t="s">
        <v>540</v>
      </c>
      <c r="K414" s="39"/>
      <c r="L414" s="39">
        <f t="shared" si="133"/>
        <v>100.84133333333332</v>
      </c>
      <c r="M414" s="53"/>
      <c r="N414" s="293">
        <f t="shared" si="132"/>
        <v>0</v>
      </c>
    </row>
    <row r="415" spans="1:14" ht="29" x14ac:dyDescent="0.35">
      <c r="A415" s="37" t="s">
        <v>531</v>
      </c>
      <c r="B415" s="63">
        <v>808</v>
      </c>
      <c r="C415" s="47" t="s">
        <v>545</v>
      </c>
      <c r="D415" s="294" t="s">
        <v>546</v>
      </c>
      <c r="E415" s="37" t="s">
        <v>19</v>
      </c>
      <c r="F415" s="39">
        <f>F407-F410-F418-F425-F430-F436</f>
        <v>1345.1200000000001</v>
      </c>
      <c r="G415" s="53"/>
      <c r="H415" s="39">
        <f t="shared" ref="H415:H419" si="134">G415*F415</f>
        <v>0</v>
      </c>
      <c r="I415" s="48"/>
      <c r="J415" s="48"/>
      <c r="K415" s="49"/>
      <c r="L415" s="51"/>
      <c r="M415" s="53"/>
      <c r="N415" s="50"/>
    </row>
    <row r="416" spans="1:14" ht="18.5" x14ac:dyDescent="0.45">
      <c r="A416" s="37" t="s">
        <v>22</v>
      </c>
      <c r="B416" s="63">
        <v>809</v>
      </c>
      <c r="C416" s="47" t="s">
        <v>547</v>
      </c>
      <c r="D416" s="295" t="s">
        <v>548</v>
      </c>
      <c r="E416" s="37"/>
      <c r="F416" s="39"/>
      <c r="G416" s="39"/>
      <c r="H416" s="39"/>
      <c r="I416" s="48"/>
      <c r="J416" s="48"/>
      <c r="K416" s="49"/>
      <c r="L416" s="51"/>
      <c r="M416" s="53"/>
      <c r="N416" s="50"/>
    </row>
    <row r="417" spans="1:14" x14ac:dyDescent="0.35">
      <c r="A417" s="37" t="s">
        <v>22</v>
      </c>
      <c r="B417" s="63">
        <v>810</v>
      </c>
      <c r="C417" s="47" t="s">
        <v>549</v>
      </c>
      <c r="D417" s="74" t="s">
        <v>24</v>
      </c>
      <c r="E417" s="37" t="s">
        <v>25</v>
      </c>
      <c r="F417" s="39"/>
      <c r="G417" s="53"/>
      <c r="H417" s="39">
        <f t="shared" si="134"/>
        <v>0</v>
      </c>
      <c r="I417" s="48"/>
      <c r="J417" s="48"/>
      <c r="K417" s="49"/>
      <c r="L417" s="51"/>
      <c r="M417" s="53"/>
      <c r="N417" s="50"/>
    </row>
    <row r="418" spans="1:14" ht="29" x14ac:dyDescent="0.35">
      <c r="A418" s="37" t="s">
        <v>550</v>
      </c>
      <c r="B418" s="63">
        <v>811</v>
      </c>
      <c r="C418" s="47" t="s">
        <v>551</v>
      </c>
      <c r="D418" s="71" t="s">
        <v>552</v>
      </c>
      <c r="E418" s="37" t="s">
        <v>19</v>
      </c>
      <c r="F418" s="113">
        <v>6.1</v>
      </c>
      <c r="G418" s="53"/>
      <c r="H418" s="39">
        <f t="shared" si="134"/>
        <v>0</v>
      </c>
      <c r="I418" s="72" t="s">
        <v>553</v>
      </c>
      <c r="J418" s="37" t="s">
        <v>19</v>
      </c>
      <c r="K418" s="39">
        <v>1.05</v>
      </c>
      <c r="L418" s="53">
        <f>K418*F418</f>
        <v>6.4050000000000002</v>
      </c>
      <c r="M418" s="53"/>
      <c r="N418" s="73">
        <f>M418*L418</f>
        <v>0</v>
      </c>
    </row>
    <row r="419" spans="1:14" ht="29" x14ac:dyDescent="0.35">
      <c r="A419" s="37" t="s">
        <v>22</v>
      </c>
      <c r="B419" s="63">
        <v>812</v>
      </c>
      <c r="C419" s="47" t="s">
        <v>554</v>
      </c>
      <c r="D419" s="71" t="s">
        <v>27</v>
      </c>
      <c r="E419" s="37" t="s">
        <v>28</v>
      </c>
      <c r="F419" s="113">
        <f>5848.97/1000</f>
        <v>5.8489700000000004</v>
      </c>
      <c r="G419" s="53"/>
      <c r="H419" s="39">
        <f t="shared" si="134"/>
        <v>0</v>
      </c>
      <c r="I419" s="72" t="s">
        <v>29</v>
      </c>
      <c r="J419" s="37" t="s">
        <v>28</v>
      </c>
      <c r="K419" s="39">
        <v>1.05</v>
      </c>
      <c r="L419" s="53">
        <f>K419*(2577.77)/1000</f>
        <v>2.7066585000000001</v>
      </c>
      <c r="M419" s="53"/>
      <c r="N419" s="73">
        <f t="shared" ref="N419:N427" si="135">M419*L419</f>
        <v>0</v>
      </c>
    </row>
    <row r="420" spans="1:14" ht="21" x14ac:dyDescent="0.5">
      <c r="A420" s="37" t="s">
        <v>22</v>
      </c>
      <c r="B420" s="63">
        <v>813</v>
      </c>
      <c r="C420" s="47" t="s">
        <v>555</v>
      </c>
      <c r="D420" s="71"/>
      <c r="E420" s="37"/>
      <c r="F420" s="39"/>
      <c r="G420" s="39"/>
      <c r="H420" s="292"/>
      <c r="I420" s="72" t="s">
        <v>44</v>
      </c>
      <c r="J420" s="37" t="s">
        <v>28</v>
      </c>
      <c r="K420" s="39">
        <v>1.05</v>
      </c>
      <c r="L420" s="53">
        <f>K420*(3007.64)/1000</f>
        <v>3.1580219999999999</v>
      </c>
      <c r="M420" s="53"/>
      <c r="N420" s="73">
        <f t="shared" si="135"/>
        <v>0</v>
      </c>
    </row>
    <row r="421" spans="1:14" ht="21" x14ac:dyDescent="0.5">
      <c r="A421" s="37" t="s">
        <v>22</v>
      </c>
      <c r="B421" s="63">
        <v>814</v>
      </c>
      <c r="C421" s="47" t="s">
        <v>556</v>
      </c>
      <c r="D421" s="71"/>
      <c r="E421" s="37"/>
      <c r="F421" s="39"/>
      <c r="G421" s="39"/>
      <c r="H421" s="292"/>
      <c r="I421" s="72" t="s">
        <v>31</v>
      </c>
      <c r="J421" s="37" t="s">
        <v>28</v>
      </c>
      <c r="K421" s="39">
        <v>1.05</v>
      </c>
      <c r="L421" s="53">
        <f>K421*(68.98)/1000</f>
        <v>7.2429000000000007E-2</v>
      </c>
      <c r="M421" s="53"/>
      <c r="N421" s="73">
        <f t="shared" si="135"/>
        <v>0</v>
      </c>
    </row>
    <row r="422" spans="1:14" ht="21" x14ac:dyDescent="0.5">
      <c r="A422" s="37" t="s">
        <v>22</v>
      </c>
      <c r="B422" s="63">
        <v>815</v>
      </c>
      <c r="C422" s="47" t="s">
        <v>557</v>
      </c>
      <c r="D422" s="71"/>
      <c r="E422" s="37"/>
      <c r="F422" s="39"/>
      <c r="G422" s="39"/>
      <c r="H422" s="292"/>
      <c r="I422" s="72" t="s">
        <v>54</v>
      </c>
      <c r="J422" s="37" t="s">
        <v>28</v>
      </c>
      <c r="K422" s="39">
        <v>1.05</v>
      </c>
      <c r="L422" s="53">
        <f>K422*(63.96)/1000</f>
        <v>6.7157999999999995E-2</v>
      </c>
      <c r="M422" s="53"/>
      <c r="N422" s="73">
        <f t="shared" si="135"/>
        <v>0</v>
      </c>
    </row>
    <row r="423" spans="1:14" ht="21" x14ac:dyDescent="0.5">
      <c r="A423" s="37" t="s">
        <v>22</v>
      </c>
      <c r="B423" s="63">
        <v>816</v>
      </c>
      <c r="C423" s="47" t="s">
        <v>558</v>
      </c>
      <c r="D423" s="71"/>
      <c r="E423" s="37"/>
      <c r="F423" s="39"/>
      <c r="G423" s="39"/>
      <c r="H423" s="292"/>
      <c r="I423" s="72" t="s">
        <v>35</v>
      </c>
      <c r="J423" s="37" t="s">
        <v>28</v>
      </c>
      <c r="K423" s="39">
        <v>1.05</v>
      </c>
      <c r="L423" s="53">
        <f>K423*(130.62)/1000</f>
        <v>0.13715100000000002</v>
      </c>
      <c r="M423" s="53"/>
      <c r="N423" s="73">
        <f t="shared" si="135"/>
        <v>0</v>
      </c>
    </row>
    <row r="424" spans="1:14" ht="21" x14ac:dyDescent="0.5">
      <c r="A424" s="37" t="s">
        <v>22</v>
      </c>
      <c r="B424" s="63">
        <v>817</v>
      </c>
      <c r="C424" s="47" t="s">
        <v>559</v>
      </c>
      <c r="D424" s="71"/>
      <c r="E424" s="37"/>
      <c r="F424" s="39"/>
      <c r="G424" s="39"/>
      <c r="H424" s="292"/>
      <c r="I424" s="72" t="s">
        <v>560</v>
      </c>
      <c r="J424" s="37" t="s">
        <v>28</v>
      </c>
      <c r="K424" s="39">
        <v>1.05</v>
      </c>
      <c r="L424" s="53">
        <f>K424*20/1000*F419</f>
        <v>0.12282837000000002</v>
      </c>
      <c r="M424" s="53"/>
      <c r="N424" s="73">
        <f t="shared" si="135"/>
        <v>0</v>
      </c>
    </row>
    <row r="425" spans="1:14" x14ac:dyDescent="0.35">
      <c r="A425" s="37" t="s">
        <v>22</v>
      </c>
      <c r="B425" s="63">
        <v>818</v>
      </c>
      <c r="C425" s="47" t="s">
        <v>561</v>
      </c>
      <c r="D425" s="74" t="s">
        <v>562</v>
      </c>
      <c r="E425" s="37" t="s">
        <v>19</v>
      </c>
      <c r="F425" s="113">
        <v>50</v>
      </c>
      <c r="G425" s="53"/>
      <c r="H425" s="39">
        <f t="shared" ref="H425:H431" si="136">G425*F425</f>
        <v>0</v>
      </c>
      <c r="I425" s="72" t="s">
        <v>40</v>
      </c>
      <c r="J425" s="37" t="s">
        <v>19</v>
      </c>
      <c r="K425" s="39">
        <v>1.05</v>
      </c>
      <c r="L425" s="53">
        <f>K425*F425</f>
        <v>52.5</v>
      </c>
      <c r="M425" s="53"/>
      <c r="N425" s="73">
        <f t="shared" si="135"/>
        <v>0</v>
      </c>
    </row>
    <row r="426" spans="1:14" ht="29" x14ac:dyDescent="0.35">
      <c r="A426" s="37" t="s">
        <v>563</v>
      </c>
      <c r="B426" s="63">
        <v>819</v>
      </c>
      <c r="C426" s="47" t="s">
        <v>564</v>
      </c>
      <c r="D426" s="294" t="s">
        <v>565</v>
      </c>
      <c r="E426" s="37" t="s">
        <v>25</v>
      </c>
      <c r="F426" s="113">
        <f>104.45*2+0.3*4.9+0.3*1.28</f>
        <v>210.75399999999999</v>
      </c>
      <c r="G426" s="53"/>
      <c r="H426" s="39">
        <f t="shared" si="136"/>
        <v>0</v>
      </c>
      <c r="I426" s="296" t="s">
        <v>566</v>
      </c>
      <c r="J426" s="37" t="s">
        <v>215</v>
      </c>
      <c r="K426" s="39">
        <v>0.3</v>
      </c>
      <c r="L426" s="53">
        <f>K426*F426</f>
        <v>63.226199999999992</v>
      </c>
      <c r="M426" s="53"/>
      <c r="N426" s="73">
        <f t="shared" si="135"/>
        <v>0</v>
      </c>
    </row>
    <row r="427" spans="1:14" x14ac:dyDescent="0.35">
      <c r="A427" s="37" t="s">
        <v>563</v>
      </c>
      <c r="B427" s="63">
        <v>820</v>
      </c>
      <c r="C427" s="47" t="s">
        <v>567</v>
      </c>
      <c r="D427" s="294"/>
      <c r="E427" s="37"/>
      <c r="F427" s="39"/>
      <c r="G427" s="53"/>
      <c r="H427" s="39"/>
      <c r="I427" s="79" t="s">
        <v>568</v>
      </c>
      <c r="J427" s="76" t="s">
        <v>25</v>
      </c>
      <c r="K427" s="77">
        <f>1.1*2</f>
        <v>2.2000000000000002</v>
      </c>
      <c r="L427" s="297">
        <f>K427*F426</f>
        <v>463.65880000000004</v>
      </c>
      <c r="M427" s="297"/>
      <c r="N427" s="73">
        <f t="shared" si="135"/>
        <v>0</v>
      </c>
    </row>
    <row r="428" spans="1:14" ht="18.5" x14ac:dyDescent="0.45">
      <c r="A428" s="37" t="s">
        <v>22</v>
      </c>
      <c r="B428" s="63">
        <v>821</v>
      </c>
      <c r="C428" s="47" t="s">
        <v>569</v>
      </c>
      <c r="D428" s="295" t="s">
        <v>570</v>
      </c>
      <c r="E428" s="37"/>
      <c r="F428" s="39"/>
      <c r="G428" s="53"/>
      <c r="H428" s="39"/>
      <c r="I428" s="48"/>
      <c r="J428" s="48"/>
      <c r="K428" s="49"/>
      <c r="L428" s="51"/>
      <c r="M428" s="53"/>
      <c r="N428" s="52"/>
    </row>
    <row r="429" spans="1:14" x14ac:dyDescent="0.35">
      <c r="A429" s="37" t="s">
        <v>22</v>
      </c>
      <c r="B429" s="63">
        <v>822</v>
      </c>
      <c r="C429" s="47" t="s">
        <v>571</v>
      </c>
      <c r="D429" s="74" t="s">
        <v>24</v>
      </c>
      <c r="E429" s="37" t="s">
        <v>25</v>
      </c>
      <c r="F429" s="39"/>
      <c r="G429" s="53"/>
      <c r="H429" s="39">
        <f t="shared" si="136"/>
        <v>0</v>
      </c>
      <c r="I429" s="48"/>
      <c r="J429" s="48"/>
      <c r="K429" s="49"/>
      <c r="L429" s="51"/>
      <c r="M429" s="53"/>
      <c r="N429" s="50"/>
    </row>
    <row r="430" spans="1:14" ht="29" x14ac:dyDescent="0.35">
      <c r="A430" s="37" t="s">
        <v>550</v>
      </c>
      <c r="B430" s="63">
        <v>823</v>
      </c>
      <c r="C430" s="47" t="s">
        <v>572</v>
      </c>
      <c r="D430" s="71" t="s">
        <v>552</v>
      </c>
      <c r="E430" s="37" t="s">
        <v>19</v>
      </c>
      <c r="F430" s="113">
        <v>1.6</v>
      </c>
      <c r="G430" s="53"/>
      <c r="H430" s="39">
        <f t="shared" si="136"/>
        <v>0</v>
      </c>
      <c r="I430" s="72" t="s">
        <v>553</v>
      </c>
      <c r="J430" s="37" t="s">
        <v>19</v>
      </c>
      <c r="K430" s="39">
        <v>1.05</v>
      </c>
      <c r="L430" s="53">
        <f>K430*F430</f>
        <v>1.6800000000000002</v>
      </c>
      <c r="M430" s="53"/>
      <c r="N430" s="73">
        <f>M430*L430</f>
        <v>0</v>
      </c>
    </row>
    <row r="431" spans="1:14" ht="29" x14ac:dyDescent="0.35">
      <c r="A431" s="37" t="s">
        <v>22</v>
      </c>
      <c r="B431" s="63">
        <v>824</v>
      </c>
      <c r="C431" s="47" t="s">
        <v>573</v>
      </c>
      <c r="D431" s="71" t="s">
        <v>27</v>
      </c>
      <c r="E431" s="37" t="s">
        <v>28</v>
      </c>
      <c r="F431" s="113">
        <v>2.3268200000000001</v>
      </c>
      <c r="G431" s="53"/>
      <c r="H431" s="39">
        <f t="shared" si="136"/>
        <v>0</v>
      </c>
      <c r="I431" s="72" t="s">
        <v>29</v>
      </c>
      <c r="J431" s="37" t="s">
        <v>28</v>
      </c>
      <c r="K431" s="39">
        <v>1.05</v>
      </c>
      <c r="L431" s="53">
        <f>K431*(1004.93)/1000</f>
        <v>1.0551765</v>
      </c>
      <c r="M431" s="53"/>
      <c r="N431" s="73">
        <f t="shared" ref="N431:N438" si="137">M431*L431</f>
        <v>0</v>
      </c>
    </row>
    <row r="432" spans="1:14" ht="21" x14ac:dyDescent="0.5">
      <c r="A432" s="37" t="s">
        <v>22</v>
      </c>
      <c r="B432" s="63">
        <v>825</v>
      </c>
      <c r="C432" s="47" t="s">
        <v>574</v>
      </c>
      <c r="D432" s="71"/>
      <c r="E432" s="37"/>
      <c r="F432" s="39"/>
      <c r="G432" s="53"/>
      <c r="H432" s="292"/>
      <c r="I432" s="72" t="s">
        <v>44</v>
      </c>
      <c r="J432" s="37" t="s">
        <v>28</v>
      </c>
      <c r="K432" s="39">
        <v>1.05</v>
      </c>
      <c r="L432" s="53">
        <f>K432*(1244.46)/1000</f>
        <v>1.306683</v>
      </c>
      <c r="M432" s="53"/>
      <c r="N432" s="73">
        <f t="shared" si="137"/>
        <v>0</v>
      </c>
    </row>
    <row r="433" spans="1:14" ht="21" x14ac:dyDescent="0.5">
      <c r="A433" s="37" t="s">
        <v>22</v>
      </c>
      <c r="B433" s="63">
        <v>826</v>
      </c>
      <c r="C433" s="47" t="s">
        <v>575</v>
      </c>
      <c r="D433" s="71"/>
      <c r="E433" s="37"/>
      <c r="F433" s="39"/>
      <c r="G433" s="53"/>
      <c r="H433" s="292"/>
      <c r="I433" s="72" t="s">
        <v>31</v>
      </c>
      <c r="J433" s="37" t="s">
        <v>28</v>
      </c>
      <c r="K433" s="39">
        <v>1.05</v>
      </c>
      <c r="L433" s="53">
        <f>K433*19.25/1000</f>
        <v>2.0212500000000001E-2</v>
      </c>
      <c r="M433" s="53"/>
      <c r="N433" s="73">
        <f t="shared" si="137"/>
        <v>0</v>
      </c>
    </row>
    <row r="434" spans="1:14" ht="21" x14ac:dyDescent="0.5">
      <c r="A434" s="37" t="s">
        <v>22</v>
      </c>
      <c r="B434" s="63">
        <v>827</v>
      </c>
      <c r="C434" s="47" t="s">
        <v>576</v>
      </c>
      <c r="D434" s="71"/>
      <c r="E434" s="37"/>
      <c r="F434" s="39"/>
      <c r="G434" s="53"/>
      <c r="H434" s="292"/>
      <c r="I434" s="72" t="s">
        <v>35</v>
      </c>
      <c r="J434" s="37" t="s">
        <v>28</v>
      </c>
      <c r="K434" s="39">
        <v>1.05</v>
      </c>
      <c r="L434" s="53">
        <f>K434*(58.18)/1000</f>
        <v>6.1089000000000004E-2</v>
      </c>
      <c r="M434" s="53"/>
      <c r="N434" s="73">
        <f t="shared" si="137"/>
        <v>0</v>
      </c>
    </row>
    <row r="435" spans="1:14" ht="21" x14ac:dyDescent="0.5">
      <c r="A435" s="37" t="s">
        <v>22</v>
      </c>
      <c r="B435" s="63">
        <v>828</v>
      </c>
      <c r="C435" s="47" t="s">
        <v>577</v>
      </c>
      <c r="D435" s="71"/>
      <c r="E435" s="37"/>
      <c r="F435" s="39"/>
      <c r="G435" s="53"/>
      <c r="H435" s="292"/>
      <c r="I435" s="72" t="s">
        <v>560</v>
      </c>
      <c r="J435" s="37" t="s">
        <v>28</v>
      </c>
      <c r="K435" s="39">
        <v>1.05</v>
      </c>
      <c r="L435" s="53">
        <f>K435*20/1000*F431</f>
        <v>4.8863220000000006E-2</v>
      </c>
      <c r="M435" s="53"/>
      <c r="N435" s="73">
        <f t="shared" si="137"/>
        <v>0</v>
      </c>
    </row>
    <row r="436" spans="1:14" x14ac:dyDescent="0.35">
      <c r="A436" s="37" t="s">
        <v>22</v>
      </c>
      <c r="B436" s="63">
        <v>829</v>
      </c>
      <c r="C436" s="47" t="s">
        <v>578</v>
      </c>
      <c r="D436" s="74" t="s">
        <v>562</v>
      </c>
      <c r="E436" s="37" t="s">
        <v>19</v>
      </c>
      <c r="F436" s="113">
        <v>19.8</v>
      </c>
      <c r="G436" s="53"/>
      <c r="H436" s="39">
        <f t="shared" ref="H436:H437" si="138">G436*F436</f>
        <v>0</v>
      </c>
      <c r="I436" s="72" t="s">
        <v>40</v>
      </c>
      <c r="J436" s="37" t="s">
        <v>19</v>
      </c>
      <c r="K436" s="39">
        <v>1.05</v>
      </c>
      <c r="L436" s="53">
        <f>K436*F436</f>
        <v>20.790000000000003</v>
      </c>
      <c r="M436" s="53"/>
      <c r="N436" s="73">
        <f t="shared" si="137"/>
        <v>0</v>
      </c>
    </row>
    <row r="437" spans="1:14" ht="29" x14ac:dyDescent="0.35">
      <c r="A437" s="37" t="s">
        <v>563</v>
      </c>
      <c r="B437" s="63">
        <v>830</v>
      </c>
      <c r="C437" s="47" t="s">
        <v>579</v>
      </c>
      <c r="D437" s="71" t="s">
        <v>565</v>
      </c>
      <c r="E437" s="37" t="s">
        <v>25</v>
      </c>
      <c r="F437" s="113">
        <f>26.6*2+0.3*4.68+0.3*2</f>
        <v>55.204000000000001</v>
      </c>
      <c r="G437" s="53"/>
      <c r="H437" s="39">
        <f t="shared" si="138"/>
        <v>0</v>
      </c>
      <c r="I437" s="296" t="s">
        <v>566</v>
      </c>
      <c r="J437" s="37" t="s">
        <v>215</v>
      </c>
      <c r="K437" s="39">
        <v>0.3</v>
      </c>
      <c r="L437" s="53">
        <f>K437*F437</f>
        <v>16.561199999999999</v>
      </c>
      <c r="M437" s="53"/>
      <c r="N437" s="73">
        <f t="shared" si="137"/>
        <v>0</v>
      </c>
    </row>
    <row r="438" spans="1:14" ht="15" thickBot="1" x14ac:dyDescent="0.4">
      <c r="A438" s="37" t="s">
        <v>563</v>
      </c>
      <c r="B438" s="63">
        <v>831</v>
      </c>
      <c r="C438" s="47" t="s">
        <v>580</v>
      </c>
      <c r="D438" s="294"/>
      <c r="E438" s="76"/>
      <c r="F438" s="77"/>
      <c r="G438" s="297"/>
      <c r="H438" s="77"/>
      <c r="I438" s="79" t="s">
        <v>568</v>
      </c>
      <c r="J438" s="76" t="s">
        <v>25</v>
      </c>
      <c r="K438" s="77">
        <f>1.1*2</f>
        <v>2.2000000000000002</v>
      </c>
      <c r="L438" s="297">
        <f>K438*F437</f>
        <v>121.44880000000001</v>
      </c>
      <c r="M438" s="297"/>
      <c r="N438" s="80">
        <f t="shared" si="137"/>
        <v>0</v>
      </c>
    </row>
    <row r="439" spans="1:14" ht="21.5" thickBot="1" x14ac:dyDescent="0.55000000000000004">
      <c r="A439" s="298"/>
      <c r="B439" s="63">
        <v>832</v>
      </c>
      <c r="C439" s="126"/>
      <c r="D439" s="127" t="s">
        <v>86</v>
      </c>
      <c r="E439" s="128"/>
      <c r="F439" s="129"/>
      <c r="G439" s="129"/>
      <c r="H439" s="133">
        <f>SUM(H407:H438)</f>
        <v>0</v>
      </c>
      <c r="I439" s="131"/>
      <c r="J439" s="132"/>
      <c r="K439" s="133"/>
      <c r="L439" s="133"/>
      <c r="M439" s="133"/>
      <c r="N439" s="157">
        <f>SUM(N407:N438)</f>
        <v>0</v>
      </c>
    </row>
    <row r="440" spans="1:14" ht="26.5" thickBot="1" x14ac:dyDescent="0.65">
      <c r="A440" s="218"/>
      <c r="B440" s="63">
        <v>838</v>
      </c>
      <c r="C440" s="285" t="s">
        <v>582</v>
      </c>
      <c r="D440" s="286" t="s">
        <v>583</v>
      </c>
      <c r="E440" s="287"/>
      <c r="F440" s="43"/>
      <c r="G440" s="43"/>
      <c r="H440" s="43"/>
      <c r="I440" s="287"/>
      <c r="J440" s="287"/>
      <c r="K440" s="288"/>
      <c r="L440" s="288"/>
      <c r="M440" s="288"/>
      <c r="N440" s="288"/>
    </row>
    <row r="441" spans="1:14" x14ac:dyDescent="0.35">
      <c r="A441" s="37" t="s">
        <v>524</v>
      </c>
      <c r="B441" s="63">
        <v>839</v>
      </c>
      <c r="C441" s="289" t="s">
        <v>584</v>
      </c>
      <c r="D441" s="65" t="s">
        <v>526</v>
      </c>
      <c r="E441" s="66" t="s">
        <v>19</v>
      </c>
      <c r="F441" s="67">
        <f>20.22*5.8*3</f>
        <v>351.82799999999997</v>
      </c>
      <c r="G441" s="175"/>
      <c r="H441" s="67">
        <f t="shared" ref="H441:H443" si="139">G441*F441</f>
        <v>0</v>
      </c>
      <c r="I441" s="44"/>
      <c r="J441" s="44"/>
      <c r="K441" s="45"/>
      <c r="L441" s="45"/>
      <c r="M441" s="67"/>
      <c r="N441" s="46"/>
    </row>
    <row r="442" spans="1:14" x14ac:dyDescent="0.35">
      <c r="A442" s="37" t="s">
        <v>524</v>
      </c>
      <c r="B442" s="63">
        <v>840</v>
      </c>
      <c r="C442" s="301" t="s">
        <v>585</v>
      </c>
      <c r="D442" s="74" t="s">
        <v>528</v>
      </c>
      <c r="E442" s="37" t="s">
        <v>19</v>
      </c>
      <c r="F442" s="39">
        <f>1.07*F441</f>
        <v>376.45596</v>
      </c>
      <c r="G442" s="53"/>
      <c r="H442" s="39">
        <f t="shared" si="139"/>
        <v>0</v>
      </c>
      <c r="I442" s="48"/>
      <c r="J442" s="48"/>
      <c r="K442" s="49"/>
      <c r="L442" s="49"/>
      <c r="M442" s="39"/>
      <c r="N442" s="50"/>
    </row>
    <row r="443" spans="1:14" x14ac:dyDescent="0.35">
      <c r="A443" s="37" t="s">
        <v>524</v>
      </c>
      <c r="B443" s="63">
        <v>841</v>
      </c>
      <c r="C443" s="299" t="s">
        <v>586</v>
      </c>
      <c r="D443" s="74" t="s">
        <v>530</v>
      </c>
      <c r="E443" s="37" t="s">
        <v>19</v>
      </c>
      <c r="F443" s="291">
        <f>0.03*F441</f>
        <v>10.554839999999999</v>
      </c>
      <c r="G443" s="53"/>
      <c r="H443" s="39">
        <f t="shared" si="139"/>
        <v>0</v>
      </c>
      <c r="I443" s="48"/>
      <c r="J443" s="48"/>
      <c r="K443" s="49"/>
      <c r="L443" s="49"/>
      <c r="M443" s="39"/>
      <c r="N443" s="50"/>
    </row>
    <row r="444" spans="1:14" x14ac:dyDescent="0.35">
      <c r="A444" s="37" t="s">
        <v>524</v>
      </c>
      <c r="B444" s="63">
        <v>842</v>
      </c>
      <c r="C444" s="301" t="s">
        <v>587</v>
      </c>
      <c r="D444" s="71" t="s">
        <v>538</v>
      </c>
      <c r="E444" s="37" t="s">
        <v>19</v>
      </c>
      <c r="F444" s="39">
        <f>F441</f>
        <v>351.82799999999997</v>
      </c>
      <c r="G444" s="39"/>
      <c r="H444" s="39"/>
      <c r="I444" s="72" t="s">
        <v>539</v>
      </c>
      <c r="J444" s="37" t="s">
        <v>540</v>
      </c>
      <c r="K444" s="39"/>
      <c r="L444" s="39">
        <f>F444/(15)</f>
        <v>23.455199999999998</v>
      </c>
      <c r="M444" s="53"/>
      <c r="N444" s="293">
        <f t="shared" ref="N444:N446" si="140">M444*L444</f>
        <v>0</v>
      </c>
    </row>
    <row r="445" spans="1:14" x14ac:dyDescent="0.35">
      <c r="A445" s="37" t="s">
        <v>531</v>
      </c>
      <c r="B445" s="63">
        <v>843</v>
      </c>
      <c r="C445" s="299" t="s">
        <v>588</v>
      </c>
      <c r="D445" s="71" t="s">
        <v>538</v>
      </c>
      <c r="E445" s="37" t="s">
        <v>19</v>
      </c>
      <c r="F445" s="39">
        <f>F441</f>
        <v>351.82799999999997</v>
      </c>
      <c r="G445" s="39"/>
      <c r="H445" s="39"/>
      <c r="I445" s="72" t="s">
        <v>542</v>
      </c>
      <c r="J445" s="37" t="s">
        <v>540</v>
      </c>
      <c r="K445" s="39"/>
      <c r="L445" s="39">
        <f t="shared" ref="L445:L446" si="141">F445/(15)</f>
        <v>23.455199999999998</v>
      </c>
      <c r="M445" s="53"/>
      <c r="N445" s="293">
        <f t="shared" si="140"/>
        <v>0</v>
      </c>
    </row>
    <row r="446" spans="1:14" x14ac:dyDescent="0.35">
      <c r="A446" s="37" t="s">
        <v>531</v>
      </c>
      <c r="B446" s="63">
        <v>844</v>
      </c>
      <c r="C446" s="301" t="s">
        <v>589</v>
      </c>
      <c r="D446" s="71" t="s">
        <v>538</v>
      </c>
      <c r="E446" s="37" t="s">
        <v>19</v>
      </c>
      <c r="F446" s="39">
        <f>F441</f>
        <v>351.82799999999997</v>
      </c>
      <c r="G446" s="39"/>
      <c r="H446" s="39"/>
      <c r="I446" s="72" t="s">
        <v>544</v>
      </c>
      <c r="J446" s="37" t="s">
        <v>540</v>
      </c>
      <c r="K446" s="39"/>
      <c r="L446" s="39">
        <f t="shared" si="141"/>
        <v>23.455199999999998</v>
      </c>
      <c r="M446" s="53"/>
      <c r="N446" s="293">
        <f t="shared" si="140"/>
        <v>0</v>
      </c>
    </row>
    <row r="447" spans="1:14" ht="29" x14ac:dyDescent="0.35">
      <c r="A447" s="37" t="s">
        <v>531</v>
      </c>
      <c r="B447" s="63">
        <v>845</v>
      </c>
      <c r="C447" s="299" t="s">
        <v>590</v>
      </c>
      <c r="D447" s="71" t="s">
        <v>546</v>
      </c>
      <c r="E447" s="37" t="s">
        <v>19</v>
      </c>
      <c r="F447" s="39">
        <f>F441-F456-F465-F472</f>
        <v>328.77800000000002</v>
      </c>
      <c r="G447" s="53"/>
      <c r="H447" s="39">
        <f t="shared" ref="H447:H456" si="142">G447*F447</f>
        <v>0</v>
      </c>
      <c r="I447" s="48"/>
      <c r="J447" s="48"/>
      <c r="K447" s="49"/>
      <c r="L447" s="49"/>
      <c r="M447" s="39"/>
      <c r="N447" s="50"/>
    </row>
    <row r="448" spans="1:14" ht="16" x14ac:dyDescent="0.4">
      <c r="A448" s="37" t="s">
        <v>22</v>
      </c>
      <c r="B448" s="63">
        <v>846</v>
      </c>
      <c r="C448" s="301" t="s">
        <v>591</v>
      </c>
      <c r="D448" s="302" t="s">
        <v>592</v>
      </c>
      <c r="E448" s="37"/>
      <c r="F448" s="39"/>
      <c r="G448" s="39"/>
      <c r="H448" s="39"/>
      <c r="I448" s="48"/>
      <c r="J448" s="48"/>
      <c r="K448" s="49"/>
      <c r="L448" s="49"/>
      <c r="M448" s="39"/>
      <c r="N448" s="50"/>
    </row>
    <row r="449" spans="1:14" ht="29" x14ac:dyDescent="0.35">
      <c r="A449" s="37" t="s">
        <v>22</v>
      </c>
      <c r="B449" s="63">
        <v>847</v>
      </c>
      <c r="C449" s="299" t="s">
        <v>593</v>
      </c>
      <c r="D449" s="71" t="s">
        <v>27</v>
      </c>
      <c r="E449" s="37" t="s">
        <v>28</v>
      </c>
      <c r="F449" s="39">
        <f>(1392.98+167.11)/1000</f>
        <v>1.5600900000000002</v>
      </c>
      <c r="G449" s="53"/>
      <c r="H449" s="39">
        <f t="shared" si="142"/>
        <v>0</v>
      </c>
      <c r="I449" s="72" t="s">
        <v>29</v>
      </c>
      <c r="J449" s="37" t="s">
        <v>28</v>
      </c>
      <c r="K449" s="39">
        <v>1.05</v>
      </c>
      <c r="L449" s="53">
        <f>K449*(255.01)/1000</f>
        <v>0.26776049999999996</v>
      </c>
      <c r="M449" s="53"/>
      <c r="N449" s="73">
        <f t="shared" ref="N449:N456" si="143">M449*L449</f>
        <v>0</v>
      </c>
    </row>
    <row r="450" spans="1:14" x14ac:dyDescent="0.35">
      <c r="A450" s="37" t="s">
        <v>22</v>
      </c>
      <c r="B450" s="63">
        <v>848</v>
      </c>
      <c r="C450" s="301" t="s">
        <v>594</v>
      </c>
      <c r="D450" s="71"/>
      <c r="E450" s="37"/>
      <c r="F450" s="39"/>
      <c r="G450" s="39"/>
      <c r="H450" s="39"/>
      <c r="I450" s="72" t="s">
        <v>44</v>
      </c>
      <c r="J450" s="37" t="s">
        <v>28</v>
      </c>
      <c r="K450" s="39">
        <v>1.05</v>
      </c>
      <c r="L450" s="53">
        <f>K450*(508.29)/1000</f>
        <v>0.53370450000000003</v>
      </c>
      <c r="M450" s="53"/>
      <c r="N450" s="73">
        <f t="shared" si="143"/>
        <v>0</v>
      </c>
    </row>
    <row r="451" spans="1:14" x14ac:dyDescent="0.35">
      <c r="A451" s="37" t="s">
        <v>22</v>
      </c>
      <c r="B451" s="63">
        <v>849</v>
      </c>
      <c r="C451" s="299" t="s">
        <v>595</v>
      </c>
      <c r="D451" s="71"/>
      <c r="E451" s="37"/>
      <c r="F451" s="39"/>
      <c r="G451" s="39"/>
      <c r="H451" s="39"/>
      <c r="I451" s="72" t="s">
        <v>31</v>
      </c>
      <c r="J451" s="37" t="s">
        <v>28</v>
      </c>
      <c r="K451" s="39">
        <v>1.05</v>
      </c>
      <c r="L451" s="53">
        <f>K451*(561.57+140.06)/1000</f>
        <v>0.73671150000000007</v>
      </c>
      <c r="M451" s="53"/>
      <c r="N451" s="73">
        <f t="shared" si="143"/>
        <v>0</v>
      </c>
    </row>
    <row r="452" spans="1:14" x14ac:dyDescent="0.35">
      <c r="A452" s="37" t="s">
        <v>22</v>
      </c>
      <c r="B452" s="63">
        <v>850</v>
      </c>
      <c r="C452" s="301" t="s">
        <v>596</v>
      </c>
      <c r="D452" s="71"/>
      <c r="E452" s="37"/>
      <c r="F452" s="39"/>
      <c r="G452" s="39"/>
      <c r="H452" s="39"/>
      <c r="I452" s="72" t="s">
        <v>33</v>
      </c>
      <c r="J452" s="37" t="s">
        <v>28</v>
      </c>
      <c r="K452" s="39">
        <v>1.05</v>
      </c>
      <c r="L452" s="53">
        <f>K452*(27.05)/1000</f>
        <v>2.8402500000000004E-2</v>
      </c>
      <c r="M452" s="53"/>
      <c r="N452" s="73">
        <f t="shared" si="143"/>
        <v>0</v>
      </c>
    </row>
    <row r="453" spans="1:14" x14ac:dyDescent="0.35">
      <c r="A453" s="37" t="s">
        <v>22</v>
      </c>
      <c r="B453" s="63">
        <v>851</v>
      </c>
      <c r="C453" s="299" t="s">
        <v>597</v>
      </c>
      <c r="D453" s="71"/>
      <c r="E453" s="37"/>
      <c r="F453" s="39"/>
      <c r="G453" s="39"/>
      <c r="H453" s="39"/>
      <c r="I453" s="72" t="s">
        <v>54</v>
      </c>
      <c r="J453" s="37" t="s">
        <v>28</v>
      </c>
      <c r="K453" s="39">
        <v>1.05</v>
      </c>
      <c r="L453" s="53">
        <f>K453*20.86/1000</f>
        <v>2.1902999999999999E-2</v>
      </c>
      <c r="M453" s="53"/>
      <c r="N453" s="73">
        <f t="shared" si="143"/>
        <v>0</v>
      </c>
    </row>
    <row r="454" spans="1:14" x14ac:dyDescent="0.35">
      <c r="A454" s="37" t="s">
        <v>22</v>
      </c>
      <c r="B454" s="63">
        <v>852</v>
      </c>
      <c r="C454" s="301" t="s">
        <v>598</v>
      </c>
      <c r="D454" s="71"/>
      <c r="E454" s="37"/>
      <c r="F454" s="39"/>
      <c r="G454" s="39"/>
      <c r="H454" s="39"/>
      <c r="I454" s="72" t="s">
        <v>35</v>
      </c>
      <c r="J454" s="37" t="s">
        <v>28</v>
      </c>
      <c r="K454" s="39">
        <v>1.05</v>
      </c>
      <c r="L454" s="53">
        <f>K454*(47.25)/1000</f>
        <v>4.9612500000000004E-2</v>
      </c>
      <c r="M454" s="53"/>
      <c r="N454" s="73">
        <f t="shared" si="143"/>
        <v>0</v>
      </c>
    </row>
    <row r="455" spans="1:14" x14ac:dyDescent="0.35">
      <c r="A455" s="37" t="s">
        <v>22</v>
      </c>
      <c r="B455" s="63">
        <v>853</v>
      </c>
      <c r="C455" s="299" t="s">
        <v>599</v>
      </c>
      <c r="D455" s="71"/>
      <c r="E455" s="37"/>
      <c r="F455" s="39"/>
      <c r="G455" s="39"/>
      <c r="H455" s="39"/>
      <c r="I455" s="72" t="s">
        <v>560</v>
      </c>
      <c r="J455" s="37" t="s">
        <v>28</v>
      </c>
      <c r="K455" s="39">
        <v>1.05</v>
      </c>
      <c r="L455" s="53">
        <f>K455*20/1000*F449</f>
        <v>3.2761890000000009E-2</v>
      </c>
      <c r="M455" s="53"/>
      <c r="N455" s="73">
        <f t="shared" si="143"/>
        <v>0</v>
      </c>
    </row>
    <row r="456" spans="1:14" x14ac:dyDescent="0.35">
      <c r="A456" s="37" t="s">
        <v>22</v>
      </c>
      <c r="B456" s="63">
        <v>854</v>
      </c>
      <c r="C456" s="301" t="s">
        <v>600</v>
      </c>
      <c r="D456" s="74" t="s">
        <v>601</v>
      </c>
      <c r="E456" s="37" t="s">
        <v>19</v>
      </c>
      <c r="F456" s="39">
        <v>14.4</v>
      </c>
      <c r="G456" s="53"/>
      <c r="H456" s="39">
        <f t="shared" si="142"/>
        <v>0</v>
      </c>
      <c r="I456" s="72" t="s">
        <v>40</v>
      </c>
      <c r="J456" s="37" t="s">
        <v>19</v>
      </c>
      <c r="K456" s="39">
        <v>1.05</v>
      </c>
      <c r="L456" s="53">
        <f>K456*F456</f>
        <v>15.120000000000001</v>
      </c>
      <c r="M456" s="53"/>
      <c r="N456" s="73">
        <f t="shared" si="143"/>
        <v>0</v>
      </c>
    </row>
    <row r="457" spans="1:14" ht="16" x14ac:dyDescent="0.4">
      <c r="A457" s="37" t="s">
        <v>22</v>
      </c>
      <c r="B457" s="63">
        <v>855</v>
      </c>
      <c r="C457" s="299" t="s">
        <v>602</v>
      </c>
      <c r="D457" s="302" t="s">
        <v>603</v>
      </c>
      <c r="E457" s="37"/>
      <c r="F457" s="39"/>
      <c r="G457" s="39"/>
      <c r="H457" s="39"/>
      <c r="I457" s="72"/>
      <c r="J457" s="37"/>
      <c r="K457" s="39"/>
      <c r="L457" s="53"/>
      <c r="M457" s="53"/>
      <c r="N457" s="73"/>
    </row>
    <row r="458" spans="1:14" ht="29" x14ac:dyDescent="0.35">
      <c r="A458" s="37" t="s">
        <v>22</v>
      </c>
      <c r="B458" s="63">
        <v>856</v>
      </c>
      <c r="C458" s="301" t="s">
        <v>604</v>
      </c>
      <c r="D458" s="71" t="s">
        <v>27</v>
      </c>
      <c r="E458" s="37" t="s">
        <v>28</v>
      </c>
      <c r="F458" s="39">
        <f>(857.94+99.82)/1000</f>
        <v>0.95775999999999994</v>
      </c>
      <c r="G458" s="53"/>
      <c r="H458" s="39">
        <f t="shared" ref="H458" si="144">G458*F458</f>
        <v>0</v>
      </c>
      <c r="I458" s="72" t="s">
        <v>29</v>
      </c>
      <c r="J458" s="37" t="s">
        <v>28</v>
      </c>
      <c r="K458" s="39">
        <v>1.05</v>
      </c>
      <c r="L458" s="53">
        <f>K458*(207.8)/1000</f>
        <v>0.21819000000000002</v>
      </c>
      <c r="M458" s="53"/>
      <c r="N458" s="73">
        <f t="shared" ref="N458:N465" si="145">M458*L458</f>
        <v>0</v>
      </c>
    </row>
    <row r="459" spans="1:14" x14ac:dyDescent="0.35">
      <c r="A459" s="37" t="s">
        <v>22</v>
      </c>
      <c r="B459" s="63">
        <v>857</v>
      </c>
      <c r="C459" s="299" t="s">
        <v>605</v>
      </c>
      <c r="D459" s="71"/>
      <c r="E459" s="37"/>
      <c r="F459" s="39"/>
      <c r="G459" s="39"/>
      <c r="H459" s="39"/>
      <c r="I459" s="72" t="s">
        <v>44</v>
      </c>
      <c r="J459" s="37" t="s">
        <v>28</v>
      </c>
      <c r="K459" s="39">
        <v>1.05</v>
      </c>
      <c r="L459" s="53">
        <f>K459*(262.14)/1000</f>
        <v>0.27524700000000002</v>
      </c>
      <c r="M459" s="53"/>
      <c r="N459" s="73">
        <f t="shared" si="145"/>
        <v>0</v>
      </c>
    </row>
    <row r="460" spans="1:14" x14ac:dyDescent="0.35">
      <c r="A460" s="37" t="s">
        <v>22</v>
      </c>
      <c r="B460" s="63">
        <v>858</v>
      </c>
      <c r="C460" s="301" t="s">
        <v>606</v>
      </c>
      <c r="D460" s="71"/>
      <c r="E460" s="37"/>
      <c r="F460" s="39"/>
      <c r="G460" s="39"/>
      <c r="H460" s="39"/>
      <c r="I460" s="72" t="s">
        <v>31</v>
      </c>
      <c r="J460" s="37" t="s">
        <v>28</v>
      </c>
      <c r="K460" s="39">
        <v>1.05</v>
      </c>
      <c r="L460" s="53">
        <f>K460*(357.56+80.83)/1000</f>
        <v>0.46030950000000004</v>
      </c>
      <c r="M460" s="53"/>
      <c r="N460" s="73">
        <f t="shared" si="145"/>
        <v>0</v>
      </c>
    </row>
    <row r="461" spans="1:14" x14ac:dyDescent="0.35">
      <c r="A461" s="37" t="s">
        <v>22</v>
      </c>
      <c r="B461" s="63">
        <v>859</v>
      </c>
      <c r="C461" s="299" t="s">
        <v>607</v>
      </c>
      <c r="D461" s="71"/>
      <c r="E461" s="37"/>
      <c r="F461" s="39"/>
      <c r="G461" s="39"/>
      <c r="H461" s="39"/>
      <c r="I461" s="72" t="s">
        <v>33</v>
      </c>
      <c r="J461" s="37" t="s">
        <v>28</v>
      </c>
      <c r="K461" s="39">
        <v>1.05</v>
      </c>
      <c r="L461" s="53">
        <f>K461*(18.99)/1000</f>
        <v>1.9939499999999999E-2</v>
      </c>
      <c r="M461" s="53"/>
      <c r="N461" s="73">
        <f t="shared" si="145"/>
        <v>0</v>
      </c>
    </row>
    <row r="462" spans="1:14" x14ac:dyDescent="0.35">
      <c r="A462" s="37" t="s">
        <v>22</v>
      </c>
      <c r="B462" s="63">
        <v>860</v>
      </c>
      <c r="C462" s="301" t="s">
        <v>608</v>
      </c>
      <c r="D462" s="71"/>
      <c r="E462" s="37"/>
      <c r="F462" s="39"/>
      <c r="G462" s="39"/>
      <c r="H462" s="39"/>
      <c r="I462" s="72" t="s">
        <v>54</v>
      </c>
      <c r="J462" s="37" t="s">
        <v>28</v>
      </c>
      <c r="K462" s="39">
        <v>1.05</v>
      </c>
      <c r="L462" s="53">
        <f>K462*5.59/1000</f>
        <v>5.8695000000000006E-3</v>
      </c>
      <c r="M462" s="53"/>
      <c r="N462" s="73">
        <f t="shared" si="145"/>
        <v>0</v>
      </c>
    </row>
    <row r="463" spans="1:14" x14ac:dyDescent="0.35">
      <c r="A463" s="37" t="s">
        <v>22</v>
      </c>
      <c r="B463" s="63">
        <v>861</v>
      </c>
      <c r="C463" s="299" t="s">
        <v>609</v>
      </c>
      <c r="D463" s="71"/>
      <c r="E463" s="37"/>
      <c r="F463" s="39"/>
      <c r="G463" s="39"/>
      <c r="H463" s="39"/>
      <c r="I463" s="72" t="s">
        <v>35</v>
      </c>
      <c r="J463" s="37" t="s">
        <v>28</v>
      </c>
      <c r="K463" s="39">
        <v>1.05</v>
      </c>
      <c r="L463" s="53">
        <f>K463*(24.85)/1000</f>
        <v>2.6092500000000001E-2</v>
      </c>
      <c r="M463" s="53"/>
      <c r="N463" s="73">
        <f t="shared" si="145"/>
        <v>0</v>
      </c>
    </row>
    <row r="464" spans="1:14" x14ac:dyDescent="0.35">
      <c r="A464" s="37" t="s">
        <v>22</v>
      </c>
      <c r="B464" s="63">
        <v>862</v>
      </c>
      <c r="C464" s="301" t="s">
        <v>610</v>
      </c>
      <c r="D464" s="71"/>
      <c r="E464" s="37"/>
      <c r="F464" s="39"/>
      <c r="G464" s="39"/>
      <c r="H464" s="39"/>
      <c r="I464" s="72" t="s">
        <v>560</v>
      </c>
      <c r="J464" s="37" t="s">
        <v>28</v>
      </c>
      <c r="K464" s="39">
        <v>1.05</v>
      </c>
      <c r="L464" s="53">
        <f>K464*20/1000*F458</f>
        <v>2.0112959999999999E-2</v>
      </c>
      <c r="M464" s="53"/>
      <c r="N464" s="73">
        <f t="shared" si="145"/>
        <v>0</v>
      </c>
    </row>
    <row r="465" spans="1:14" x14ac:dyDescent="0.35">
      <c r="A465" s="37" t="s">
        <v>22</v>
      </c>
      <c r="B465" s="63">
        <v>863</v>
      </c>
      <c r="C465" s="299" t="s">
        <v>611</v>
      </c>
      <c r="D465" s="74" t="s">
        <v>601</v>
      </c>
      <c r="E465" s="37" t="s">
        <v>19</v>
      </c>
      <c r="F465" s="39">
        <v>7.2</v>
      </c>
      <c r="G465" s="53"/>
      <c r="H465" s="39">
        <f t="shared" ref="H465" si="146">G465*F465</f>
        <v>0</v>
      </c>
      <c r="I465" s="72" t="s">
        <v>40</v>
      </c>
      <c r="J465" s="37" t="s">
        <v>19</v>
      </c>
      <c r="K465" s="39">
        <v>1.05</v>
      </c>
      <c r="L465" s="53">
        <f>K465*F465</f>
        <v>7.5600000000000005</v>
      </c>
      <c r="M465" s="53"/>
      <c r="N465" s="73">
        <f t="shared" si="145"/>
        <v>0</v>
      </c>
    </row>
    <row r="466" spans="1:14" ht="16" x14ac:dyDescent="0.4">
      <c r="A466" s="37" t="s">
        <v>22</v>
      </c>
      <c r="B466" s="63">
        <v>864</v>
      </c>
      <c r="C466" s="301" t="s">
        <v>612</v>
      </c>
      <c r="D466" s="302" t="s">
        <v>613</v>
      </c>
      <c r="E466" s="37"/>
      <c r="F466" s="39"/>
      <c r="G466" s="39"/>
      <c r="H466" s="39"/>
      <c r="I466" s="72"/>
      <c r="J466" s="37"/>
      <c r="K466" s="39"/>
      <c r="L466" s="53"/>
      <c r="M466" s="53"/>
      <c r="N466" s="73"/>
    </row>
    <row r="467" spans="1:14" ht="29" x14ac:dyDescent="0.35">
      <c r="A467" s="37" t="s">
        <v>22</v>
      </c>
      <c r="B467" s="63">
        <v>865</v>
      </c>
      <c r="C467" s="299" t="s">
        <v>614</v>
      </c>
      <c r="D467" s="71" t="s">
        <v>27</v>
      </c>
      <c r="E467" s="37" t="s">
        <v>28</v>
      </c>
      <c r="F467" s="39">
        <f>(857.94+99.82)/1000</f>
        <v>0.95775999999999994</v>
      </c>
      <c r="G467" s="53"/>
      <c r="H467" s="39">
        <f t="shared" ref="H467" si="147">G467*F467</f>
        <v>0</v>
      </c>
      <c r="I467" s="72" t="s">
        <v>44</v>
      </c>
      <c r="J467" s="37" t="s">
        <v>28</v>
      </c>
      <c r="K467" s="39">
        <v>1.05</v>
      </c>
      <c r="L467" s="53">
        <f>K467*(50.24)/1000</f>
        <v>5.2752E-2</v>
      </c>
      <c r="M467" s="53"/>
      <c r="N467" s="73">
        <f>M467*L467</f>
        <v>0</v>
      </c>
    </row>
    <row r="468" spans="1:14" x14ac:dyDescent="0.35">
      <c r="A468" s="37" t="s">
        <v>22</v>
      </c>
      <c r="B468" s="63">
        <v>866</v>
      </c>
      <c r="C468" s="301" t="s">
        <v>615</v>
      </c>
      <c r="D468" s="71"/>
      <c r="E468" s="37"/>
      <c r="F468" s="39"/>
      <c r="G468" s="39"/>
      <c r="H468" s="39"/>
      <c r="I468" s="72" t="s">
        <v>31</v>
      </c>
      <c r="J468" s="37" t="s">
        <v>28</v>
      </c>
      <c r="K468" s="39">
        <v>1.05</v>
      </c>
      <c r="L468" s="53">
        <f>K468*(77.89+29.62)/1000</f>
        <v>0.11288550000000001</v>
      </c>
      <c r="M468" s="53"/>
      <c r="N468" s="73">
        <f t="shared" ref="N468:N476" si="148">M468*L468</f>
        <v>0</v>
      </c>
    </row>
    <row r="469" spans="1:14" x14ac:dyDescent="0.35">
      <c r="A469" s="37" t="s">
        <v>22</v>
      </c>
      <c r="B469" s="63">
        <v>867</v>
      </c>
      <c r="C469" s="299" t="s">
        <v>616</v>
      </c>
      <c r="D469" s="71"/>
      <c r="E469" s="37"/>
      <c r="F469" s="39"/>
      <c r="G469" s="39"/>
      <c r="H469" s="39"/>
      <c r="I469" s="72" t="s">
        <v>617</v>
      </c>
      <c r="J469" s="37" t="s">
        <v>28</v>
      </c>
      <c r="K469" s="39">
        <v>1.05</v>
      </c>
      <c r="L469" s="53">
        <f>K469*2.39/1000</f>
        <v>2.5095E-3</v>
      </c>
      <c r="M469" s="53"/>
      <c r="N469" s="73">
        <f t="shared" si="148"/>
        <v>0</v>
      </c>
    </row>
    <row r="470" spans="1:14" x14ac:dyDescent="0.35">
      <c r="A470" s="37" t="s">
        <v>22</v>
      </c>
      <c r="B470" s="63">
        <v>868</v>
      </c>
      <c r="C470" s="301" t="s">
        <v>618</v>
      </c>
      <c r="D470" s="71"/>
      <c r="E470" s="37"/>
      <c r="F470" s="39"/>
      <c r="G470" s="39"/>
      <c r="H470" s="39"/>
      <c r="I470" s="72" t="s">
        <v>35</v>
      </c>
      <c r="J470" s="37" t="s">
        <v>28</v>
      </c>
      <c r="K470" s="39">
        <v>1.05</v>
      </c>
      <c r="L470" s="53">
        <f>K470*(5.73)/1000</f>
        <v>6.016500000000001E-3</v>
      </c>
      <c r="M470" s="53"/>
      <c r="N470" s="73">
        <f t="shared" si="148"/>
        <v>0</v>
      </c>
    </row>
    <row r="471" spans="1:14" x14ac:dyDescent="0.35">
      <c r="A471" s="37" t="s">
        <v>22</v>
      </c>
      <c r="B471" s="63">
        <v>869</v>
      </c>
      <c r="C471" s="299" t="s">
        <v>619</v>
      </c>
      <c r="D471" s="71"/>
      <c r="E471" s="37"/>
      <c r="F471" s="39"/>
      <c r="G471" s="39"/>
      <c r="H471" s="39"/>
      <c r="I471" s="72" t="s">
        <v>560</v>
      </c>
      <c r="J471" s="37" t="s">
        <v>28</v>
      </c>
      <c r="K471" s="39">
        <v>1.05</v>
      </c>
      <c r="L471" s="53">
        <f>K471*20/1000*F467</f>
        <v>2.0112959999999999E-2</v>
      </c>
      <c r="M471" s="53"/>
      <c r="N471" s="73">
        <f t="shared" si="148"/>
        <v>0</v>
      </c>
    </row>
    <row r="472" spans="1:14" x14ac:dyDescent="0.35">
      <c r="A472" s="37" t="s">
        <v>22</v>
      </c>
      <c r="B472" s="63">
        <v>870</v>
      </c>
      <c r="C472" s="301" t="s">
        <v>620</v>
      </c>
      <c r="D472" s="74" t="s">
        <v>601</v>
      </c>
      <c r="E472" s="37" t="s">
        <v>19</v>
      </c>
      <c r="F472" s="39">
        <v>1.45</v>
      </c>
      <c r="G472" s="53"/>
      <c r="H472" s="39">
        <f t="shared" ref="H472:H473" si="149">G472*F472</f>
        <v>0</v>
      </c>
      <c r="I472" s="72" t="s">
        <v>40</v>
      </c>
      <c r="J472" s="37" t="s">
        <v>19</v>
      </c>
      <c r="K472" s="39">
        <v>1.05</v>
      </c>
      <c r="L472" s="53">
        <f>K472*F472</f>
        <v>1.5225</v>
      </c>
      <c r="M472" s="53"/>
      <c r="N472" s="73">
        <f t="shared" si="148"/>
        <v>0</v>
      </c>
    </row>
    <row r="473" spans="1:14" x14ac:dyDescent="0.35">
      <c r="A473" s="37" t="s">
        <v>621</v>
      </c>
      <c r="B473" s="63">
        <v>871</v>
      </c>
      <c r="C473" s="299" t="s">
        <v>622</v>
      </c>
      <c r="D473" s="303" t="s">
        <v>623</v>
      </c>
      <c r="E473" s="37" t="s">
        <v>25</v>
      </c>
      <c r="F473" s="39">
        <v>107.77</v>
      </c>
      <c r="G473" s="53"/>
      <c r="H473" s="39">
        <f t="shared" si="149"/>
        <v>0</v>
      </c>
      <c r="I473" s="72" t="s">
        <v>624</v>
      </c>
      <c r="J473" s="37" t="s">
        <v>25</v>
      </c>
      <c r="K473" s="39">
        <v>2.2000000000000002</v>
      </c>
      <c r="L473" s="53">
        <f>K473*0.93*46.5</f>
        <v>95.13900000000001</v>
      </c>
      <c r="M473" s="53"/>
      <c r="N473" s="73">
        <f t="shared" si="148"/>
        <v>0</v>
      </c>
    </row>
    <row r="474" spans="1:14" x14ac:dyDescent="0.35">
      <c r="A474" s="37" t="s">
        <v>621</v>
      </c>
      <c r="B474" s="63">
        <v>872</v>
      </c>
      <c r="C474" s="301" t="s">
        <v>625</v>
      </c>
      <c r="D474" s="303"/>
      <c r="E474" s="37"/>
      <c r="F474" s="39"/>
      <c r="G474" s="39"/>
      <c r="H474" s="39"/>
      <c r="I474" s="72" t="s">
        <v>626</v>
      </c>
      <c r="J474" s="37" t="s">
        <v>91</v>
      </c>
      <c r="K474" s="39">
        <v>0.2</v>
      </c>
      <c r="L474" s="53">
        <f>ROUNDUP(K474*F473,0)</f>
        <v>22</v>
      </c>
      <c r="M474" s="53"/>
      <c r="N474" s="73">
        <f t="shared" si="148"/>
        <v>0</v>
      </c>
    </row>
    <row r="475" spans="1:14" ht="29" x14ac:dyDescent="0.35">
      <c r="A475" s="37" t="s">
        <v>563</v>
      </c>
      <c r="B475" s="63">
        <v>873</v>
      </c>
      <c r="C475" s="299" t="s">
        <v>627</v>
      </c>
      <c r="D475" s="71" t="s">
        <v>565</v>
      </c>
      <c r="E475" s="37" t="s">
        <v>25</v>
      </c>
      <c r="F475" s="39">
        <f>1.65*1.25*2+(2.6*5.8+2.8*5.8)*2+(2.7*4.1+2.3*4.1)*2</f>
        <v>107.765</v>
      </c>
      <c r="G475" s="53"/>
      <c r="H475" s="39">
        <f t="shared" ref="H475" si="150">G475*F475</f>
        <v>0</v>
      </c>
      <c r="I475" s="296" t="s">
        <v>566</v>
      </c>
      <c r="J475" s="37" t="s">
        <v>215</v>
      </c>
      <c r="K475" s="39">
        <v>0.3</v>
      </c>
      <c r="L475" s="53">
        <f>K475*F475</f>
        <v>32.329499999999996</v>
      </c>
      <c r="M475" s="53"/>
      <c r="N475" s="73">
        <f t="shared" si="148"/>
        <v>0</v>
      </c>
    </row>
    <row r="476" spans="1:14" ht="15" thickBot="1" x14ac:dyDescent="0.4">
      <c r="A476" s="37" t="s">
        <v>563</v>
      </c>
      <c r="B476" s="63">
        <v>874</v>
      </c>
      <c r="C476" s="300" t="s">
        <v>628</v>
      </c>
      <c r="D476" s="304"/>
      <c r="E476" s="92"/>
      <c r="F476" s="93"/>
      <c r="G476" s="93"/>
      <c r="H476" s="93"/>
      <c r="I476" s="95" t="s">
        <v>568</v>
      </c>
      <c r="J476" s="92" t="s">
        <v>25</v>
      </c>
      <c r="K476" s="93">
        <f>1.1*2</f>
        <v>2.2000000000000002</v>
      </c>
      <c r="L476" s="54">
        <f>K476*F475</f>
        <v>237.08300000000003</v>
      </c>
      <c r="M476" s="54"/>
      <c r="N476" s="96">
        <f t="shared" si="148"/>
        <v>0</v>
      </c>
    </row>
    <row r="477" spans="1:14" ht="21.5" thickBot="1" x14ac:dyDescent="0.55000000000000004">
      <c r="A477" s="298"/>
      <c r="B477" s="63">
        <v>875</v>
      </c>
      <c r="C477" s="126"/>
      <c r="D477" s="127" t="s">
        <v>86</v>
      </c>
      <c r="E477" s="128"/>
      <c r="F477" s="129"/>
      <c r="G477" s="129"/>
      <c r="H477" s="133">
        <f>SUM(H441:H476)</f>
        <v>0</v>
      </c>
      <c r="I477" s="131"/>
      <c r="J477" s="132"/>
      <c r="K477" s="133"/>
      <c r="L477" s="133"/>
      <c r="M477" s="133"/>
      <c r="N477" s="157">
        <f>SUM(N441:N476)</f>
        <v>0</v>
      </c>
    </row>
    <row r="478" spans="1:14" ht="26.5" thickBot="1" x14ac:dyDescent="0.65">
      <c r="A478" s="305"/>
      <c r="B478" s="63">
        <v>876</v>
      </c>
      <c r="C478" s="285" t="s">
        <v>629</v>
      </c>
      <c r="D478" s="286" t="s">
        <v>630</v>
      </c>
      <c r="E478" s="287"/>
      <c r="F478" s="43"/>
      <c r="G478" s="43"/>
      <c r="H478" s="43"/>
      <c r="I478" s="287"/>
      <c r="J478" s="287"/>
      <c r="K478" s="288"/>
      <c r="L478" s="288"/>
      <c r="M478" s="288"/>
      <c r="N478" s="288"/>
    </row>
    <row r="479" spans="1:14" ht="18.5" x14ac:dyDescent="0.45">
      <c r="A479" s="37" t="s">
        <v>524</v>
      </c>
      <c r="B479" s="63">
        <v>877</v>
      </c>
      <c r="C479" s="289" t="s">
        <v>631</v>
      </c>
      <c r="D479" s="65" t="s">
        <v>526</v>
      </c>
      <c r="E479" s="66" t="s">
        <v>19</v>
      </c>
      <c r="F479" s="67">
        <f>(3.82+4.69+2.53+0.1+(3))*4.8*3.8</f>
        <v>257.91359999999992</v>
      </c>
      <c r="G479" s="175"/>
      <c r="H479" s="67">
        <f t="shared" ref="H479:H485" si="151">G479*F479</f>
        <v>0</v>
      </c>
      <c r="I479" s="306"/>
      <c r="J479" s="307"/>
      <c r="K479" s="308"/>
      <c r="L479" s="308"/>
      <c r="M479" s="308"/>
      <c r="N479" s="309"/>
    </row>
    <row r="480" spans="1:14" ht="18.5" x14ac:dyDescent="0.45">
      <c r="A480" s="37" t="s">
        <v>524</v>
      </c>
      <c r="B480" s="63">
        <v>878</v>
      </c>
      <c r="C480" s="301" t="s">
        <v>632</v>
      </c>
      <c r="D480" s="74" t="s">
        <v>528</v>
      </c>
      <c r="E480" s="37" t="s">
        <v>19</v>
      </c>
      <c r="F480" s="39">
        <f>1.07*F479</f>
        <v>275.96755199999996</v>
      </c>
      <c r="G480" s="53"/>
      <c r="H480" s="39">
        <f t="shared" si="151"/>
        <v>0</v>
      </c>
      <c r="I480" s="310"/>
      <c r="J480" s="311"/>
      <c r="K480" s="312"/>
      <c r="L480" s="312"/>
      <c r="M480" s="312"/>
      <c r="N480" s="313"/>
    </row>
    <row r="481" spans="1:14" ht="18.5" x14ac:dyDescent="0.45">
      <c r="A481" s="37" t="s">
        <v>524</v>
      </c>
      <c r="B481" s="63">
        <v>879</v>
      </c>
      <c r="C481" s="299" t="s">
        <v>633</v>
      </c>
      <c r="D481" s="74" t="s">
        <v>530</v>
      </c>
      <c r="E481" s="37" t="s">
        <v>19</v>
      </c>
      <c r="F481" s="291">
        <f>0.03*F479</f>
        <v>7.7374079999999976</v>
      </c>
      <c r="G481" s="53"/>
      <c r="H481" s="39">
        <f t="shared" si="151"/>
        <v>0</v>
      </c>
      <c r="I481" s="310"/>
      <c r="J481" s="311"/>
      <c r="K481" s="312"/>
      <c r="L481" s="312"/>
      <c r="M481" s="312"/>
      <c r="N481" s="313"/>
    </row>
    <row r="482" spans="1:14" x14ac:dyDescent="0.35">
      <c r="A482" s="37" t="s">
        <v>524</v>
      </c>
      <c r="B482" s="63">
        <v>880</v>
      </c>
      <c r="C482" s="301" t="s">
        <v>634</v>
      </c>
      <c r="D482" s="71" t="s">
        <v>538</v>
      </c>
      <c r="E482" s="37" t="s">
        <v>19</v>
      </c>
      <c r="F482" s="39">
        <f>F479</f>
        <v>257.91359999999992</v>
      </c>
      <c r="G482" s="39"/>
      <c r="H482" s="39"/>
      <c r="I482" s="72" t="s">
        <v>539</v>
      </c>
      <c r="J482" s="37" t="s">
        <v>540</v>
      </c>
      <c r="K482" s="39"/>
      <c r="L482" s="39">
        <f>F482/(15)</f>
        <v>17.194239999999994</v>
      </c>
      <c r="M482" s="53"/>
      <c r="N482" s="293">
        <f t="shared" ref="N482:N484" si="152">M482*L482</f>
        <v>0</v>
      </c>
    </row>
    <row r="483" spans="1:14" x14ac:dyDescent="0.35">
      <c r="A483" s="37" t="s">
        <v>531</v>
      </c>
      <c r="B483" s="63">
        <v>881</v>
      </c>
      <c r="C483" s="299" t="s">
        <v>635</v>
      </c>
      <c r="D483" s="71" t="s">
        <v>538</v>
      </c>
      <c r="E483" s="37" t="s">
        <v>19</v>
      </c>
      <c r="F483" s="39">
        <f>F479</f>
        <v>257.91359999999992</v>
      </c>
      <c r="G483" s="39"/>
      <c r="H483" s="39"/>
      <c r="I483" s="72" t="s">
        <v>542</v>
      </c>
      <c r="J483" s="37" t="s">
        <v>540</v>
      </c>
      <c r="K483" s="39"/>
      <c r="L483" s="39">
        <f t="shared" ref="L483:L484" si="153">F483/(15)</f>
        <v>17.194239999999994</v>
      </c>
      <c r="M483" s="53"/>
      <c r="N483" s="293">
        <f t="shared" si="152"/>
        <v>0</v>
      </c>
    </row>
    <row r="484" spans="1:14" x14ac:dyDescent="0.35">
      <c r="A484" s="37" t="s">
        <v>531</v>
      </c>
      <c r="B484" s="63">
        <v>882</v>
      </c>
      <c r="C484" s="301" t="s">
        <v>636</v>
      </c>
      <c r="D484" s="71" t="s">
        <v>538</v>
      </c>
      <c r="E484" s="37" t="s">
        <v>19</v>
      </c>
      <c r="F484" s="39">
        <f>F479</f>
        <v>257.91359999999992</v>
      </c>
      <c r="G484" s="39"/>
      <c r="H484" s="39"/>
      <c r="I484" s="72" t="s">
        <v>544</v>
      </c>
      <c r="J484" s="37" t="s">
        <v>540</v>
      </c>
      <c r="K484" s="39"/>
      <c r="L484" s="39">
        <f t="shared" si="153"/>
        <v>17.194239999999994</v>
      </c>
      <c r="M484" s="53"/>
      <c r="N484" s="293">
        <f t="shared" si="152"/>
        <v>0</v>
      </c>
    </row>
    <row r="485" spans="1:14" ht="30" x14ac:dyDescent="0.45">
      <c r="A485" s="37" t="s">
        <v>531</v>
      </c>
      <c r="B485" s="63">
        <v>883</v>
      </c>
      <c r="C485" s="299" t="s">
        <v>637</v>
      </c>
      <c r="D485" s="71" t="s">
        <v>546</v>
      </c>
      <c r="E485" s="37" t="s">
        <v>19</v>
      </c>
      <c r="F485" s="39">
        <f>F479-F506-F507</f>
        <v>202.41359999999992</v>
      </c>
      <c r="G485" s="53"/>
      <c r="H485" s="39">
        <f t="shared" si="151"/>
        <v>0</v>
      </c>
      <c r="I485" s="310"/>
      <c r="J485" s="311"/>
      <c r="K485" s="312"/>
      <c r="L485" s="312"/>
      <c r="M485" s="312"/>
      <c r="N485" s="313"/>
    </row>
    <row r="486" spans="1:14" ht="21" x14ac:dyDescent="0.5">
      <c r="A486" s="37" t="s">
        <v>22</v>
      </c>
      <c r="B486" s="63">
        <v>884</v>
      </c>
      <c r="C486" s="301" t="s">
        <v>638</v>
      </c>
      <c r="D486" s="314" t="s">
        <v>639</v>
      </c>
      <c r="E486" s="315"/>
      <c r="F486" s="316"/>
      <c r="G486" s="316"/>
      <c r="H486" s="312"/>
      <c r="I486" s="310"/>
      <c r="J486" s="311"/>
      <c r="K486" s="312"/>
      <c r="L486" s="312"/>
      <c r="M486" s="312"/>
      <c r="N486" s="313"/>
    </row>
    <row r="487" spans="1:14" ht="29" x14ac:dyDescent="0.35">
      <c r="A487" s="37" t="s">
        <v>22</v>
      </c>
      <c r="B487" s="63">
        <v>885</v>
      </c>
      <c r="C487" s="299" t="s">
        <v>640</v>
      </c>
      <c r="D487" s="71" t="s">
        <v>27</v>
      </c>
      <c r="E487" s="37" t="s">
        <v>28</v>
      </c>
      <c r="F487" s="113">
        <f>(1345.01)/1000</f>
        <v>1.34501</v>
      </c>
      <c r="G487" s="53"/>
      <c r="H487" s="39">
        <f t="shared" ref="H487" si="154">G487*F487</f>
        <v>0</v>
      </c>
      <c r="I487" s="72" t="s">
        <v>29</v>
      </c>
      <c r="J487" s="37" t="s">
        <v>28</v>
      </c>
      <c r="K487" s="39">
        <v>1.05</v>
      </c>
      <c r="L487" s="113">
        <f>K487*(109.02)/1000</f>
        <v>0.114471</v>
      </c>
      <c r="M487" s="53"/>
      <c r="N487" s="73">
        <f>M487*L487</f>
        <v>0</v>
      </c>
    </row>
    <row r="488" spans="1:14" x14ac:dyDescent="0.35">
      <c r="A488" s="37" t="s">
        <v>22</v>
      </c>
      <c r="B488" s="63">
        <v>886</v>
      </c>
      <c r="C488" s="301" t="s">
        <v>641</v>
      </c>
      <c r="D488" s="71"/>
      <c r="E488" s="37"/>
      <c r="F488" s="39"/>
      <c r="G488" s="39"/>
      <c r="H488" s="39"/>
      <c r="I488" s="72" t="s">
        <v>44</v>
      </c>
      <c r="J488" s="37" t="s">
        <v>28</v>
      </c>
      <c r="K488" s="39">
        <v>1.05</v>
      </c>
      <c r="L488" s="113">
        <f>K488*(1044.83)/1000</f>
        <v>1.0970715</v>
      </c>
      <c r="M488" s="53"/>
      <c r="N488" s="73">
        <f>M488*L488</f>
        <v>0</v>
      </c>
    </row>
    <row r="489" spans="1:14" x14ac:dyDescent="0.35">
      <c r="A489" s="37" t="s">
        <v>22</v>
      </c>
      <c r="B489" s="63">
        <v>887</v>
      </c>
      <c r="C489" s="299" t="s">
        <v>642</v>
      </c>
      <c r="D489" s="71"/>
      <c r="E489" s="37"/>
      <c r="F489" s="39"/>
      <c r="G489" s="39"/>
      <c r="H489" s="39"/>
      <c r="I489" s="72" t="s">
        <v>31</v>
      </c>
      <c r="J489" s="37" t="s">
        <v>28</v>
      </c>
      <c r="K489" s="39">
        <v>1.05</v>
      </c>
      <c r="L489" s="113">
        <f>K489*(159.43)/1000</f>
        <v>0.16740150000000004</v>
      </c>
      <c r="M489" s="53"/>
      <c r="N489" s="73">
        <f t="shared" ref="N489:N491" si="155">M489*L489</f>
        <v>0</v>
      </c>
    </row>
    <row r="490" spans="1:14" x14ac:dyDescent="0.35">
      <c r="A490" s="37" t="s">
        <v>22</v>
      </c>
      <c r="B490" s="63">
        <v>888</v>
      </c>
      <c r="C490" s="301" t="s">
        <v>643</v>
      </c>
      <c r="D490" s="71"/>
      <c r="E490" s="37"/>
      <c r="F490" s="39"/>
      <c r="G490" s="39"/>
      <c r="H490" s="39"/>
      <c r="I490" s="72" t="s">
        <v>33</v>
      </c>
      <c r="J490" s="37" t="s">
        <v>28</v>
      </c>
      <c r="K490" s="39">
        <v>1.05</v>
      </c>
      <c r="L490" s="113">
        <f>K490*31.73/1000</f>
        <v>3.3316500000000006E-2</v>
      </c>
      <c r="M490" s="53"/>
      <c r="N490" s="73">
        <f t="shared" si="155"/>
        <v>0</v>
      </c>
    </row>
    <row r="491" spans="1:14" x14ac:dyDescent="0.35">
      <c r="A491" s="37" t="s">
        <v>22</v>
      </c>
      <c r="B491" s="63">
        <v>889</v>
      </c>
      <c r="C491" s="299" t="s">
        <v>644</v>
      </c>
      <c r="D491" s="71"/>
      <c r="E491" s="37"/>
      <c r="F491" s="39"/>
      <c r="G491" s="39"/>
      <c r="H491" s="39"/>
      <c r="I491" s="72" t="s">
        <v>560</v>
      </c>
      <c r="J491" s="37" t="s">
        <v>28</v>
      </c>
      <c r="K491" s="39">
        <v>1.05</v>
      </c>
      <c r="L491" s="113">
        <f>K491*20/1000*F487</f>
        <v>2.8245210000000003E-2</v>
      </c>
      <c r="M491" s="53"/>
      <c r="N491" s="73">
        <f t="shared" si="155"/>
        <v>0</v>
      </c>
    </row>
    <row r="492" spans="1:14" ht="21" x14ac:dyDescent="0.5">
      <c r="A492" s="37" t="s">
        <v>22</v>
      </c>
      <c r="B492" s="63">
        <v>890</v>
      </c>
      <c r="C492" s="301" t="s">
        <v>645</v>
      </c>
      <c r="D492" s="314" t="s">
        <v>646</v>
      </c>
      <c r="E492" s="315"/>
      <c r="F492" s="316"/>
      <c r="G492" s="316"/>
      <c r="H492" s="312"/>
      <c r="I492" s="310"/>
      <c r="J492" s="311"/>
      <c r="K492" s="312"/>
      <c r="L492" s="312"/>
      <c r="M492" s="312"/>
      <c r="N492" s="313"/>
    </row>
    <row r="493" spans="1:14" ht="29" x14ac:dyDescent="0.35">
      <c r="A493" s="37" t="s">
        <v>22</v>
      </c>
      <c r="B493" s="63">
        <v>891</v>
      </c>
      <c r="C493" s="299" t="s">
        <v>647</v>
      </c>
      <c r="D493" s="71" t="s">
        <v>27</v>
      </c>
      <c r="E493" s="37" t="s">
        <v>28</v>
      </c>
      <c r="F493" s="113">
        <f>(1770.71)/1000</f>
        <v>1.77071</v>
      </c>
      <c r="G493" s="53"/>
      <c r="H493" s="39">
        <f t="shared" ref="H493" si="156">G493*F493</f>
        <v>0</v>
      </c>
      <c r="I493" s="72" t="s">
        <v>29</v>
      </c>
      <c r="J493" s="37" t="s">
        <v>28</v>
      </c>
      <c r="K493" s="39">
        <v>1.05</v>
      </c>
      <c r="L493" s="113">
        <f>K493*(0)/1000</f>
        <v>0</v>
      </c>
      <c r="M493" s="53"/>
      <c r="N493" s="73">
        <f>M493*L493</f>
        <v>0</v>
      </c>
    </row>
    <row r="494" spans="1:14" x14ac:dyDescent="0.35">
      <c r="A494" s="37" t="s">
        <v>22</v>
      </c>
      <c r="B494" s="63">
        <v>892</v>
      </c>
      <c r="C494" s="301" t="s">
        <v>648</v>
      </c>
      <c r="D494" s="71"/>
      <c r="E494" s="37"/>
      <c r="F494" s="39"/>
      <c r="G494" s="39"/>
      <c r="H494" s="39"/>
      <c r="I494" s="72" t="s">
        <v>44</v>
      </c>
      <c r="J494" s="37" t="s">
        <v>28</v>
      </c>
      <c r="K494" s="39">
        <v>1.05</v>
      </c>
      <c r="L494" s="113">
        <f>K494*(1593.99)/1000</f>
        <v>1.6736895000000003</v>
      </c>
      <c r="M494" s="53"/>
      <c r="N494" s="73">
        <f>M494*L494</f>
        <v>0</v>
      </c>
    </row>
    <row r="495" spans="1:14" x14ac:dyDescent="0.35">
      <c r="A495" s="37" t="s">
        <v>22</v>
      </c>
      <c r="B495" s="63">
        <v>893</v>
      </c>
      <c r="C495" s="299" t="s">
        <v>649</v>
      </c>
      <c r="D495" s="71"/>
      <c r="E495" s="37"/>
      <c r="F495" s="39"/>
      <c r="G495" s="39"/>
      <c r="H495" s="39"/>
      <c r="I495" s="72" t="s">
        <v>31</v>
      </c>
      <c r="J495" s="37" t="s">
        <v>28</v>
      </c>
      <c r="K495" s="39">
        <v>1.05</v>
      </c>
      <c r="L495" s="113">
        <f>K495*(94.67)/1000</f>
        <v>9.9403500000000006E-2</v>
      </c>
      <c r="M495" s="53"/>
      <c r="N495" s="73">
        <f t="shared" ref="N495:N498" si="157">M495*L495</f>
        <v>0</v>
      </c>
    </row>
    <row r="496" spans="1:14" x14ac:dyDescent="0.35">
      <c r="A496" s="37" t="s">
        <v>22</v>
      </c>
      <c r="B496" s="63">
        <v>894</v>
      </c>
      <c r="C496" s="301" t="s">
        <v>650</v>
      </c>
      <c r="D496" s="71"/>
      <c r="E496" s="37"/>
      <c r="F496" s="39"/>
      <c r="G496" s="39"/>
      <c r="H496" s="39"/>
      <c r="I496" s="72" t="s">
        <v>33</v>
      </c>
      <c r="J496" s="37" t="s">
        <v>28</v>
      </c>
      <c r="K496" s="39">
        <v>1.05</v>
      </c>
      <c r="L496" s="113">
        <f>K496*0/1000</f>
        <v>0</v>
      </c>
      <c r="M496" s="53"/>
      <c r="N496" s="73">
        <f t="shared" si="157"/>
        <v>0</v>
      </c>
    </row>
    <row r="497" spans="1:14" x14ac:dyDescent="0.35">
      <c r="A497" s="37" t="s">
        <v>22</v>
      </c>
      <c r="B497" s="63">
        <v>895</v>
      </c>
      <c r="C497" s="299" t="s">
        <v>651</v>
      </c>
      <c r="D497" s="71"/>
      <c r="E497" s="37"/>
      <c r="F497" s="39"/>
      <c r="G497" s="39"/>
      <c r="H497" s="39"/>
      <c r="I497" s="72" t="s">
        <v>35</v>
      </c>
      <c r="J497" s="37" t="s">
        <v>28</v>
      </c>
      <c r="K497" s="39">
        <v>1.05</v>
      </c>
      <c r="L497" s="113">
        <f>K497*82.05/1000</f>
        <v>8.6152500000000007E-2</v>
      </c>
      <c r="M497" s="53"/>
      <c r="N497" s="73">
        <f t="shared" si="157"/>
        <v>0</v>
      </c>
    </row>
    <row r="498" spans="1:14" x14ac:dyDescent="0.35">
      <c r="A498" s="37" t="s">
        <v>22</v>
      </c>
      <c r="B498" s="63">
        <v>896</v>
      </c>
      <c r="C498" s="301" t="s">
        <v>652</v>
      </c>
      <c r="D498" s="71"/>
      <c r="E498" s="37"/>
      <c r="F498" s="39"/>
      <c r="G498" s="39"/>
      <c r="H498" s="39"/>
      <c r="I498" s="72" t="s">
        <v>560</v>
      </c>
      <c r="J498" s="37" t="s">
        <v>28</v>
      </c>
      <c r="K498" s="39">
        <v>1.05</v>
      </c>
      <c r="L498" s="113">
        <f>K498*20/1000*F493</f>
        <v>3.7184910000000002E-2</v>
      </c>
      <c r="M498" s="53"/>
      <c r="N498" s="73">
        <f t="shared" si="157"/>
        <v>0</v>
      </c>
    </row>
    <row r="499" spans="1:14" ht="21" x14ac:dyDescent="0.5">
      <c r="A499" s="37" t="s">
        <v>22</v>
      </c>
      <c r="B499" s="63">
        <v>897</v>
      </c>
      <c r="C499" s="299" t="s">
        <v>653</v>
      </c>
      <c r="D499" s="314" t="s">
        <v>654</v>
      </c>
      <c r="E499" s="315"/>
      <c r="F499" s="316"/>
      <c r="G499" s="316"/>
      <c r="H499" s="312"/>
      <c r="I499" s="310"/>
      <c r="J499" s="311"/>
      <c r="K499" s="312"/>
      <c r="L499" s="312"/>
      <c r="M499" s="312"/>
      <c r="N499" s="313"/>
    </row>
    <row r="500" spans="1:14" ht="29" x14ac:dyDescent="0.35">
      <c r="A500" s="37" t="s">
        <v>22</v>
      </c>
      <c r="B500" s="63">
        <v>898</v>
      </c>
      <c r="C500" s="301" t="s">
        <v>655</v>
      </c>
      <c r="D500" s="71" t="s">
        <v>27</v>
      </c>
      <c r="E500" s="37" t="s">
        <v>28</v>
      </c>
      <c r="F500" s="113">
        <f>(1437.12)/1000</f>
        <v>1.43712</v>
      </c>
      <c r="G500" s="53"/>
      <c r="H500" s="39">
        <f t="shared" ref="H500" si="158">G500*F500</f>
        <v>0</v>
      </c>
      <c r="I500" s="72" t="s">
        <v>29</v>
      </c>
      <c r="J500" s="37" t="s">
        <v>28</v>
      </c>
      <c r="K500" s="39">
        <v>1.05</v>
      </c>
      <c r="L500" s="113">
        <f>K500*(44.24)/1000</f>
        <v>4.6452000000000007E-2</v>
      </c>
      <c r="M500" s="53"/>
      <c r="N500" s="73">
        <f>M500*L500</f>
        <v>0</v>
      </c>
    </row>
    <row r="501" spans="1:14" x14ac:dyDescent="0.35">
      <c r="A501" s="37" t="s">
        <v>22</v>
      </c>
      <c r="B501" s="63">
        <v>899</v>
      </c>
      <c r="C501" s="299" t="s">
        <v>656</v>
      </c>
      <c r="D501" s="71"/>
      <c r="E501" s="37"/>
      <c r="F501" s="39"/>
      <c r="G501" s="39"/>
      <c r="H501" s="39"/>
      <c r="I501" s="72" t="s">
        <v>44</v>
      </c>
      <c r="J501" s="37" t="s">
        <v>28</v>
      </c>
      <c r="K501" s="39">
        <v>1.05</v>
      </c>
      <c r="L501" s="113">
        <f>K501*(1207.24)/1000</f>
        <v>1.2676020000000001</v>
      </c>
      <c r="M501" s="53"/>
      <c r="N501" s="73">
        <f>M501*L501</f>
        <v>0</v>
      </c>
    </row>
    <row r="502" spans="1:14" x14ac:dyDescent="0.35">
      <c r="A502" s="37" t="s">
        <v>22</v>
      </c>
      <c r="B502" s="63">
        <v>900</v>
      </c>
      <c r="C502" s="301" t="s">
        <v>657</v>
      </c>
      <c r="D502" s="71"/>
      <c r="E502" s="37"/>
      <c r="F502" s="39"/>
      <c r="G502" s="39"/>
      <c r="H502" s="39"/>
      <c r="I502" s="72" t="s">
        <v>31</v>
      </c>
      <c r="J502" s="37" t="s">
        <v>28</v>
      </c>
      <c r="K502" s="39">
        <v>1.05</v>
      </c>
      <c r="L502" s="113">
        <f>K502*(148.51)/1000</f>
        <v>0.15593549999999998</v>
      </c>
      <c r="M502" s="53"/>
      <c r="N502" s="73">
        <f t="shared" ref="N502:N510" si="159">M502*L502</f>
        <v>0</v>
      </c>
    </row>
    <row r="503" spans="1:14" x14ac:dyDescent="0.35">
      <c r="A503" s="37" t="s">
        <v>22</v>
      </c>
      <c r="B503" s="63">
        <v>901</v>
      </c>
      <c r="C503" s="299" t="s">
        <v>658</v>
      </c>
      <c r="D503" s="71"/>
      <c r="E503" s="37"/>
      <c r="F503" s="39"/>
      <c r="G503" s="39"/>
      <c r="H503" s="39"/>
      <c r="I503" s="72" t="s">
        <v>33</v>
      </c>
      <c r="J503" s="37" t="s">
        <v>28</v>
      </c>
      <c r="K503" s="39">
        <v>1.05</v>
      </c>
      <c r="L503" s="113">
        <f>K503*37.13/1000</f>
        <v>3.8986500000000007E-2</v>
      </c>
      <c r="M503" s="53"/>
      <c r="N503" s="73">
        <f t="shared" si="159"/>
        <v>0</v>
      </c>
    </row>
    <row r="504" spans="1:14" x14ac:dyDescent="0.35">
      <c r="A504" s="37" t="s">
        <v>22</v>
      </c>
      <c r="B504" s="63">
        <v>902</v>
      </c>
      <c r="C504" s="301" t="s">
        <v>659</v>
      </c>
      <c r="D504" s="71"/>
      <c r="E504" s="37"/>
      <c r="F504" s="39"/>
      <c r="G504" s="39"/>
      <c r="H504" s="39"/>
      <c r="I504" s="72" t="s">
        <v>35</v>
      </c>
      <c r="J504" s="37" t="s">
        <v>28</v>
      </c>
      <c r="K504" s="39">
        <v>1.05</v>
      </c>
      <c r="L504" s="113">
        <v>0</v>
      </c>
      <c r="M504" s="53"/>
      <c r="N504" s="73">
        <f t="shared" si="159"/>
        <v>0</v>
      </c>
    </row>
    <row r="505" spans="1:14" x14ac:dyDescent="0.35">
      <c r="A505" s="37" t="s">
        <v>22</v>
      </c>
      <c r="B505" s="63">
        <v>903</v>
      </c>
      <c r="C505" s="299" t="s">
        <v>660</v>
      </c>
      <c r="D505" s="71"/>
      <c r="E505" s="37"/>
      <c r="F505" s="39"/>
      <c r="G505" s="39"/>
      <c r="H505" s="39"/>
      <c r="I505" s="72" t="s">
        <v>560</v>
      </c>
      <c r="J505" s="37" t="s">
        <v>28</v>
      </c>
      <c r="K505" s="39">
        <v>1.05</v>
      </c>
      <c r="L505" s="113">
        <f>K505*20/1000*F500</f>
        <v>3.0179520000000001E-2</v>
      </c>
      <c r="M505" s="53"/>
      <c r="N505" s="73">
        <f t="shared" si="159"/>
        <v>0</v>
      </c>
    </row>
    <row r="506" spans="1:14" ht="29" x14ac:dyDescent="0.35">
      <c r="A506" s="37" t="s">
        <v>22</v>
      </c>
      <c r="B506" s="63">
        <v>904</v>
      </c>
      <c r="C506" s="301" t="s">
        <v>661</v>
      </c>
      <c r="D506" s="71" t="s">
        <v>662</v>
      </c>
      <c r="E506" s="37" t="s">
        <v>19</v>
      </c>
      <c r="F506" s="113">
        <v>4.4000000000000004</v>
      </c>
      <c r="G506" s="53"/>
      <c r="H506" s="39">
        <f t="shared" ref="H506:H508" si="160">G506*F506</f>
        <v>0</v>
      </c>
      <c r="I506" s="72" t="s">
        <v>553</v>
      </c>
      <c r="J506" s="37" t="s">
        <v>19</v>
      </c>
      <c r="K506" s="39">
        <v>1.05</v>
      </c>
      <c r="L506" s="53">
        <f>K506*F506</f>
        <v>4.620000000000001</v>
      </c>
      <c r="M506" s="53"/>
      <c r="N506" s="73">
        <f>M506*L506</f>
        <v>0</v>
      </c>
    </row>
    <row r="507" spans="1:14" x14ac:dyDescent="0.35">
      <c r="A507" s="37" t="s">
        <v>22</v>
      </c>
      <c r="B507" s="63">
        <v>905</v>
      </c>
      <c r="C507" s="299" t="s">
        <v>663</v>
      </c>
      <c r="D507" s="74" t="s">
        <v>664</v>
      </c>
      <c r="E507" s="37" t="s">
        <v>19</v>
      </c>
      <c r="F507" s="113">
        <v>51.1</v>
      </c>
      <c r="G507" s="53"/>
      <c r="H507" s="39">
        <f t="shared" si="160"/>
        <v>0</v>
      </c>
      <c r="I507" s="72" t="s">
        <v>40</v>
      </c>
      <c r="J507" s="37" t="s">
        <v>19</v>
      </c>
      <c r="K507" s="39">
        <v>1.05</v>
      </c>
      <c r="L507" s="53">
        <f>K507*F507</f>
        <v>53.655000000000001</v>
      </c>
      <c r="M507" s="53"/>
      <c r="N507" s="73">
        <f t="shared" si="159"/>
        <v>0</v>
      </c>
    </row>
    <row r="508" spans="1:14" ht="29" x14ac:dyDescent="0.35">
      <c r="A508" s="37" t="s">
        <v>563</v>
      </c>
      <c r="B508" s="63">
        <v>906</v>
      </c>
      <c r="C508" s="301" t="s">
        <v>665</v>
      </c>
      <c r="D508" s="71" t="s">
        <v>565</v>
      </c>
      <c r="E508" s="37" t="s">
        <v>25</v>
      </c>
      <c r="F508" s="113">
        <v>201</v>
      </c>
      <c r="G508" s="53"/>
      <c r="H508" s="39">
        <f t="shared" si="160"/>
        <v>0</v>
      </c>
      <c r="I508" s="296" t="s">
        <v>566</v>
      </c>
      <c r="J508" s="37" t="s">
        <v>215</v>
      </c>
      <c r="K508" s="39">
        <v>0.3</v>
      </c>
      <c r="L508" s="53">
        <f>K508*F508</f>
        <v>60.3</v>
      </c>
      <c r="M508" s="53"/>
      <c r="N508" s="73">
        <f t="shared" si="159"/>
        <v>0</v>
      </c>
    </row>
    <row r="509" spans="1:14" x14ac:dyDescent="0.35">
      <c r="A509" s="37" t="s">
        <v>563</v>
      </c>
      <c r="B509" s="63">
        <v>907</v>
      </c>
      <c r="C509" s="299" t="s">
        <v>666</v>
      </c>
      <c r="D509" s="71"/>
      <c r="E509" s="37"/>
      <c r="F509" s="39"/>
      <c r="G509" s="39"/>
      <c r="H509" s="39"/>
      <c r="I509" s="72" t="s">
        <v>568</v>
      </c>
      <c r="J509" s="37" t="s">
        <v>25</v>
      </c>
      <c r="K509" s="39">
        <f>1.1*2</f>
        <v>2.2000000000000002</v>
      </c>
      <c r="L509" s="53">
        <f>K509*F508</f>
        <v>442.20000000000005</v>
      </c>
      <c r="M509" s="53"/>
      <c r="N509" s="73">
        <f t="shared" si="159"/>
        <v>0</v>
      </c>
    </row>
    <row r="510" spans="1:14" ht="29.5" thickBot="1" x14ac:dyDescent="0.4">
      <c r="A510" s="37" t="s">
        <v>563</v>
      </c>
      <c r="B510" s="63">
        <v>908</v>
      </c>
      <c r="C510" s="300" t="s">
        <v>667</v>
      </c>
      <c r="D510" s="304" t="s">
        <v>668</v>
      </c>
      <c r="E510" s="92" t="s">
        <v>669</v>
      </c>
      <c r="F510" s="114">
        <v>64</v>
      </c>
      <c r="G510" s="317"/>
      <c r="H510" s="93">
        <f t="shared" ref="H510" si="161">G510*F510</f>
        <v>0</v>
      </c>
      <c r="I510" s="156" t="s">
        <v>670</v>
      </c>
      <c r="J510" s="92" t="s">
        <v>669</v>
      </c>
      <c r="K510" s="93">
        <v>1.1000000000000001</v>
      </c>
      <c r="L510" s="54">
        <f>K510*F510</f>
        <v>70.400000000000006</v>
      </c>
      <c r="M510" s="54"/>
      <c r="N510" s="96">
        <f t="shared" si="159"/>
        <v>0</v>
      </c>
    </row>
    <row r="511" spans="1:14" ht="21.5" thickBot="1" x14ac:dyDescent="0.55000000000000004">
      <c r="A511" s="298"/>
      <c r="B511" s="63">
        <v>909</v>
      </c>
      <c r="C511" s="126"/>
      <c r="D511" s="127" t="s">
        <v>86</v>
      </c>
      <c r="E511" s="128"/>
      <c r="F511" s="129"/>
      <c r="G511" s="129"/>
      <c r="H511" s="133">
        <f>SUM(H479:H510)</f>
        <v>0</v>
      </c>
      <c r="I511" s="131"/>
      <c r="J511" s="132"/>
      <c r="K511" s="133"/>
      <c r="L511" s="133"/>
      <c r="M511" s="133"/>
      <c r="N511" s="157">
        <f>SUM(N479:N510)</f>
        <v>0</v>
      </c>
    </row>
    <row r="512" spans="1:14" ht="21.5" thickBot="1" x14ac:dyDescent="0.55000000000000004">
      <c r="A512" s="298"/>
      <c r="B512" s="63"/>
      <c r="C512" s="126"/>
      <c r="D512" s="127" t="s">
        <v>581</v>
      </c>
      <c r="E512" s="319" t="s">
        <v>675</v>
      </c>
      <c r="F512" s="129"/>
      <c r="G512" s="129"/>
      <c r="H512" s="133">
        <f>G512*F512</f>
        <v>0</v>
      </c>
      <c r="I512" s="131"/>
      <c r="J512" s="132"/>
      <c r="K512" s="133"/>
      <c r="L512" s="133"/>
      <c r="M512" s="133"/>
      <c r="N512" s="157"/>
    </row>
    <row r="513" spans="1:14" ht="21.5" thickBot="1" x14ac:dyDescent="0.55000000000000004">
      <c r="A513" s="298"/>
      <c r="B513" s="63">
        <v>909</v>
      </c>
      <c r="C513" s="126"/>
      <c r="D513" s="127" t="s">
        <v>672</v>
      </c>
      <c r="E513" s="128"/>
      <c r="F513" s="129"/>
      <c r="G513" s="129"/>
      <c r="H513" s="133">
        <f>H511+H477+H439+H405+H340+H282+H274+H264+H173+H143+H46+H512</f>
        <v>0</v>
      </c>
      <c r="I513" s="131"/>
      <c r="J513" s="132"/>
      <c r="K513" s="133"/>
      <c r="L513" s="133"/>
      <c r="M513" s="133"/>
      <c r="N513" s="157">
        <f>SUM(N480:N511)</f>
        <v>0</v>
      </c>
    </row>
    <row r="518" spans="1:14" x14ac:dyDescent="0.35">
      <c r="D518" s="318" t="s">
        <v>673</v>
      </c>
    </row>
    <row r="519" spans="1:14" x14ac:dyDescent="0.35">
      <c r="D519" s="318" t="s">
        <v>674</v>
      </c>
    </row>
  </sheetData>
  <mergeCells count="7">
    <mergeCell ref="I1:I2"/>
    <mergeCell ref="A1:A2"/>
    <mergeCell ref="B1:B2"/>
    <mergeCell ref="C1:C2"/>
    <mergeCell ref="D1:D2"/>
    <mergeCell ref="E1:E2"/>
    <mergeCell ref="F1:F2"/>
  </mergeCells>
  <conditionalFormatting sqref="AG1:AG2 AK1:AK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2026-06-08T11:21:34Z</dcterms:created>
  <dcterms:modified xsi:type="dcterms:W3CDTF">2026-06-08T11:47:56Z</dcterms:modified>
</cp:coreProperties>
</file>