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655" yWindow="390" windowWidth="15075" windowHeight="12645"/>
  </bookViews>
  <sheets>
    <sheet name="Тех. задание" sheetId="1" r:id="rId1"/>
    <sheet name="Транспорнтный цех" sheetId="2" state="hidden" r:id="rId2"/>
    <sheet name="Тех. задание (упрощенное)" sheetId="3" state="hidden" r:id="rId3"/>
  </sheets>
  <definedNames>
    <definedName name="_xlnm._FilterDatabase" localSheetId="0" hidden="1">'Тех. задание'!$A$4:$E$216</definedName>
    <definedName name="_xlnm._FilterDatabase" localSheetId="1" hidden="1">'Транспорнтный цех'!$A$7:$F$26</definedName>
  </definedNames>
  <calcPr calcId="124519"/>
</workbook>
</file>

<file path=xl/calcChain.xml><?xml version="1.0" encoding="utf-8"?>
<calcChain xmlns="http://schemas.openxmlformats.org/spreadsheetml/2006/main">
  <c r="V121" i="3"/>
  <c r="V122" s="1"/>
  <c r="D120"/>
  <c r="AE119"/>
  <c r="D119" s="1"/>
  <c r="AE118"/>
  <c r="D118" s="1"/>
  <c r="R117"/>
  <c r="R116"/>
  <c r="F116"/>
  <c r="D116" s="1"/>
  <c r="R115"/>
  <c r="F115"/>
  <c r="R114"/>
  <c r="F114"/>
  <c r="D114" s="1"/>
  <c r="D113"/>
  <c r="R112"/>
  <c r="D112" s="1"/>
  <c r="R111"/>
  <c r="F111"/>
  <c r="D111" s="1"/>
  <c r="D110"/>
  <c r="F105"/>
  <c r="D105"/>
  <c r="F104"/>
  <c r="F109" s="1"/>
  <c r="D109" s="1"/>
  <c r="F103"/>
  <c r="D103" s="1"/>
  <c r="D102"/>
  <c r="F101"/>
  <c r="D101" s="1"/>
  <c r="F97"/>
  <c r="D97" s="1"/>
  <c r="F95"/>
  <c r="D95" s="1"/>
  <c r="F94"/>
  <c r="D94" s="1"/>
  <c r="F93"/>
  <c r="F100" s="1"/>
  <c r="D100" s="1"/>
  <c r="D93"/>
  <c r="F92"/>
  <c r="D92" s="1"/>
  <c r="F91"/>
  <c r="F96" s="1"/>
  <c r="F90"/>
  <c r="F99" s="1"/>
  <c r="D99" s="1"/>
  <c r="D89"/>
  <c r="D88"/>
  <c r="F87"/>
  <c r="D87" s="1"/>
  <c r="D86"/>
  <c r="D85"/>
  <c r="D84"/>
  <c r="G83"/>
  <c r="D83" s="1"/>
  <c r="G81"/>
  <c r="D81" s="1"/>
  <c r="G80"/>
  <c r="D80" s="1"/>
  <c r="AB79"/>
  <c r="Y79"/>
  <c r="X79"/>
  <c r="F79"/>
  <c r="Z76"/>
  <c r="Z79" s="1"/>
  <c r="X76"/>
  <c r="W76"/>
  <c r="W79" s="1"/>
  <c r="F76"/>
  <c r="H73"/>
  <c r="AD72"/>
  <c r="AD74" s="1"/>
  <c r="AD77" s="1"/>
  <c r="AB72"/>
  <c r="AB74" s="1"/>
  <c r="AB77" s="1"/>
  <c r="AA72"/>
  <c r="AA74" s="1"/>
  <c r="AA77" s="1"/>
  <c r="Y72"/>
  <c r="Y74" s="1"/>
  <c r="Y77" s="1"/>
  <c r="U72"/>
  <c r="U74" s="1"/>
  <c r="U77" s="1"/>
  <c r="T72"/>
  <c r="T77" s="1"/>
  <c r="S72"/>
  <c r="S74" s="1"/>
  <c r="R72"/>
  <c r="R77" s="1"/>
  <c r="Q72"/>
  <c r="Q74" s="1"/>
  <c r="Q77" s="1"/>
  <c r="P72"/>
  <c r="P74" s="1"/>
  <c r="P77" s="1"/>
  <c r="O72"/>
  <c r="O74" s="1"/>
  <c r="O77" s="1"/>
  <c r="AE71"/>
  <c r="AC71"/>
  <c r="Z71"/>
  <c r="X71"/>
  <c r="W71"/>
  <c r="AE70"/>
  <c r="D70" s="1"/>
  <c r="AE69"/>
  <c r="AE75" s="1"/>
  <c r="AE78" s="1"/>
  <c r="AC69"/>
  <c r="AC75" s="1"/>
  <c r="AC78" s="1"/>
  <c r="Z69"/>
  <c r="Z75" s="1"/>
  <c r="Z78" s="1"/>
  <c r="X69"/>
  <c r="X75" s="1"/>
  <c r="X78" s="1"/>
  <c r="W69"/>
  <c r="W75" s="1"/>
  <c r="N68"/>
  <c r="N73" s="1"/>
  <c r="M68"/>
  <c r="M73" s="1"/>
  <c r="K68"/>
  <c r="K72" s="1"/>
  <c r="J68"/>
  <c r="J73" s="1"/>
  <c r="I68"/>
  <c r="I73" s="1"/>
  <c r="D67"/>
  <c r="D66"/>
  <c r="AE65"/>
  <c r="Y65"/>
  <c r="D65" s="1"/>
  <c r="AD64"/>
  <c r="AC64"/>
  <c r="AB64"/>
  <c r="AA64"/>
  <c r="Z64"/>
  <c r="Y64"/>
  <c r="X64"/>
  <c r="W64"/>
  <c r="V64"/>
  <c r="U64"/>
  <c r="T64"/>
  <c r="R64"/>
  <c r="Q64"/>
  <c r="P64"/>
  <c r="D64" s="1"/>
  <c r="O64"/>
  <c r="AD63"/>
  <c r="V63"/>
  <c r="D63" s="1"/>
  <c r="AC62"/>
  <c r="Q62"/>
  <c r="P62"/>
  <c r="M62"/>
  <c r="L62"/>
  <c r="M61"/>
  <c r="J61"/>
  <c r="J62" s="1"/>
  <c r="V59"/>
  <c r="V62" s="1"/>
  <c r="M59"/>
  <c r="J59"/>
  <c r="H59"/>
  <c r="H62" s="1"/>
  <c r="AE56"/>
  <c r="AE57" s="1"/>
  <c r="D56"/>
  <c r="K55"/>
  <c r="I55"/>
  <c r="D55" s="1"/>
  <c r="S54"/>
  <c r="D54" s="1"/>
  <c r="S53"/>
  <c r="S59" s="1"/>
  <c r="S62" s="1"/>
  <c r="P53"/>
  <c r="J53"/>
  <c r="AC52"/>
  <c r="AC53" s="1"/>
  <c r="X52"/>
  <c r="X60" s="1"/>
  <c r="W52"/>
  <c r="W53" s="1"/>
  <c r="W60" s="1"/>
  <c r="U52"/>
  <c r="U60" s="1"/>
  <c r="T52"/>
  <c r="T53" s="1"/>
  <c r="T59" s="1"/>
  <c r="T62" s="1"/>
  <c r="R52"/>
  <c r="R53" s="1"/>
  <c r="Q52"/>
  <c r="Q59" s="1"/>
  <c r="P52"/>
  <c r="O52"/>
  <c r="N52"/>
  <c r="N59" s="1"/>
  <c r="M52"/>
  <c r="M53" s="1"/>
  <c r="L52"/>
  <c r="L53" s="1"/>
  <c r="K52"/>
  <c r="K62" s="1"/>
  <c r="J52"/>
  <c r="I52"/>
  <c r="I59" s="1"/>
  <c r="I61" s="1"/>
  <c r="I62" s="1"/>
  <c r="H52"/>
  <c r="AD51"/>
  <c r="AD52" s="1"/>
  <c r="AB51"/>
  <c r="AB52" s="1"/>
  <c r="AA51"/>
  <c r="AA52" s="1"/>
  <c r="Z51"/>
  <c r="Z53" s="1"/>
  <c r="Z60" s="1"/>
  <c r="Y51"/>
  <c r="Y52" s="1"/>
  <c r="P51"/>
  <c r="O51"/>
  <c r="O59" s="1"/>
  <c r="U50"/>
  <c r="N50"/>
  <c r="J50"/>
  <c r="I50"/>
  <c r="U49"/>
  <c r="L48"/>
  <c r="L49" s="1"/>
  <c r="J48"/>
  <c r="J49" s="1"/>
  <c r="N47"/>
  <c r="N48" s="1"/>
  <c r="N49" s="1"/>
  <c r="M47"/>
  <c r="M50" s="1"/>
  <c r="L47"/>
  <c r="L50" s="1"/>
  <c r="I47"/>
  <c r="L46"/>
  <c r="D46" s="1"/>
  <c r="D45"/>
  <c r="U44"/>
  <c r="T44"/>
  <c r="H44"/>
  <c r="D44" s="1"/>
  <c r="N42"/>
  <c r="O40"/>
  <c r="AE39"/>
  <c r="Z39"/>
  <c r="Y39"/>
  <c r="X39"/>
  <c r="X40" s="1"/>
  <c r="AD38"/>
  <c r="AD40" s="1"/>
  <c r="AA38"/>
  <c r="Z38"/>
  <c r="Z40" s="1"/>
  <c r="Y38"/>
  <c r="Y40" s="1"/>
  <c r="X38"/>
  <c r="R38"/>
  <c r="R40" s="1"/>
  <c r="Q38"/>
  <c r="Q40" s="1"/>
  <c r="P38"/>
  <c r="O38"/>
  <c r="S37"/>
  <c r="N37"/>
  <c r="M37"/>
  <c r="L37"/>
  <c r="K37"/>
  <c r="J37"/>
  <c r="I37"/>
  <c r="H37"/>
  <c r="G37"/>
  <c r="AC36"/>
  <c r="AB36"/>
  <c r="AA36"/>
  <c r="Z36"/>
  <c r="Y36"/>
  <c r="X36"/>
  <c r="W36"/>
  <c r="U36"/>
  <c r="T36"/>
  <c r="Q36"/>
  <c r="P36"/>
  <c r="O36"/>
  <c r="Y35"/>
  <c r="S35"/>
  <c r="H35"/>
  <c r="AE34"/>
  <c r="AC34"/>
  <c r="AB34"/>
  <c r="AA34"/>
  <c r="Z34"/>
  <c r="Y34"/>
  <c r="X34"/>
  <c r="W34"/>
  <c r="U34"/>
  <c r="T34"/>
  <c r="R34"/>
  <c r="AE32"/>
  <c r="O32"/>
  <c r="AE31"/>
  <c r="AC31"/>
  <c r="AC39" s="1"/>
  <c r="AB31"/>
  <c r="AB39" s="1"/>
  <c r="AA31"/>
  <c r="AA39" s="1"/>
  <c r="Z31"/>
  <c r="Y31"/>
  <c r="X31"/>
  <c r="W31"/>
  <c r="W39" s="1"/>
  <c r="U31"/>
  <c r="U39" s="1"/>
  <c r="R31"/>
  <c r="R39" s="1"/>
  <c r="P31"/>
  <c r="P39" s="1"/>
  <c r="L31"/>
  <c r="L43" s="1"/>
  <c r="H31"/>
  <c r="H43" s="1"/>
  <c r="G31"/>
  <c r="AC30"/>
  <c r="AC38" s="1"/>
  <c r="AC40" s="1"/>
  <c r="AB30"/>
  <c r="AB38" s="1"/>
  <c r="AA30"/>
  <c r="Z30"/>
  <c r="Y30"/>
  <c r="X30"/>
  <c r="W30"/>
  <c r="W38" s="1"/>
  <c r="R30"/>
  <c r="Q30"/>
  <c r="P30"/>
  <c r="P32" s="1"/>
  <c r="O30"/>
  <c r="N30"/>
  <c r="N33" s="1"/>
  <c r="M30"/>
  <c r="M33" s="1"/>
  <c r="L30"/>
  <c r="L42" s="1"/>
  <c r="K30"/>
  <c r="K42" s="1"/>
  <c r="J30"/>
  <c r="J42" s="1"/>
  <c r="I30"/>
  <c r="I42" s="1"/>
  <c r="H30"/>
  <c r="H42" s="1"/>
  <c r="W29"/>
  <c r="Q29"/>
  <c r="Z28"/>
  <c r="Y28"/>
  <c r="X28"/>
  <c r="O28"/>
  <c r="D27"/>
  <c r="M26"/>
  <c r="K26"/>
  <c r="J26"/>
  <c r="I26"/>
  <c r="H26"/>
  <c r="H29" s="1"/>
  <c r="H25"/>
  <c r="D25" s="1"/>
  <c r="G24"/>
  <c r="D24" s="1"/>
  <c r="G23"/>
  <c r="D23" s="1"/>
  <c r="G20"/>
  <c r="D20" s="1"/>
  <c r="W19"/>
  <c r="D19" s="1"/>
  <c r="D18"/>
  <c r="W17"/>
  <c r="U17"/>
  <c r="L16"/>
  <c r="L26" s="1"/>
  <c r="K16"/>
  <c r="J16"/>
  <c r="I16"/>
  <c r="H16"/>
  <c r="D16"/>
  <c r="D15"/>
  <c r="Q14"/>
  <c r="P14"/>
  <c r="O14"/>
  <c r="N14"/>
  <c r="M14"/>
  <c r="L14"/>
  <c r="K14"/>
  <c r="J14"/>
  <c r="I14"/>
  <c r="K13"/>
  <c r="AE12"/>
  <c r="AE30" s="1"/>
  <c r="AE38" s="1"/>
  <c r="AD12"/>
  <c r="AD30" s="1"/>
  <c r="AC12"/>
  <c r="AB12"/>
  <c r="AA12"/>
  <c r="Z12"/>
  <c r="Y12"/>
  <c r="X12"/>
  <c r="W12"/>
  <c r="W121" s="1"/>
  <c r="W122" s="1"/>
  <c r="U12"/>
  <c r="U30" s="1"/>
  <c r="U38" s="1"/>
  <c r="T12"/>
  <c r="S12"/>
  <c r="S30" s="1"/>
  <c r="S42" s="1"/>
  <c r="R12"/>
  <c r="Q12"/>
  <c r="P12"/>
  <c r="O12"/>
  <c r="N12"/>
  <c r="N13" s="1"/>
  <c r="M12"/>
  <c r="M13" s="1"/>
  <c r="L12"/>
  <c r="L13" s="1"/>
  <c r="K12"/>
  <c r="J12"/>
  <c r="J13" s="1"/>
  <c r="I12"/>
  <c r="H12"/>
  <c r="G12"/>
  <c r="D12" s="1"/>
  <c r="U11"/>
  <c r="D11" s="1"/>
  <c r="D10"/>
  <c r="G9"/>
  <c r="G30" s="1"/>
  <c r="G42" s="1"/>
  <c r="D9"/>
  <c r="D8"/>
  <c r="AB40" l="1"/>
  <c r="AA40"/>
  <c r="D32"/>
  <c r="D50"/>
  <c r="S121"/>
  <c r="S122" s="1"/>
  <c r="T121"/>
  <c r="T122" s="1"/>
  <c r="D26"/>
  <c r="D36"/>
  <c r="D37"/>
  <c r="M48"/>
  <c r="M49" s="1"/>
  <c r="D71"/>
  <c r="D73"/>
  <c r="AE76"/>
  <c r="AE79" s="1"/>
  <c r="D79" s="1"/>
  <c r="G82"/>
  <c r="D82" s="1"/>
  <c r="P121"/>
  <c r="P122" s="1"/>
  <c r="D28"/>
  <c r="D14"/>
  <c r="D17"/>
  <c r="D31"/>
  <c r="D35"/>
  <c r="D47"/>
  <c r="I48"/>
  <c r="I49" s="1"/>
  <c r="K53"/>
  <c r="K121" s="1"/>
  <c r="K122" s="1"/>
  <c r="X53"/>
  <c r="X121" s="1"/>
  <c r="X122" s="1"/>
  <c r="K59"/>
  <c r="N61"/>
  <c r="N62"/>
  <c r="R62"/>
  <c r="AE121"/>
  <c r="AE122" s="1"/>
  <c r="AE40"/>
  <c r="D29"/>
  <c r="D34"/>
  <c r="P40"/>
  <c r="D51"/>
  <c r="O53"/>
  <c r="O121" s="1"/>
  <c r="O122" s="1"/>
  <c r="L59"/>
  <c r="H61"/>
  <c r="O62"/>
  <c r="D115"/>
  <c r="G121"/>
  <c r="G122" s="1"/>
  <c r="Y53"/>
  <c r="Y121" s="1"/>
  <c r="Y122" s="1"/>
  <c r="Y59"/>
  <c r="Y62" s="1"/>
  <c r="AC60"/>
  <c r="D60" s="1"/>
  <c r="AC121"/>
  <c r="AC122" s="1"/>
  <c r="D57"/>
  <c r="AE58"/>
  <c r="D58" s="1"/>
  <c r="D75"/>
  <c r="W78"/>
  <c r="D78" s="1"/>
  <c r="AD53"/>
  <c r="AD59" s="1"/>
  <c r="AD62" s="1"/>
  <c r="K74"/>
  <c r="D72"/>
  <c r="AB53"/>
  <c r="AB59" s="1"/>
  <c r="AB62" s="1"/>
  <c r="R59"/>
  <c r="R121"/>
  <c r="R122" s="1"/>
  <c r="AA121"/>
  <c r="AA122" s="1"/>
  <c r="AA53"/>
  <c r="AA59" s="1"/>
  <c r="AA62" s="1"/>
  <c r="D96"/>
  <c r="F98"/>
  <c r="D98" s="1"/>
  <c r="W40"/>
  <c r="U40"/>
  <c r="D38"/>
  <c r="D49"/>
  <c r="D39"/>
  <c r="D33"/>
  <c r="D61"/>
  <c r="M42"/>
  <c r="D42" s="1"/>
  <c r="I53"/>
  <c r="D104"/>
  <c r="H53"/>
  <c r="H121" s="1"/>
  <c r="H122" s="1"/>
  <c r="D91"/>
  <c r="I13"/>
  <c r="D13" s="1"/>
  <c r="S77"/>
  <c r="D90"/>
  <c r="R74"/>
  <c r="G21"/>
  <c r="G43"/>
  <c r="D43" s="1"/>
  <c r="Z52"/>
  <c r="D52" s="1"/>
  <c r="N53"/>
  <c r="N121" s="1"/>
  <c r="N122" s="1"/>
  <c r="P59"/>
  <c r="D69"/>
  <c r="F106"/>
  <c r="F117"/>
  <c r="D117" s="1"/>
  <c r="J121"/>
  <c r="J122" s="1"/>
  <c r="F121"/>
  <c r="U53"/>
  <c r="T74"/>
  <c r="Q53"/>
  <c r="Q121" s="1"/>
  <c r="Q122" s="1"/>
  <c r="M121"/>
  <c r="M122" s="1"/>
  <c r="F107"/>
  <c r="D107" s="1"/>
  <c r="L121"/>
  <c r="L122" s="1"/>
  <c r="U121"/>
  <c r="U122" s="1"/>
  <c r="D68"/>
  <c r="T30"/>
  <c r="T38" s="1"/>
  <c r="T40" s="1"/>
  <c r="D62" l="1"/>
  <c r="D76"/>
  <c r="D48"/>
  <c r="D40"/>
  <c r="D41" s="1"/>
  <c r="Z121"/>
  <c r="Z122" s="1"/>
  <c r="I121"/>
  <c r="I122" s="1"/>
  <c r="AB121"/>
  <c r="AB122" s="1"/>
  <c r="D21"/>
  <c r="G22"/>
  <c r="D22" s="1"/>
  <c r="F108"/>
  <c r="D108" s="1"/>
  <c r="D106"/>
  <c r="F122"/>
  <c r="D74"/>
  <c r="K77"/>
  <c r="D77" s="1"/>
  <c r="D59"/>
  <c r="D53"/>
  <c r="AD121"/>
  <c r="AD122" s="1"/>
  <c r="D30"/>
  <c r="D121" l="1"/>
  <c r="D122"/>
  <c r="D24" i="2" l="1"/>
  <c r="D27" s="1"/>
  <c r="G10" l="1"/>
  <c r="G11"/>
  <c r="G12"/>
  <c r="G13"/>
  <c r="G14"/>
  <c r="G15"/>
  <c r="G16"/>
  <c r="G17"/>
  <c r="G18"/>
  <c r="G19"/>
  <c r="G20"/>
  <c r="G21"/>
  <c r="G22"/>
  <c r="G23"/>
  <c r="G24"/>
  <c r="G25"/>
  <c r="G26"/>
  <c r="G9"/>
  <c r="G27" l="1"/>
</calcChain>
</file>

<file path=xl/sharedStrings.xml><?xml version="1.0" encoding="utf-8"?>
<sst xmlns="http://schemas.openxmlformats.org/spreadsheetml/2006/main" count="667" uniqueCount="307">
  <si>
    <t>м2</t>
  </si>
  <si>
    <t>СОГЛАСОВАНО:</t>
  </si>
  <si>
    <t>Техническое задание</t>
  </si>
  <si>
    <t>№ п/п</t>
  </si>
  <si>
    <t>Наименование работ</t>
  </si>
  <si>
    <t>Ед. изм.</t>
  </si>
  <si>
    <t>Кол-во</t>
  </si>
  <si>
    <t>Нач. РМЦ</t>
  </si>
  <si>
    <t>Инженер-строитель</t>
  </si>
  <si>
    <t>А.В. Темненко</t>
  </si>
  <si>
    <t>м.п.</t>
  </si>
  <si>
    <t>Стены</t>
  </si>
  <si>
    <t>Пол</t>
  </si>
  <si>
    <t>Разное</t>
  </si>
  <si>
    <t>т</t>
  </si>
  <si>
    <t>Уборка мусора и складирование его в мешках на поддонах на земле</t>
  </si>
  <si>
    <t>Погрузка и вывоз мусора (утилизация строительного мусора находится в зоне ответственности порядчика и осуществляется за счет подрядчика)</t>
  </si>
  <si>
    <t>Примечание</t>
  </si>
  <si>
    <t>__________ П.В. Ластовченко</t>
  </si>
  <si>
    <t>на выполнение  косметического ремонта в помещениях  здания транспортного цеха (лестничная клетка, раздевалка, прачечная)</t>
  </si>
  <si>
    <t>Цена</t>
  </si>
  <si>
    <t>Сумма</t>
  </si>
  <si>
    <t>Лестничная клетка (высота помещения до 4,5 м.)</t>
  </si>
  <si>
    <t>Потолок</t>
  </si>
  <si>
    <t>Подготовка поверхности потолка (замывка старой побелки, удаление отшелушивающейся шпаклевки) (высота выполнения работ до 4,5м.)</t>
  </si>
  <si>
    <t>Шпаклевание  участками поверхности потолка толщ. до 5 мм (с учетом подготовки поверхности:  грунтования), при необходимости за 2 раза (стартовая и финишная шпаклевка), под побелку (высота выполнения работ до 4,5м.)</t>
  </si>
  <si>
    <t>Грунтовка один слой 23,                Шпакшевка старт 100,      Грунтовка второй слой 23,           Шпеклевка финиш 100,</t>
  </si>
  <si>
    <t>Побелка поверхности потолка (высота выполнения работ до 4,5м.)</t>
  </si>
  <si>
    <t>Подготовка поверхности стен и откосов (замывка старой побелки, удаление грязи с маслянной краски, удаление отшелушивающейся шпаклевки)</t>
  </si>
  <si>
    <t>Шпаклевание участками поверхности стен участками толщ. до 5 мм (с учетом подготовки поверхности:  грунтования), при необходимости за 2 раза (стартовая и финишная шпаклевка), под покраску</t>
  </si>
  <si>
    <t>Грунтовка один слой 22,                Шпакшевка старт 93,      Грунтовка второй слой 22,           Шпеклевка финиш 93,</t>
  </si>
  <si>
    <t xml:space="preserve">Побелка  поверхности стен  </t>
  </si>
  <si>
    <t xml:space="preserve">Окраска поверхности стен масляной краской за 2 раза  </t>
  </si>
  <si>
    <t>Покраска плинтуса масляной краской (стена 50мм. / пол до 130мм.) с учетом подготовки поверхности (зачистка старой отшелушивающейся краски, удаления грязи, обеспыливание)</t>
  </si>
  <si>
    <t>Окраска деревянных оконных рам за 2 раза с учетом подготовки поверхности (обеспыливание, очистка от грязи,  зачистка отшелущивающейся краски), одна плоскость</t>
  </si>
  <si>
    <t>площадь окна,  одна плоскость</t>
  </si>
  <si>
    <t>Окраска перил высотой 1,0 м с учетом подготовки поверхности (обеспыливание, очистка от грязи,  зачистка отшелущивающейся краски)</t>
  </si>
  <si>
    <t>Шпаклевание учасками поверхности откосов, толщ. до 5 мм (с учетом подготовки поверхности:  грунтования), при необходимости за 2 раза (стартовая и финишная шпаклевка), под покраску</t>
  </si>
  <si>
    <t>Грунтовка один слой 20,                Шпакшевка старт 88,      Грунтовка второй слой 20,           Шпеклевка финиш 88,</t>
  </si>
  <si>
    <t>Окраска металлических дверей за 2 раза с учетом подготовки поверхности (обеспыливание, очистка от грязи,  зачистка отшелущивающейся краски), одна плоскость</t>
  </si>
  <si>
    <t>Шпаклевание учасками поверхности балки на потолке 0,27*0,24 м., толщ. до 5 мм (с учетом подготовки поверхности:  грунтования), при необходимости за 2 раза (стартовая и финишная шпаклевка), под побелку</t>
  </si>
  <si>
    <t>Окраска металлических труб за 2 раза с учетом подготовки поверхности (обеспыливание, очистка от грязи,  зачистка отшелущивающейся краски), одна плоскость</t>
  </si>
  <si>
    <t>Уборка строительного мусора с места выполнения работ с погрузкой в меши и складированием на поддоны на улице.</t>
  </si>
  <si>
    <t>Общая сумма работ по обекту</t>
  </si>
  <si>
    <t>ВСЕГО б/НДС</t>
  </si>
  <si>
    <t>НДС</t>
  </si>
  <si>
    <t>ИТОГО С НДС</t>
  </si>
  <si>
    <t>Вопросы на согласование</t>
  </si>
  <si>
    <t xml:space="preserve">Сроки выполнения работ - 30 дней </t>
  </si>
  <si>
    <t xml:space="preserve">Предоплата - 30% </t>
  </si>
  <si>
    <t>При выполнение половины объема - еще 40%</t>
  </si>
  <si>
    <t>По окончанию работ оплата остатка 30%</t>
  </si>
  <si>
    <t>Код ЕДРПОу 42021067</t>
  </si>
  <si>
    <t>Скидка - 5500грн</t>
  </si>
  <si>
    <t>Расходники - поставка заказчика</t>
  </si>
  <si>
    <t>ПОЛ</t>
  </si>
  <si>
    <t>СТЕНЫ</t>
  </si>
  <si>
    <t>РАЗНОЕ</t>
  </si>
  <si>
    <t>Демонтаж цементно-песчаной стяжки толщ. до 50 мм. участками</t>
  </si>
  <si>
    <t>Устройство цементно-песчаной стяжки толщ. до 50 мм. участками с учетом подготовительных работ (обеспыливание, грунтование и т.п.)</t>
  </si>
  <si>
    <t>п.м.</t>
  </si>
  <si>
    <t>Укладка плитки размером 300*300 на пол участками с учетом полного комплекса работ (очистка поверхности пола, грунтование, укладка плитки с подрезкой, заделка швов, очитска плитки от клея и т.п.)</t>
  </si>
  <si>
    <t xml:space="preserve">на выполнения  ремонта  в помещении цеха №7 </t>
  </si>
  <si>
    <t>Подготовка поверхности стен и колон под штукатурку (зачистка старой маслянной краски,  побелки и т.п.)</t>
  </si>
  <si>
    <t>шт</t>
  </si>
  <si>
    <t>Демонтаж дверных блоков в комплекте (обналичники, дверное полотно, лутка) площадью до 2,2м2</t>
  </si>
  <si>
    <t>кг</t>
  </si>
  <si>
    <t>Монтаж уголка 50*50 на углах колонн на высоту до 2,0м. с учетом покраски уголков за 2 раза</t>
  </si>
  <si>
    <t>Демонтаж напольного покрытия (плитка с клеем)</t>
  </si>
  <si>
    <t>м3</t>
  </si>
  <si>
    <t>Укладка плитки 400*250 мм. на колонны на высоту до 2,0м.  в полном конструктиве (обеспыливание и грунтование поверхности,  монтаж штукатурной сетки, укладка плитки с учетом монтажа наружных пластиковых уголков, заделка швов, очистка плитки от клея и т.д.)</t>
  </si>
  <si>
    <t>Укладка плитки 400*250 мм. на стены на высоту до 2,0м.  в полном конструктиве (обеспыливание и грунтование поверхности,  монтаж штукатурной сетки, укладка плитки с учетом монтажа наружных пластиковых уголков, заделка швов, очистка плитки от клея и т.д.)</t>
  </si>
  <si>
    <t>7.1</t>
  </si>
  <si>
    <t>7.2</t>
  </si>
  <si>
    <t>8.1</t>
  </si>
  <si>
    <t>8.2</t>
  </si>
  <si>
    <t>9.1</t>
  </si>
  <si>
    <t>9.2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</si>
  <si>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</si>
  <si>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</si>
  <si>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</si>
  <si>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</si>
  <si>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</si>
  <si>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</si>
  <si>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</si>
  <si>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</si>
  <si>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</si>
  <si>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</si>
  <si>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</si>
  <si>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</si>
  <si>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</si>
  <si>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</si>
  <si>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</si>
  <si>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Туалет 
Ж</t>
  </si>
  <si>
    <t>Туалет 
М</t>
  </si>
  <si>
    <t>Тамбур 
Ж</t>
  </si>
  <si>
    <t>Тамбур 
М</t>
  </si>
  <si>
    <t>Душевая
Ж</t>
  </si>
  <si>
    <t>Душевая
М</t>
  </si>
  <si>
    <t>Раздевалка
Ж</t>
  </si>
  <si>
    <t>Раздевалка
М</t>
  </si>
  <si>
    <t>Коридор</t>
  </si>
  <si>
    <t>Тамбур</t>
  </si>
  <si>
    <t>Компрессорная</t>
  </si>
  <si>
    <t>Санпропускник</t>
  </si>
  <si>
    <t>Склад этикетки</t>
  </si>
  <si>
    <t>Лестничная клетка</t>
  </si>
  <si>
    <t>Помещение №1</t>
  </si>
  <si>
    <t>Помещение №2</t>
  </si>
  <si>
    <t>Столовая</t>
  </si>
  <si>
    <t>Склад комплектующих</t>
  </si>
  <si>
    <t>Бытовое помещение мастера</t>
  </si>
  <si>
    <t>Кабинет мастера</t>
  </si>
  <si>
    <t>Слесарная мастерская</t>
  </si>
  <si>
    <t>Помещение №3 (компресораня)</t>
  </si>
  <si>
    <t>Вентиляционная</t>
  </si>
  <si>
    <t>Мойка</t>
  </si>
  <si>
    <t>БЫТОВЫЕ  ПОМЕЩЕНИЕ ЦЕХА №7 (высота помещений до 3,0 м.), располагаются на 1-м и 2-м этажах</t>
  </si>
  <si>
    <t>Коридор (компрессорная)</t>
  </si>
  <si>
    <t>Усиление выполненых дверных проемов (зарезание в шлакоблочную кладку, изготовление и монтаж м/к элементов усиления, покраска м/к элементов усиления за 2 раза)</t>
  </si>
  <si>
    <t>Демонтаж стен из кирпичной кладки толщ. 250 мм.</t>
  </si>
  <si>
    <t>Устройство стен из кирпичной кладки толщ. 250 мм.</t>
  </si>
  <si>
    <t>Устройство перегородок из гипсокартона толщ. 125 мм.</t>
  </si>
  <si>
    <t>Устройство перегородок из кирпичной кладки толщ. 125 мм.</t>
  </si>
  <si>
    <t>Демонтаж перегородок из кирпичной кладки толщ. 125 мм.</t>
  </si>
  <si>
    <t>с учетом шумоизоляции</t>
  </si>
  <si>
    <t>с учетом армирования кладки каждые 5 рядов кладки</t>
  </si>
  <si>
    <r>
      <rPr>
        <sz val="12"/>
        <color rgb="FFFF0000"/>
        <rFont val="Calibri"/>
        <family val="2"/>
        <charset val="204"/>
        <scheme val="minor"/>
      </rPr>
      <t>с учетом армирования кладки</t>
    </r>
    <r>
      <rPr>
        <sz val="12"/>
        <rFont val="Calibri"/>
        <family val="2"/>
        <charset val="204"/>
        <scheme val="minor"/>
      </rPr>
      <t xml:space="preserve"> каждые 5 рядов кладки и в т.ч. и закладка дверных проемов</t>
    </r>
  </si>
  <si>
    <t>Устройство перегородок из газобетона  толщ. 100 мм.</t>
  </si>
  <si>
    <r>
      <rPr>
        <sz val="12"/>
        <color rgb="FFFF0000"/>
        <rFont val="Calibri"/>
        <family val="2"/>
        <charset val="204"/>
        <scheme val="minor"/>
      </rPr>
      <t>с учетом армирования кладки</t>
    </r>
    <r>
      <rPr>
        <sz val="12"/>
        <rFont val="Calibri"/>
        <family val="2"/>
        <charset val="204"/>
        <scheme val="minor"/>
      </rPr>
      <t xml:space="preserve"> каждые 4 рядов кладки</t>
    </r>
  </si>
  <si>
    <t>для последующего оштукатуривания</t>
  </si>
  <si>
    <t>Демонтаж штукатурного слоя до 30мм. участками со стен и колонн</t>
  </si>
  <si>
    <t>Оштукатуривание стен толщ. до 30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 / под шпаклевку (покраску)</t>
  </si>
  <si>
    <t>Оштукатуривание колонн толщ. до 20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 / под шпаклевку (покраску)</t>
  </si>
  <si>
    <t>Устройство в оконных проемах откосов шириной  до 250 мм.   с окраской водоэмульсионной краской  с учетом всего необходимого перечня работ (зачистка, грунтование, оштукатуривание (при необходимости по штукатурной сетке), монтаж контршульца, шпаклевание, покраска водоэмульсионной краской за 2 раза и т.п.)</t>
  </si>
  <si>
    <t>Устройство дверных проемах откосов шириной  до 150 мм.   с окраской водоэмульсионной краской  с учетом всего необходимого перечня работ (зачистка, грунтование, оштукатуривание (при необходимости по штукатурной сетке), монтаж контршульца, шпаклевание, покраска водоэмульсионной краской за 2 раза и т.п.)</t>
  </si>
  <si>
    <t>Общий мусор</t>
  </si>
  <si>
    <t>Обратная засыпка траншей/приямков песком с послойным трамбованием</t>
  </si>
  <si>
    <t>Траншеи после прокладки канализационных  коммукаций</t>
  </si>
  <si>
    <r>
      <t xml:space="preserve">Устройство армированной </t>
    </r>
    <r>
      <rPr>
        <sz val="12"/>
        <color rgb="FFFF0000"/>
        <rFont val="Calibri"/>
        <family val="2"/>
        <charset val="204"/>
        <scheme val="minor"/>
      </rPr>
      <t xml:space="preserve">(арматурной сеткой) цементно-песчаной стяжки толщ. </t>
    </r>
    <r>
      <rPr>
        <sz val="12"/>
        <rFont val="Calibri"/>
        <family val="2"/>
        <charset val="204"/>
        <scheme val="minor"/>
      </rPr>
      <t>до 70 мм. участками с учетом подготовительных работ (обеспыливание, грунтование и т.п.) с устройством топингового покрытия (в полном комплексе работ: механическое затирание топинга, вскрытие лаком и т.п.)</t>
    </r>
  </si>
  <si>
    <t>во всех помещениях где покрашены стены, а на полу плитка</t>
  </si>
  <si>
    <t>Устройство обмазчной гидроизоляции</t>
  </si>
  <si>
    <t>Душевая, туалет</t>
  </si>
  <si>
    <r>
      <t>Устройство монолитной ж/бетонной плиты (</t>
    </r>
    <r>
      <rPr>
        <sz val="12"/>
        <color rgb="FFFF0000"/>
        <rFont val="Calibri"/>
        <family val="2"/>
        <charset val="204"/>
        <scheme val="minor"/>
      </rPr>
      <t>участками</t>
    </r>
    <r>
      <rPr>
        <sz val="12"/>
        <color theme="1"/>
        <rFont val="Calibri"/>
        <family val="2"/>
        <charset val="204"/>
        <scheme val="minor"/>
      </rPr>
      <t xml:space="preserve">) толщ. 200мм. Армирование арматурная сетка 200*200 </t>
    </r>
    <r>
      <rPr>
        <sz val="12"/>
        <color theme="1"/>
        <rFont val="Calibri"/>
        <family val="2"/>
        <charset val="204"/>
      </rPr>
      <t>Ø10А400С с учетом забуривания и стыковки с существующей ж/бетонной  плитой, с учетом изготовления бетона по месту силами подрядчика.</t>
    </r>
  </si>
  <si>
    <t>Изготовление и монтаж мелких металлоконструкций с учетом покраски за 2 раза</t>
  </si>
  <si>
    <t xml:space="preserve">Пандусы из м/к в помещения №3, 4, 12, 13, 14 </t>
  </si>
  <si>
    <t xml:space="preserve">Душевая, </t>
  </si>
  <si>
    <t>ПОТОЛОК</t>
  </si>
  <si>
    <t>Подготовка поверхности потолка под шпаклевку (зачистка старой маслянной краски,  побелки и т.п.)</t>
  </si>
  <si>
    <t>Заделка швов м/у плитами перекрытия</t>
  </si>
  <si>
    <t>при необходимости с учетом разделки швов м/уплитами</t>
  </si>
  <si>
    <t>Шпаклевание поверхности стен по штукатурной сетке ПВХ  под покраску с предварительным грунтованием поверхности</t>
  </si>
  <si>
    <t>Шпаклевание поверхности колонн по штукатурной сетке ПВХ под покраску с предварительным грунтованием поверхности и монтажом контрашульца</t>
  </si>
  <si>
    <t>Покраска в 2 слоя поверхности стен, колон водоэмульсионной  краской с учетом предварительной подготовки поверхности под покраску (обеспыливание, грунтование и т.п.)</t>
  </si>
  <si>
    <t>Шпаклевание поверхности потолка по штукатурной сетке ПВХ  под покраску с предварительным грунтованием поверхности</t>
  </si>
  <si>
    <t>Покраска в 2 слоя поверхности потолка водоэмульсионной  краской с учетом предварительной подготовки поверхности под покраску (обеспыливание, грунтование и т.п.)</t>
  </si>
  <si>
    <t>Покраска в 2 слоя поверхности стен, колон эмалью с учетом предварительной подготовки поверхности под покраску (обеспыливание, грунтование и т.п.)</t>
  </si>
  <si>
    <t>Плинтус высотой 1,5м</t>
  </si>
  <si>
    <t>Монтаж подвесного потолка из гипсокартона с учетом полного комплекса работ (монтаж каркаса, монтаж гипсокартона, заделка швов и подготовка под шпаклевку т т.п.)</t>
  </si>
  <si>
    <t>По ребристым плитам покрытия. Площадь взята по площади пола. Работа по ребрам в плитах учесть  в цене.</t>
  </si>
  <si>
    <t>По плоским плитам перекрытия или гипсокартону</t>
  </si>
  <si>
    <t>козырьки над ходом</t>
  </si>
  <si>
    <t>Монтаж профлиста с учетом подрезки</t>
  </si>
  <si>
    <t>Демонтаж плитки с учетом клея</t>
  </si>
  <si>
    <t xml:space="preserve">козырьки над ходом </t>
  </si>
  <si>
    <t>ПОМЕЩЕНИЕ ЦЕХА №7 (высота помещений до 6,0 м.)</t>
  </si>
  <si>
    <t>на высоту до 2-х метров</t>
  </si>
  <si>
    <t>на высоту свыше 2-х метров</t>
  </si>
  <si>
    <t>на высоте до 4,5 м.</t>
  </si>
  <si>
    <t>Устройство дверных проемах откосов шириной  до 250 мм.   с окраской водоэмульсионной краской  с учетом всего необходимого перечня работ (зачистка, грунтование, оштукатуривание (при необходимости по штукатурной сетке), монтаж контршульца, шпаклевание, покраска водоэмульсионной краской за 2 раза и т.п.)</t>
  </si>
  <si>
    <t>Подготовка поверхности балок покрытия под шпаклевку (зачистка старой маслянной краски,  побелки и т.п.)</t>
  </si>
  <si>
    <t>Балки покрытия (ж/бетонные):
1-я - пролетом 6м.
2-я - пролетом 12м.
3-я - пролетом 6м (50% длины)</t>
  </si>
  <si>
    <t xml:space="preserve">Балки покрытия (ж/бетонные) пролетом 6м.
</t>
  </si>
  <si>
    <t>Шпаклевание поверхности балок покрытия  под покраску с предварительным грунтованием поверхности</t>
  </si>
  <si>
    <t>Шпаклевание поверхности потолка  под покраску с предварительным грунтованием поверхности</t>
  </si>
  <si>
    <t>Шпаклевание поверхности потолка под покраску с предварительным грунтованием поверхности</t>
  </si>
  <si>
    <t>Покраска в 2 слоя поверхности балок покрытия водоэмульсионной  краской с учетом предварительной подготовки поверхности под покраску (обеспыливание, грунтование и т.п.)</t>
  </si>
  <si>
    <t>Демонтаж напольного покрытия (линолеум)</t>
  </si>
  <si>
    <r>
      <t>Заделка премов в кирпичной стене до 380 мм. участками (проемы  0,015</t>
    </r>
    <r>
      <rPr>
        <sz val="12"/>
        <rFont val="Calibri"/>
        <family val="2"/>
        <charset val="204"/>
      </rPr>
      <t>÷</t>
    </r>
    <r>
      <rPr>
        <sz val="12"/>
        <rFont val="Calibri"/>
        <family val="2"/>
        <charset val="204"/>
        <scheme val="minor"/>
      </rPr>
      <t>0,09м2)</t>
    </r>
  </si>
  <si>
    <t>Демонтаж постаментов из шлакоблока/кирпича</t>
  </si>
  <si>
    <t xml:space="preserve">Демонтаж мелких металлоконструкций </t>
  </si>
  <si>
    <t>в т.ч. креплений кабельной продукции</t>
  </si>
  <si>
    <t>входная дверь с утеплением</t>
  </si>
  <si>
    <t>Демонтаж асфальтобетонного покрытия толщ. 60мм.</t>
  </si>
  <si>
    <t>крыльцо входной двери</t>
  </si>
  <si>
    <t>Устройство монолитной ж/бетонной плиты  толщ. 200мм. Армирование арматурная сетка 200*200 Ø10А400С с учетом изготовления бетона по месту силами подрядчика.</t>
  </si>
  <si>
    <t>работы выполняются, согласно прилагаемого проекта</t>
  </si>
  <si>
    <t>работы выполняются, согласно прилагаемого проекта по помещению №2</t>
  </si>
  <si>
    <t>Оштукатуривание стен толщ. до 30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 на высоту до 2,0м.</t>
  </si>
  <si>
    <t>Оштукатуривание стен толщ. до 30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шпаклевку (покраску) на высоту свыше 2,0м.</t>
  </si>
  <si>
    <t>Оштукатуривание колонн толщ. до 20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 на высоту до 2,0м.</t>
  </si>
  <si>
    <t>Оштукатуривание колонн толщ. до 20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шпаклевку (покраску) на высоту свыше 2,0м.</t>
  </si>
  <si>
    <r>
      <t xml:space="preserve">Балки покрытия (ж/бетонные):
1-я - пролетом 6м.
2-я - пролетом 12м.
3-я - пролетом 6м (50% длины)
</t>
    </r>
    <r>
      <rPr>
        <sz val="12"/>
        <color rgb="FFFF0000"/>
        <rFont val="Calibri"/>
        <family val="2"/>
        <charset val="204"/>
        <scheme val="minor"/>
      </rPr>
      <t>две балки замурованные в стену в одном пролете - принимается, как одна балка</t>
    </r>
  </si>
  <si>
    <t>Монтаж профлиста на стены с учетом подрезок</t>
  </si>
  <si>
    <t>Монтаж ветробарьера на стены</t>
  </si>
  <si>
    <t>Монтаж утеплителя в перегородку</t>
  </si>
  <si>
    <t>Монтаж планок</t>
  </si>
  <si>
    <t>Монтаж м/к каркаса потолка</t>
  </si>
  <si>
    <t>Монтаж профлиста на потолок с учетом подрезок</t>
  </si>
  <si>
    <t>Монтаж ветробарьера на потолок</t>
  </si>
  <si>
    <t>Монтаж утеплителя на потолок</t>
  </si>
  <si>
    <t>Монтаж м/к каркаса перегородок и двери</t>
  </si>
  <si>
    <t>Монтаж подвесного потолка из пластиковых панелей с учетом полного комплекса работ (монтаж каркаса, монтаж пластиковых панелей, монтаж планок и т.п.)</t>
  </si>
  <si>
    <t>Отделка стен гипсокартоном (поклейка г/картонных листов на клей "Перфикс")</t>
  </si>
  <si>
    <t>Устройство дверных проемов 710*2100(h) мм. (6 шт.) и  910*2100(h) мм. (3 шт.)   в стене толщ. 200 мм. из шлакоблока (демонтаж шлакоблочной кладки)</t>
  </si>
  <si>
    <t>Укладка плитки 400*250 мм. на стены на высоту  в полном конструктиве (обеспыливание и грунтование поверхности,  монтаж штукатурной сетки, укладка плитки с учетом монтажа наружных пластиковых уголков, заделка швов, очистка плитки от клея и т.д.)</t>
  </si>
  <si>
    <t>с учетом штукатурки и чистовой отделки</t>
  </si>
  <si>
    <t>Демонтаж ж/бетонной плиты пола толщ. 200 мм.</t>
  </si>
  <si>
    <t>Резка  ж/бетонной плиты пола толщ. 200 мм.</t>
  </si>
  <si>
    <t>Для прокладки канализационных коммуникаций</t>
  </si>
  <si>
    <t>Разработка грунта</t>
  </si>
  <si>
    <r>
      <t xml:space="preserve">Укладка плитки 400*250 мм. </t>
    </r>
    <r>
      <rPr>
        <sz val="12"/>
        <color rgb="FFFF0000"/>
        <rFont val="Calibri"/>
        <family val="2"/>
        <charset val="204"/>
        <scheme val="minor"/>
      </rPr>
      <t xml:space="preserve">на колонны </t>
    </r>
    <r>
      <rPr>
        <sz val="12"/>
        <color theme="1"/>
        <rFont val="Calibri"/>
        <family val="2"/>
        <charset val="204"/>
        <scheme val="minor"/>
      </rPr>
      <t>на высоту  в полном конструктиве (обеспыливание и грунтование поверхности,  монтаж штукатурной сетки, укладка плитки с учетом монтажа наружных пластиковых уголков, заделка швов, очистка плитки от клея и т.д.)</t>
    </r>
  </si>
  <si>
    <r>
      <t xml:space="preserve">Шпаклевание поверхности </t>
    </r>
    <r>
      <rPr>
        <sz val="12"/>
        <color rgb="FFFF0000"/>
        <rFont val="Calibri"/>
        <family val="2"/>
        <charset val="204"/>
        <scheme val="minor"/>
      </rPr>
      <t>колонн</t>
    </r>
    <r>
      <rPr>
        <sz val="12"/>
        <color theme="1"/>
        <rFont val="Calibri"/>
        <family val="2"/>
        <charset val="204"/>
        <scheme val="minor"/>
      </rPr>
      <t xml:space="preserve"> по штукатурной сетке ПВХ под покраску с предварительным грунтованием поверхности и монтажом контрашульца</t>
    </r>
  </si>
  <si>
    <r>
      <t xml:space="preserve">Устройствона в оконных проемах откосов  шириной  до 250 мм.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</si>
  <si>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r>
      <t xml:space="preserve">Устройство дверных проемах откосов шириной  до 150 мм. 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</si>
  <si>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t>2*1,5</t>
  </si>
  <si>
    <t>Изготовление и монтаж перемычки из двух  уголков 50*50*5 длиной до 1,3 п.м.</t>
  </si>
  <si>
    <t>Демонтаж постаментов из ж/бетона</t>
  </si>
  <si>
    <t>Демонтаж мелких металлоконструкций (настилы)</t>
  </si>
  <si>
    <t>5.1
6.1</t>
  </si>
  <si>
    <t>5.2
6.2</t>
  </si>
  <si>
    <t>Укладка плинтуса 300*150 из  плитки размером 300*300 на стены и вдоль ступеней лестницы (проступь - 300 мм.,  подступенок - 150мм) с учетом полного комплекса работ (очистка поверхности стены, грунтование, порезка плитки, укладка плинтуса из плитки, заделка швов, очитска плитки от клея и т.п.)</t>
  </si>
  <si>
    <t>Монтаж пластикового плинтуса с учетом подрезки и монтажа комплектующих</t>
  </si>
  <si>
    <t>Демонтаж и монтаж металлоконструкции с учетом покраски за 2 раза</t>
  </si>
  <si>
    <t>лестница</t>
  </si>
  <si>
    <t>Демонтаж OSB листа</t>
  </si>
  <si>
    <t>Монтаж OSB листа</t>
  </si>
  <si>
    <t>Покраска пола маслянной краской</t>
  </si>
  <si>
    <t>Укладка плитки размером 300*300 на ступени лестницы (проступь - 300 мм.,  подступенок - 170мм) с учетом полного комплекса работ (очистка поверхности лестницы, грунтование, укладка плитки с подрезкой, заделка швов, очитска плитки от клея, монтаж антискользящего уголка на краю проступи и т.п.)</t>
  </si>
  <si>
    <t>Покраска металлоконструкций за два раза</t>
  </si>
  <si>
    <t>с учетом д/монтажа 2-х чаш "Генуя"</t>
  </si>
  <si>
    <t>Покраска оконной рамы за 2 раза</t>
  </si>
  <si>
    <t>площадь оконной раммы, в цене учесть лутку</t>
  </si>
  <si>
    <t>Покраска металлоконструкций решетки за два раза</t>
  </si>
  <si>
    <t>площадь решетки</t>
  </si>
  <si>
    <t>трубы, двери и т.п.</t>
  </si>
  <si>
    <t>"_____"_______________2026г.</t>
  </si>
  <si>
    <t>1-й этаж</t>
  </si>
  <si>
    <t xml:space="preserve"> 2-й этаж</t>
  </si>
  <si>
    <t>для последующего оштукатуривания,  объем может быть уменьшен в зависимости от состояния существующего штукатурного слоя</t>
  </si>
  <si>
    <t>объем может быть уменьшен в зависимости от состояния существующего штукатурного слоя</t>
  </si>
  <si>
    <t>Демонтаж штукатурки толщ. до 20 мм.</t>
  </si>
  <si>
    <r>
      <t xml:space="preserve">Устройство в оконных проемах откосов  шириной  до 250 мм.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</si>
  <si>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t>Устройство цементно-песчаной стяжки толщ. до 50 мм.  с учетом разуклонки  и монтажа канализационного трапа, с учетом подготовительных работ (обеспыливание, грунтование, укладка арматурной сетки и т.п.).</t>
  </si>
  <si>
    <t xml:space="preserve">на выполнения  ремонта  в помещении бытовых помещениях цеха №7 </t>
  </si>
  <si>
    <t xml:space="preserve">Мойка (высота помещений до 2,5 м.), </t>
  </si>
  <si>
    <t>Туалеты (высота помещения до 2,5 м.)</t>
  </si>
  <si>
    <t>Демонтаж оконного блока</t>
  </si>
  <si>
    <t>Оштукатуривание стен толщ. до 30 мм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</t>
  </si>
  <si>
    <t>Монтаж гипсокартона по Перфиксу с предварительной подготовкой поверхности стен (очистка от мусора, обеспыливание, грунтование поверхности, монтаж штукатурной стальной сетки  и т.п.) под укладку плитки</t>
  </si>
  <si>
    <t>Зачистка стен от старой краски/побелки под укладку плитки</t>
  </si>
  <si>
    <t>Кирпичная кладка простенка толщ. 250 мм.  (частичная закладка оконного проема)</t>
  </si>
  <si>
    <r>
      <t xml:space="preserve">Устройство в оконных проемах откосов  шириной  до 200 мм.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</si>
  <si>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t>Устройство дверных проемов 710*2100(h) мм. (1 шт.)  в стене толщ. 200 мм. из шлакоблока (демонтаж шлакоблочной кладки)</t>
  </si>
  <si>
    <t>Разработка грунта глубиной до 1,0 м</t>
  </si>
  <si>
    <t>Демонтаж асфальтобетона толщ. до 50 мм. участками с учетом резки асфальтобетона</t>
  </si>
  <si>
    <t>Демонтаж бетонной плиты  толщ. до 150 мм. участками с учетом резки бетона</t>
  </si>
  <si>
    <t>Демонтаж цементно-песчаной стяжки толщ. до 50 мм. участками с учетом резки цементно-песчаной стяжки</t>
  </si>
  <si>
    <t>Устройство цементно-песчаной стяжки толщ. до 50 мм.  с учетом , с учетом подготовительных работ (обеспыливание, грунтование, укладка арматурной сетки и т.п.).</t>
  </si>
  <si>
    <t>Санпропускнник (высота помещения до 2,5 м.)</t>
  </si>
  <si>
    <t>Устройство дверных проемов 900*2100(h) мм. (1 шт.)  в стене толщ. 200 мм. из шлакоблока (демонтаж шлакоблочной кладки)</t>
  </si>
  <si>
    <t>Кирпичная кладка перегородок толщ. 120 мм.</t>
  </si>
  <si>
    <t xml:space="preserve">Коридор и тамбур (высота помещений до 2,5 м.), </t>
  </si>
  <si>
    <t>Зачистка стен от старой краски/побелки под покраску</t>
  </si>
  <si>
    <t>Устройство дверных проемов 900*2100(h) мм. (2 шт.)  в стене толщ. 200 мм. из шлакоблока (демонтаж шлакоблочной кладки)</t>
  </si>
  <si>
    <t>Демонтаж мелких металлоконструкций</t>
  </si>
  <si>
    <r>
      <t xml:space="preserve">Устройство в дверных проемах откосов шириной  до 150 мм. 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</si>
  <si>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r>
      <t xml:space="preserve">Устройствов  дверных проемах откосов шириной  до 150 мм.  </t>
    </r>
    <r>
      <rPr>
        <sz val="12"/>
        <color rgb="FFFF0000"/>
        <rFont val="Calibri"/>
        <family val="2"/>
        <charset val="204"/>
        <scheme val="minor"/>
      </rPr>
      <t>с отделкой плиткой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укладка плитки с подрезкой, монтаж пластиковых уголков, заделка швов, очистка плитки от клея и т.п.)</t>
    </r>
  </si>
  <si>
    <r>
      <t xml:space="preserve">Устройство в дверных проемах откосов шириной  до 150 мм.  </t>
    </r>
    <r>
      <rPr>
        <sz val="12"/>
        <color rgb="FFFF0000"/>
        <rFont val="Calibri"/>
        <family val="2"/>
        <charset val="204"/>
        <scheme val="minor"/>
      </rPr>
      <t>с покраской</t>
    </r>
    <r>
      <rPr>
        <sz val="12"/>
        <rFont val="Calibri"/>
        <family val="2"/>
        <charset val="204"/>
        <scheme val="minor"/>
      </rPr>
      <t xml:space="preserve"> с учетом всего необходимого перечня работ (зачистки, грунтование поверхности, оштукатуривание, шпаклевание, покраска)</t>
    </r>
  </si>
  <si>
    <t>Демонтаж дверного блока с луткой</t>
  </si>
  <si>
    <t>Монтаж дверного блока в комплекте</t>
  </si>
  <si>
    <t>Крыльцо и навес</t>
  </si>
  <si>
    <r>
      <t xml:space="preserve">Устройство монолитного ж/бетонного крыльца (армирование одинарное </t>
    </r>
    <r>
      <rPr>
        <sz val="12"/>
        <color theme="1"/>
        <rFont val="Calibri"/>
        <family val="2"/>
        <charset val="204"/>
      </rPr>
      <t>Ø10 шаг 200*200)</t>
    </r>
  </si>
  <si>
    <t>Изготовление и монтаж м/констукций навеса с учетом покраски м/конструкций 2 раза</t>
  </si>
  <si>
    <t>Монтаж профлиста на навес</t>
  </si>
  <si>
    <t>Монтаж планок примыкания профлиста к стенам  с учетом заделывания (зарезание) планки в кирпичную стену</t>
  </si>
  <si>
    <t>Обратная засыпка траншей/приямков песком с послойным трамбованием после прокладки канализационных труб</t>
  </si>
  <si>
    <t>Монтаж сантехнических приборов (раковина - 4 шт., унитаз - 2 шт.)</t>
  </si>
  <si>
    <t>Монтаж вентиляционных решеток (площадью до 0,03 м2)</t>
  </si>
  <si>
    <r>
      <t xml:space="preserve">Монтаж гипсокартонных перегородок под отделку плиткой с учетом полного компплекса работ (монтаж каркаса с учетом дверных проемов, устройство тепло/звукоизоляции, монтаж гипсокартона </t>
    </r>
    <r>
      <rPr>
        <sz val="12"/>
        <color rgb="FFFF0000"/>
        <rFont val="Calibri"/>
        <family val="2"/>
        <charset val="204"/>
        <scheme val="minor"/>
      </rPr>
      <t>по два слоя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и т.п.)</t>
    </r>
  </si>
  <si>
    <r>
      <t xml:space="preserve">Монтаж гипсокартонных перегородок под отделку плиткой с учетом полного компплекса работ (монтаж каркаса с учетом дверных проемов, устройство тепло/звукоизоляции, монтаж гипсокартона </t>
    </r>
    <r>
      <rPr>
        <sz val="12"/>
        <color rgb="FFFF0000"/>
        <rFont val="Calibri"/>
        <family val="2"/>
        <charset val="204"/>
        <scheme val="minor"/>
      </rPr>
      <t>по одному слою</t>
    </r>
    <r>
      <rPr>
        <sz val="12"/>
        <color theme="1"/>
        <rFont val="Calibri"/>
        <family val="2"/>
        <charset val="204"/>
        <scheme val="minor"/>
      </rPr>
      <t xml:space="preserve"> и т.п.)</t>
    </r>
  </si>
  <si>
    <t>Разработка грунта в траншее глубиной до 1,3 м. в ручную</t>
  </si>
  <si>
    <t>Устройство отверстия 150*150 в фундаменте шириной до 500 мм. (для прохода канализационной трубы)</t>
  </si>
  <si>
    <t>Устройство отверстия 150*150 канализационном колодце (для прохода канализационной трубы) с последующей заделкой после монтажа канализационной трубы</t>
  </si>
  <si>
    <t>Обратная отсыпка грунтом траншеи в ручную</t>
  </si>
  <si>
    <t xml:space="preserve">Уборка мусора и складирование его в мешках на поддонах </t>
  </si>
  <si>
    <t xml:space="preserve">Уборка грунта (лишнего) и складирование его в мешках на поддонах </t>
  </si>
  <si>
    <t>Погрузка и вывоз мусора (грунта) (утилизация строительного мусора находится в зоне ответственности порядчика и осуществляется за счет подрядчика)</t>
  </si>
  <si>
    <t>Планировка по месту грунта (лишнего)</t>
  </si>
  <si>
    <t xml:space="preserve">Сантехнические работы (внутренние и наружные) </t>
  </si>
  <si>
    <t>Укладка перемычке их спаренного уголка 50*50*5</t>
  </si>
  <si>
    <t>Устройство крыльца размером 1300*1200*200 (h) мм. с одной промежуточной ступенью с учетом полного комплекса работ (формирование крыльца и ступени из кирпича, отсыпка внутренней части песком с учетом трамбовки песка, устройство стяжки, оштукатуривание вертикальных поверхностей, укладка плитки размером 300*300 (вертикальная и горизонтальная части крыльца и ступеней) с учетом полного комплекса работ (подготовка поверхности, укладка плитки, монтаж уголков, заделка швов, монтаж противоскользящих порожков и т.п.)</t>
  </si>
  <si>
    <t>Монтаж дверного блока 900*2100(h) в комплекте</t>
  </si>
  <si>
    <t>Изготовление и монтаж наружного металлического дверного блока 1100*2100(h) с утеплением и внутренней отделкой двери  с учетом покраски м/конструкций 2 раза</t>
  </si>
  <si>
    <t>Промежуточный колодец (разработка грунта)</t>
  </si>
  <si>
    <t>Промежуточный колодец (Устройство щебеночной подушки, толщ. 100 мм.)</t>
  </si>
  <si>
    <t>Промежуточный колодец (Устройство монолитной плиты, тощ. 100 мм., одинарное армирование 150*150, приготовление бетонной смеси по месту)</t>
  </si>
  <si>
    <t>Промежуточный колодец (Кирпичная кладка (армированная) стенок колодца толщ. 250 мм. с приготовление раствора по месту)</t>
  </si>
  <si>
    <t>Промежуточный колодец (Оштукатуривание  стен колодца внутри и снаружи, приготовление раствора по месту)</t>
  </si>
  <si>
    <t>Промежуточный колодец (Гидроизоляция  стен колодца  снаружи)</t>
  </si>
  <si>
    <t>Промежуточный колодец (Устройство монолитной плиты перекрытия, тощ. 100 мм., одинарное армирование 150*150 с учетом монтажа канализационного люка, приготовление бетонной смеси по месту)</t>
  </si>
  <si>
    <t>Промежуточный колодец (Обратная отсыпка пазухов грунтом)</t>
  </si>
  <si>
    <t xml:space="preserve">Устройство песчаной подушки толщ. 100 мм. с уплотнением под канализационную трубу </t>
  </si>
  <si>
    <t>Прокладка канализационных труб ПВХ SDR 41 (SN4) ∅110×2,7 (в траншее по улице) с промыванием и испытанием</t>
  </si>
  <si>
    <t>Обратная засыпка песком канализационной трубв толщ. 300 мм. над трубой с уплотнением</t>
  </si>
  <si>
    <t>Бетонитрование отмостки толщ. 100</t>
  </si>
  <si>
    <t>Монтаж  канализационных труб диам. 50 и 110 мм. и отводов (в том числе под 6 сантехнических приборов) внутри помещения с учетом устройства песчаной подушки с промыванием и испытанием</t>
  </si>
</sst>
</file>

<file path=xl/styles.xml><?xml version="1.0" encoding="utf-8"?>
<styleSheet xmlns="http://schemas.openxmlformats.org/spreadsheetml/2006/main">
  <numFmts count="3">
    <numFmt numFmtId="164" formatCode="#&quot; &quot;##0.00"/>
    <numFmt numFmtId="165" formatCode="#&quot; &quot;##0.00&quot; &quot;&quot; &quot;"/>
    <numFmt numFmtId="166" formatCode="0.000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/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164" fontId="1" fillId="0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vertical="top" wrapText="1"/>
    </xf>
    <xf numFmtId="0" fontId="1" fillId="12" borderId="1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vertical="top" wrapText="1"/>
    </xf>
    <xf numFmtId="0" fontId="3" fillId="12" borderId="1" xfId="0" applyFont="1" applyFill="1" applyBorder="1" applyAlignment="1">
      <alignment horizontal="center" vertical="center"/>
    </xf>
    <xf numFmtId="164" fontId="1" fillId="12" borderId="1" xfId="0" applyNumberFormat="1" applyFont="1" applyFill="1" applyBorder="1" applyAlignment="1">
      <alignment vertical="center"/>
    </xf>
    <xf numFmtId="164" fontId="8" fillId="12" borderId="1" xfId="0" applyNumberFormat="1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0" xfId="0" applyFont="1" applyFill="1"/>
    <xf numFmtId="165" fontId="1" fillId="0" borderId="0" xfId="0" applyNumberFormat="1" applyFont="1" applyFill="1"/>
    <xf numFmtId="164" fontId="1" fillId="0" borderId="0" xfId="0" applyNumberFormat="1" applyFont="1" applyFill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left" vertical="top" wrapText="1"/>
    </xf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/>
    </xf>
    <xf numFmtId="164" fontId="12" fillId="0" borderId="1" xfId="0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1" fillId="0" borderId="0" xfId="0" applyNumberFormat="1" applyFont="1" applyFill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vertical="top"/>
    </xf>
    <xf numFmtId="164" fontId="8" fillId="0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vertical="center"/>
    </xf>
    <xf numFmtId="164" fontId="1" fillId="0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left" vertical="top"/>
    </xf>
    <xf numFmtId="164" fontId="1" fillId="0" borderId="0" xfId="0" applyNumberFormat="1" applyFont="1" applyFill="1"/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166" fontId="3" fillId="0" borderId="1" xfId="0" applyNumberFormat="1" applyFont="1" applyFill="1" applyBorder="1" applyAlignment="1">
      <alignment vertical="top" wrapText="1"/>
    </xf>
    <xf numFmtId="166" fontId="1" fillId="0" borderId="1" xfId="0" applyNumberFormat="1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left" vertical="top" wrapText="1"/>
    </xf>
    <xf numFmtId="166" fontId="1" fillId="0" borderId="1" xfId="0" applyNumberFormat="1" applyFont="1" applyFill="1" applyBorder="1" applyAlignment="1">
      <alignment horizontal="center" vertical="top" wrapText="1"/>
    </xf>
    <xf numFmtId="166" fontId="1" fillId="0" borderId="0" xfId="0" applyNumberFormat="1" applyFont="1" applyFill="1" applyAlignment="1">
      <alignment horizontal="center" vertical="center" wrapText="1"/>
    </xf>
    <xf numFmtId="166" fontId="1" fillId="0" borderId="0" xfId="0" applyNumberFormat="1" applyFont="1" applyFill="1" applyAlignment="1">
      <alignment vertical="center"/>
    </xf>
    <xf numFmtId="164" fontId="1" fillId="2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vertical="top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center"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1" fillId="2" borderId="0" xfId="0" applyNumberFormat="1" applyFont="1" applyFill="1" applyBorder="1" applyAlignment="1">
      <alignment horizontal="center" vertical="top" wrapText="1"/>
    </xf>
    <xf numFmtId="164" fontId="11" fillId="2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top" wrapText="1"/>
    </xf>
    <xf numFmtId="164" fontId="12" fillId="2" borderId="1" xfId="0" applyNumberFormat="1" applyFont="1" applyFill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2" fillId="9" borderId="1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0"/>
  <sheetViews>
    <sheetView showZeros="0" tabSelected="1" workbookViewId="0">
      <pane xSplit="4" ySplit="4" topLeftCell="E128" activePane="bottomRight" state="frozen"/>
      <selection pane="topRight" activeCell="E1" sqref="E1"/>
      <selection pane="bottomLeft" activeCell="A8" sqref="A8"/>
      <selection pane="bottomRight" activeCell="B146" sqref="B146"/>
    </sheetView>
  </sheetViews>
  <sheetFormatPr defaultRowHeight="15.75"/>
  <cols>
    <col min="1" max="1" width="6.140625" style="111" customWidth="1"/>
    <col min="2" max="2" width="88.85546875" style="64" customWidth="1"/>
    <col min="3" max="3" width="6.85546875" style="65" customWidth="1"/>
    <col min="4" max="4" width="7.85546875" style="62" customWidth="1"/>
    <col min="5" max="5" width="13" style="68" customWidth="1"/>
    <col min="6" max="16384" width="9.140625" style="68"/>
  </cols>
  <sheetData>
    <row r="1" spans="1:5">
      <c r="A1" s="137" t="s">
        <v>2</v>
      </c>
      <c r="B1" s="137"/>
      <c r="C1" s="137"/>
      <c r="D1" s="137"/>
    </row>
    <row r="2" spans="1:5">
      <c r="A2" s="138" t="s">
        <v>244</v>
      </c>
      <c r="B2" s="138"/>
      <c r="C2" s="138"/>
      <c r="D2" s="138"/>
    </row>
    <row r="3" spans="1:5" s="72" customFormat="1" ht="31.5">
      <c r="A3" s="112" t="s">
        <v>3</v>
      </c>
      <c r="B3" s="70" t="s">
        <v>4</v>
      </c>
      <c r="C3" s="70" t="s">
        <v>5</v>
      </c>
      <c r="D3" s="70" t="s">
        <v>6</v>
      </c>
    </row>
    <row r="4" spans="1:5" s="103" customFormat="1" ht="18.75">
      <c r="A4" s="113">
        <v>1</v>
      </c>
      <c r="B4" s="130" t="s">
        <v>245</v>
      </c>
      <c r="C4" s="132"/>
      <c r="D4" s="99"/>
      <c r="E4" s="136"/>
    </row>
    <row r="5" spans="1:5" s="78" customFormat="1" ht="18.75">
      <c r="A5" s="113">
        <v>2</v>
      </c>
      <c r="B5" s="127" t="s">
        <v>56</v>
      </c>
      <c r="C5" s="133"/>
      <c r="D5" s="63">
        <v>0</v>
      </c>
    </row>
    <row r="6" spans="1:5" s="78" customFormat="1" ht="18.75">
      <c r="A6" s="113">
        <v>3</v>
      </c>
      <c r="B6" s="88" t="s">
        <v>241</v>
      </c>
      <c r="C6" s="82" t="s">
        <v>0</v>
      </c>
      <c r="D6" s="63">
        <v>27.192375000000002</v>
      </c>
      <c r="E6" s="72"/>
    </row>
    <row r="7" spans="1:5" ht="47.25">
      <c r="A7" s="113">
        <v>4</v>
      </c>
      <c r="B7" s="88" t="s">
        <v>132</v>
      </c>
      <c r="C7" s="82" t="s">
        <v>0</v>
      </c>
      <c r="D7" s="63">
        <v>38.926125000000006</v>
      </c>
      <c r="E7" s="72"/>
    </row>
    <row r="8" spans="1:5" ht="49.5" customHeight="1">
      <c r="A8" s="113">
        <v>5</v>
      </c>
      <c r="B8" s="88" t="s">
        <v>133</v>
      </c>
      <c r="C8" s="82" t="s">
        <v>0</v>
      </c>
      <c r="D8" s="63">
        <v>3.5437500000000002</v>
      </c>
      <c r="E8" s="72"/>
    </row>
    <row r="9" spans="1:5" ht="63">
      <c r="A9" s="113">
        <v>6</v>
      </c>
      <c r="B9" s="81" t="s">
        <v>242</v>
      </c>
      <c r="C9" s="73" t="s">
        <v>60</v>
      </c>
      <c r="D9" s="63">
        <v>6.5100000000000007</v>
      </c>
      <c r="E9" s="72"/>
    </row>
    <row r="10" spans="1:5" ht="63">
      <c r="A10" s="113">
        <v>7</v>
      </c>
      <c r="B10" s="81" t="s">
        <v>267</v>
      </c>
      <c r="C10" s="73" t="s">
        <v>60</v>
      </c>
      <c r="D10" s="63">
        <v>6.2475000000000005</v>
      </c>
      <c r="E10" s="72"/>
    </row>
    <row r="11" spans="1:5" ht="63">
      <c r="A11" s="113">
        <v>8</v>
      </c>
      <c r="B11" s="88" t="s">
        <v>205</v>
      </c>
      <c r="C11" s="73" t="s">
        <v>0</v>
      </c>
      <c r="D11" s="63">
        <v>38.926125000000006</v>
      </c>
    </row>
    <row r="12" spans="1:5" ht="63">
      <c r="A12" s="113">
        <v>9</v>
      </c>
      <c r="B12" s="88" t="s">
        <v>211</v>
      </c>
      <c r="C12" s="73" t="s">
        <v>0</v>
      </c>
      <c r="D12" s="63">
        <v>3.5437500000000002</v>
      </c>
    </row>
    <row r="13" spans="1:5" ht="31.5">
      <c r="A13" s="113">
        <v>10</v>
      </c>
      <c r="B13" s="88" t="s">
        <v>67</v>
      </c>
      <c r="C13" s="73" t="s">
        <v>60</v>
      </c>
      <c r="D13" s="63">
        <v>4.2</v>
      </c>
      <c r="E13" s="72"/>
    </row>
    <row r="14" spans="1:5" ht="18.75">
      <c r="A14" s="113">
        <v>11</v>
      </c>
      <c r="B14" s="127" t="s">
        <v>55</v>
      </c>
      <c r="C14" s="82"/>
      <c r="D14" s="63">
        <v>0</v>
      </c>
      <c r="E14" s="72"/>
    </row>
    <row r="15" spans="1:5">
      <c r="A15" s="113">
        <v>12</v>
      </c>
      <c r="B15" s="88" t="s">
        <v>137</v>
      </c>
      <c r="C15" s="82" t="s">
        <v>69</v>
      </c>
      <c r="D15" s="63">
        <v>1.05</v>
      </c>
      <c r="E15" s="72"/>
    </row>
    <row r="16" spans="1:5" ht="48" customHeight="1">
      <c r="A16" s="113">
        <v>13</v>
      </c>
      <c r="B16" s="88" t="s">
        <v>143</v>
      </c>
      <c r="C16" s="82" t="s">
        <v>0</v>
      </c>
      <c r="D16" s="63">
        <v>5.25</v>
      </c>
      <c r="E16" s="72"/>
    </row>
    <row r="17" spans="1:5" s="78" customFormat="1" ht="18.75">
      <c r="A17" s="113">
        <v>14</v>
      </c>
      <c r="B17" s="79" t="s">
        <v>58</v>
      </c>
      <c r="C17" s="82" t="s">
        <v>0</v>
      </c>
      <c r="D17" s="63">
        <v>16.637250000000002</v>
      </c>
    </row>
    <row r="18" spans="1:5" s="78" customFormat="1" ht="47.25">
      <c r="A18" s="113">
        <v>15</v>
      </c>
      <c r="B18" s="81" t="s">
        <v>243</v>
      </c>
      <c r="C18" s="82" t="s">
        <v>0</v>
      </c>
      <c r="D18" s="63">
        <v>16.637250000000002</v>
      </c>
    </row>
    <row r="19" spans="1:5" s="78" customFormat="1" ht="18.75">
      <c r="A19" s="113">
        <v>16</v>
      </c>
      <c r="B19" s="81" t="s">
        <v>141</v>
      </c>
      <c r="C19" s="82" t="s">
        <v>0</v>
      </c>
      <c r="D19" s="63">
        <v>16.637250000000002</v>
      </c>
    </row>
    <row r="20" spans="1:5" s="78" customFormat="1" ht="47.25">
      <c r="A20" s="113">
        <v>17</v>
      </c>
      <c r="B20" s="81" t="s">
        <v>61</v>
      </c>
      <c r="C20" s="82" t="s">
        <v>0</v>
      </c>
      <c r="D20" s="63">
        <v>16.637250000000002</v>
      </c>
    </row>
    <row r="21" spans="1:5">
      <c r="A21" s="113">
        <v>18</v>
      </c>
      <c r="B21" s="88" t="s">
        <v>144</v>
      </c>
      <c r="C21" s="82" t="s">
        <v>14</v>
      </c>
      <c r="D21" s="63">
        <v>0.21000000000000002</v>
      </c>
      <c r="E21" s="72"/>
    </row>
    <row r="22" spans="1:5" ht="18.75">
      <c r="A22" s="113">
        <v>19</v>
      </c>
      <c r="B22" s="127" t="s">
        <v>147</v>
      </c>
      <c r="C22" s="82"/>
      <c r="D22" s="63">
        <v>0</v>
      </c>
      <c r="E22" s="72"/>
    </row>
    <row r="23" spans="1:5" ht="31.5">
      <c r="A23" s="113">
        <v>20</v>
      </c>
      <c r="B23" s="81" t="s">
        <v>148</v>
      </c>
      <c r="C23" s="82" t="s">
        <v>0</v>
      </c>
      <c r="D23" s="63">
        <v>16.637250000000002</v>
      </c>
      <c r="E23" s="72"/>
    </row>
    <row r="24" spans="1:5">
      <c r="A24" s="113">
        <v>21</v>
      </c>
      <c r="B24" s="88" t="s">
        <v>149</v>
      </c>
      <c r="C24" s="73" t="s">
        <v>60</v>
      </c>
      <c r="D24" s="63">
        <v>16.637250000000002</v>
      </c>
      <c r="E24" s="72"/>
    </row>
    <row r="25" spans="1:5" ht="31.5">
      <c r="A25" s="113">
        <v>22</v>
      </c>
      <c r="B25" s="88" t="s">
        <v>202</v>
      </c>
      <c r="C25" s="82" t="s">
        <v>0</v>
      </c>
      <c r="D25" s="63">
        <v>16.637250000000002</v>
      </c>
      <c r="E25" s="72"/>
    </row>
    <row r="26" spans="1:5" ht="31.5">
      <c r="A26" s="113">
        <v>23</v>
      </c>
      <c r="B26" s="88" t="s">
        <v>154</v>
      </c>
      <c r="C26" s="82" t="s">
        <v>0</v>
      </c>
      <c r="D26" s="63">
        <v>16.637250000000002</v>
      </c>
      <c r="E26" s="72"/>
    </row>
    <row r="27" spans="1:5" ht="47.25">
      <c r="A27" s="113">
        <v>24</v>
      </c>
      <c r="B27" s="81" t="s">
        <v>155</v>
      </c>
      <c r="C27" s="82" t="s">
        <v>0</v>
      </c>
      <c r="D27" s="63">
        <v>16.637250000000002</v>
      </c>
      <c r="E27" s="72"/>
    </row>
    <row r="28" spans="1:5">
      <c r="A28" s="113">
        <v>25</v>
      </c>
      <c r="B28" s="88" t="s">
        <v>15</v>
      </c>
      <c r="C28" s="82" t="s">
        <v>14</v>
      </c>
      <c r="D28" s="63">
        <v>4.1271300000000002</v>
      </c>
      <c r="E28" s="72"/>
    </row>
    <row r="29" spans="1:5" ht="31.5">
      <c r="A29" s="113">
        <v>26</v>
      </c>
      <c r="B29" s="88" t="s">
        <v>16</v>
      </c>
      <c r="C29" s="82" t="s">
        <v>14</v>
      </c>
      <c r="D29" s="63">
        <v>4.1271300000000002</v>
      </c>
      <c r="E29" s="72"/>
    </row>
    <row r="30" spans="1:5" s="103" customFormat="1" ht="18.75">
      <c r="A30" s="113">
        <v>27</v>
      </c>
      <c r="B30" s="130" t="s">
        <v>246</v>
      </c>
      <c r="C30" s="132"/>
      <c r="D30" s="63">
        <v>0</v>
      </c>
      <c r="E30" s="102"/>
    </row>
    <row r="31" spans="1:5" ht="18.75">
      <c r="A31" s="113">
        <v>28</v>
      </c>
      <c r="B31" s="127" t="s">
        <v>56</v>
      </c>
      <c r="C31" s="82"/>
      <c r="D31" s="63">
        <v>0</v>
      </c>
      <c r="E31" s="72"/>
    </row>
    <row r="32" spans="1:5" s="103" customFormat="1" ht="18.75">
      <c r="A32" s="113">
        <v>29</v>
      </c>
      <c r="B32" s="88" t="s">
        <v>250</v>
      </c>
      <c r="C32" s="82" t="s">
        <v>0</v>
      </c>
      <c r="D32" s="63">
        <v>18.795000000000002</v>
      </c>
      <c r="E32" s="102"/>
    </row>
    <row r="33" spans="1:5" s="103" customFormat="1" ht="18.75">
      <c r="A33" s="113">
        <v>30</v>
      </c>
      <c r="B33" s="88" t="s">
        <v>247</v>
      </c>
      <c r="C33" s="82" t="s">
        <v>0</v>
      </c>
      <c r="D33" s="63">
        <v>3.1500000000000004</v>
      </c>
      <c r="E33" s="102"/>
    </row>
    <row r="34" spans="1:5" s="103" customFormat="1" ht="18.75">
      <c r="A34" s="113">
        <v>31</v>
      </c>
      <c r="B34" s="88" t="s">
        <v>241</v>
      </c>
      <c r="C34" s="82" t="s">
        <v>0</v>
      </c>
      <c r="D34" s="63">
        <v>18.795000000000002</v>
      </c>
      <c r="E34" s="102"/>
    </row>
    <row r="35" spans="1:5" s="103" customFormat="1" ht="31.5">
      <c r="A35" s="113">
        <v>32</v>
      </c>
      <c r="B35" s="81" t="s">
        <v>253</v>
      </c>
      <c r="C35" s="82" t="s">
        <v>0</v>
      </c>
      <c r="D35" s="63">
        <v>1.56555</v>
      </c>
      <c r="E35" s="102"/>
    </row>
    <row r="36" spans="1:5" s="103" customFormat="1" ht="47.25">
      <c r="A36" s="113">
        <v>33</v>
      </c>
      <c r="B36" s="104" t="s">
        <v>119</v>
      </c>
      <c r="C36" s="105" t="s">
        <v>14</v>
      </c>
      <c r="D36" s="63">
        <v>4.9350000000000005E-2</v>
      </c>
      <c r="E36" s="102"/>
    </row>
    <row r="37" spans="1:5" s="103" customFormat="1" ht="18.75">
      <c r="A37" s="113">
        <v>34</v>
      </c>
      <c r="B37" s="88" t="s">
        <v>251</v>
      </c>
      <c r="C37" s="82" t="s">
        <v>69</v>
      </c>
      <c r="D37" s="63">
        <v>0.23624999999999999</v>
      </c>
      <c r="E37" s="102"/>
    </row>
    <row r="38" spans="1:5" s="103" customFormat="1" ht="18.75">
      <c r="A38" s="113">
        <v>35</v>
      </c>
      <c r="B38" s="88" t="s">
        <v>261</v>
      </c>
      <c r="C38" s="82" t="s">
        <v>0</v>
      </c>
      <c r="D38" s="63">
        <v>19.128900000000005</v>
      </c>
      <c r="E38" s="102"/>
    </row>
    <row r="39" spans="1:5" s="103" customFormat="1" ht="18.75">
      <c r="A39" s="113">
        <v>36</v>
      </c>
      <c r="B39" s="88" t="s">
        <v>290</v>
      </c>
      <c r="C39" s="82" t="s">
        <v>60</v>
      </c>
      <c r="D39" s="63">
        <v>2.1</v>
      </c>
      <c r="E39" s="102"/>
    </row>
    <row r="40" spans="1:5" s="103" customFormat="1" ht="47.25">
      <c r="A40" s="113">
        <v>37</v>
      </c>
      <c r="B40" s="88" t="s">
        <v>249</v>
      </c>
      <c r="C40" s="82" t="s">
        <v>0</v>
      </c>
      <c r="D40" s="63">
        <v>49.02450000000001</v>
      </c>
      <c r="E40" s="102"/>
    </row>
    <row r="41" spans="1:5" s="103" customFormat="1" ht="47.25">
      <c r="A41" s="113">
        <v>38</v>
      </c>
      <c r="B41" s="88" t="s">
        <v>248</v>
      </c>
      <c r="C41" s="82" t="s">
        <v>0</v>
      </c>
      <c r="D41" s="63">
        <v>49.02450000000001</v>
      </c>
      <c r="E41" s="129"/>
    </row>
    <row r="42" spans="1:5" s="103" customFormat="1" ht="47.25">
      <c r="A42" s="113">
        <v>39</v>
      </c>
      <c r="B42" s="88" t="s">
        <v>279</v>
      </c>
      <c r="C42" s="82" t="s">
        <v>0</v>
      </c>
      <c r="D42" s="63">
        <v>19.128900000000005</v>
      </c>
      <c r="E42" s="102"/>
    </row>
    <row r="43" spans="1:5" s="103" customFormat="1" ht="63">
      <c r="A43" s="113">
        <v>40</v>
      </c>
      <c r="B43" s="81" t="s">
        <v>252</v>
      </c>
      <c r="C43" s="73" t="s">
        <v>60</v>
      </c>
      <c r="D43" s="63">
        <v>9.240000000000002</v>
      </c>
      <c r="E43" s="102"/>
    </row>
    <row r="44" spans="1:5" s="103" customFormat="1" ht="18.75">
      <c r="A44" s="113">
        <v>41</v>
      </c>
      <c r="B44" s="81" t="s">
        <v>270</v>
      </c>
      <c r="C44" s="73" t="s">
        <v>64</v>
      </c>
      <c r="D44" s="63">
        <v>3.1500000000000004</v>
      </c>
      <c r="E44" s="102"/>
    </row>
    <row r="45" spans="1:5" s="103" customFormat="1" ht="63">
      <c r="A45" s="113">
        <v>42</v>
      </c>
      <c r="B45" s="81" t="s">
        <v>266</v>
      </c>
      <c r="C45" s="73" t="s">
        <v>60</v>
      </c>
      <c r="D45" s="63">
        <v>15.75</v>
      </c>
      <c r="E45" s="102"/>
    </row>
    <row r="46" spans="1:5" s="103" customFormat="1" ht="63">
      <c r="A46" s="113">
        <v>43</v>
      </c>
      <c r="B46" s="88" t="s">
        <v>205</v>
      </c>
      <c r="C46" s="73" t="s">
        <v>0</v>
      </c>
      <c r="D46" s="63">
        <v>49.02450000000001</v>
      </c>
      <c r="E46" s="102"/>
    </row>
    <row r="47" spans="1:5" s="103" customFormat="1" ht="18.75">
      <c r="A47" s="113">
        <v>44</v>
      </c>
      <c r="B47" s="88" t="s">
        <v>278</v>
      </c>
      <c r="C47" s="73" t="s">
        <v>64</v>
      </c>
      <c r="D47" s="63">
        <v>4.2</v>
      </c>
      <c r="E47" s="102"/>
    </row>
    <row r="48" spans="1:5" ht="18.75">
      <c r="A48" s="113">
        <v>45</v>
      </c>
      <c r="B48" s="127" t="s">
        <v>55</v>
      </c>
      <c r="C48" s="82"/>
      <c r="D48" s="63">
        <v>0</v>
      </c>
      <c r="E48" s="72"/>
    </row>
    <row r="49" spans="1:5">
      <c r="A49" s="113">
        <v>46</v>
      </c>
      <c r="B49" s="79" t="s">
        <v>217</v>
      </c>
      <c r="C49" s="82" t="s">
        <v>69</v>
      </c>
      <c r="D49" s="63">
        <v>4.4100000000000007E-2</v>
      </c>
      <c r="E49" s="72"/>
    </row>
    <row r="50" spans="1:5" ht="31.5">
      <c r="A50" s="113">
        <v>47</v>
      </c>
      <c r="B50" s="79" t="s">
        <v>257</v>
      </c>
      <c r="C50" s="82" t="s">
        <v>0</v>
      </c>
      <c r="D50" s="63">
        <v>3.77475</v>
      </c>
      <c r="E50" s="72"/>
    </row>
    <row r="51" spans="1:5">
      <c r="A51" s="113">
        <v>48</v>
      </c>
      <c r="B51" s="79" t="s">
        <v>255</v>
      </c>
      <c r="C51" s="82" t="s">
        <v>0</v>
      </c>
      <c r="D51" s="63">
        <v>3.77475</v>
      </c>
      <c r="E51" s="72"/>
    </row>
    <row r="52" spans="1:5">
      <c r="A52" s="113">
        <v>49</v>
      </c>
      <c r="B52" s="79" t="s">
        <v>256</v>
      </c>
      <c r="C52" s="82" t="s">
        <v>0</v>
      </c>
      <c r="D52" s="63">
        <v>1.05</v>
      </c>
      <c r="E52" s="72"/>
    </row>
    <row r="53" spans="1:5">
      <c r="A53" s="113">
        <v>50</v>
      </c>
      <c r="B53" s="79" t="s">
        <v>254</v>
      </c>
      <c r="C53" s="82" t="s">
        <v>69</v>
      </c>
      <c r="D53" s="63">
        <v>1.05</v>
      </c>
      <c r="E53" s="72"/>
    </row>
    <row r="54" spans="1:5" ht="31.5">
      <c r="A54" s="113">
        <v>51</v>
      </c>
      <c r="B54" s="88" t="s">
        <v>276</v>
      </c>
      <c r="C54" s="82" t="s">
        <v>69</v>
      </c>
      <c r="D54" s="63">
        <v>1.26</v>
      </c>
      <c r="E54" s="72"/>
    </row>
    <row r="55" spans="1:5" s="78" customFormat="1" ht="18.75">
      <c r="A55" s="113">
        <v>52</v>
      </c>
      <c r="B55" s="79" t="s">
        <v>58</v>
      </c>
      <c r="C55" s="82" t="s">
        <v>0</v>
      </c>
      <c r="D55" s="63">
        <v>6.0753000000000004</v>
      </c>
    </row>
    <row r="56" spans="1:5" s="78" customFormat="1" ht="47.25">
      <c r="A56" s="113">
        <v>53</v>
      </c>
      <c r="B56" s="81" t="s">
        <v>258</v>
      </c>
      <c r="C56" s="82" t="s">
        <v>0</v>
      </c>
      <c r="D56" s="63">
        <v>9.8500500000000013</v>
      </c>
    </row>
    <row r="57" spans="1:5" s="78" customFormat="1" ht="18.75">
      <c r="A57" s="113">
        <v>54</v>
      </c>
      <c r="B57" s="81" t="s">
        <v>141</v>
      </c>
      <c r="C57" s="82" t="s">
        <v>0</v>
      </c>
      <c r="D57" s="63">
        <v>9.8500500000000013</v>
      </c>
    </row>
    <row r="58" spans="1:5" s="78" customFormat="1" ht="47.25">
      <c r="A58" s="113">
        <v>55</v>
      </c>
      <c r="B58" s="81" t="s">
        <v>61</v>
      </c>
      <c r="C58" s="82" t="s">
        <v>0</v>
      </c>
      <c r="D58" s="63">
        <v>9.8500500000000013</v>
      </c>
    </row>
    <row r="59" spans="1:5" s="78" customFormat="1" ht="18.75">
      <c r="A59" s="113">
        <v>56</v>
      </c>
      <c r="B59" s="127" t="s">
        <v>147</v>
      </c>
      <c r="C59" s="82"/>
      <c r="D59" s="63">
        <v>0</v>
      </c>
    </row>
    <row r="60" spans="1:5" s="103" customFormat="1" ht="31.5">
      <c r="A60" s="113">
        <v>57</v>
      </c>
      <c r="B60" s="88" t="s">
        <v>202</v>
      </c>
      <c r="C60" s="82" t="s">
        <v>0</v>
      </c>
      <c r="D60" s="63">
        <v>9.8500500000000013</v>
      </c>
      <c r="E60" s="102"/>
    </row>
    <row r="61" spans="1:5" s="103" customFormat="1" ht="18.75">
      <c r="A61" s="113">
        <v>58</v>
      </c>
      <c r="B61" s="130" t="s">
        <v>259</v>
      </c>
      <c r="C61" s="132"/>
      <c r="D61" s="63">
        <v>0</v>
      </c>
      <c r="E61" s="102"/>
    </row>
    <row r="62" spans="1:5" ht="18.75">
      <c r="A62" s="113">
        <v>59</v>
      </c>
      <c r="B62" s="127" t="s">
        <v>56</v>
      </c>
      <c r="C62" s="82"/>
      <c r="D62" s="63">
        <v>0</v>
      </c>
      <c r="E62" s="72"/>
    </row>
    <row r="63" spans="1:5" s="103" customFormat="1" ht="18.75">
      <c r="A63" s="113">
        <v>60</v>
      </c>
      <c r="B63" s="88" t="s">
        <v>250</v>
      </c>
      <c r="C63" s="82" t="s">
        <v>0</v>
      </c>
      <c r="D63" s="63">
        <v>21.692999999999998</v>
      </c>
      <c r="E63" s="102"/>
    </row>
    <row r="64" spans="1:5" s="103" customFormat="1" ht="18.75">
      <c r="A64" s="113">
        <v>61</v>
      </c>
      <c r="B64" s="88" t="s">
        <v>241</v>
      </c>
      <c r="C64" s="82" t="s">
        <v>0</v>
      </c>
      <c r="D64" s="63">
        <v>21.692999999999998</v>
      </c>
      <c r="E64" s="102"/>
    </row>
    <row r="65" spans="1:5" s="103" customFormat="1" ht="31.5">
      <c r="A65" s="113">
        <v>62</v>
      </c>
      <c r="B65" s="81" t="s">
        <v>260</v>
      </c>
      <c r="C65" s="82" t="s">
        <v>0</v>
      </c>
      <c r="D65" s="63">
        <v>1.9845000000000002</v>
      </c>
      <c r="E65" s="102"/>
    </row>
    <row r="66" spans="1:5" s="103" customFormat="1" ht="47.25">
      <c r="A66" s="113">
        <v>63</v>
      </c>
      <c r="B66" s="104" t="s">
        <v>119</v>
      </c>
      <c r="C66" s="105" t="s">
        <v>14</v>
      </c>
      <c r="D66" s="63">
        <v>5.2500000000000005E-2</v>
      </c>
      <c r="E66" s="102"/>
    </row>
    <row r="67" spans="1:5" s="103" customFormat="1" ht="47.25">
      <c r="A67" s="113">
        <v>64</v>
      </c>
      <c r="B67" s="88" t="s">
        <v>249</v>
      </c>
      <c r="C67" s="82" t="s">
        <v>0</v>
      </c>
      <c r="D67" s="63">
        <v>31.237499999999997</v>
      </c>
      <c r="E67" s="102"/>
    </row>
    <row r="68" spans="1:5" s="103" customFormat="1" ht="47.25">
      <c r="A68" s="113">
        <v>65</v>
      </c>
      <c r="B68" s="88" t="s">
        <v>248</v>
      </c>
      <c r="C68" s="82" t="s">
        <v>0</v>
      </c>
      <c r="D68" s="63">
        <v>31.237499999999997</v>
      </c>
      <c r="E68" s="102"/>
    </row>
    <row r="69" spans="1:5" s="103" customFormat="1" ht="18.75">
      <c r="A69" s="113">
        <v>66</v>
      </c>
      <c r="B69" s="81" t="s">
        <v>270</v>
      </c>
      <c r="C69" s="73" t="s">
        <v>64</v>
      </c>
      <c r="D69" s="63">
        <v>1.05</v>
      </c>
      <c r="E69" s="102"/>
    </row>
    <row r="70" spans="1:5" s="103" customFormat="1" ht="63">
      <c r="A70" s="113">
        <v>67</v>
      </c>
      <c r="B70" s="81" t="s">
        <v>266</v>
      </c>
      <c r="C70" s="73" t="s">
        <v>60</v>
      </c>
      <c r="D70" s="63">
        <v>5.3550000000000004</v>
      </c>
      <c r="E70" s="102"/>
    </row>
    <row r="71" spans="1:5" s="103" customFormat="1" ht="63">
      <c r="A71" s="113">
        <v>68</v>
      </c>
      <c r="B71" s="88" t="s">
        <v>205</v>
      </c>
      <c r="C71" s="73" t="s">
        <v>0</v>
      </c>
      <c r="D71" s="63">
        <v>31.237499999999997</v>
      </c>
      <c r="E71" s="102"/>
    </row>
    <row r="72" spans="1:5" ht="18.75">
      <c r="A72" s="113">
        <v>69</v>
      </c>
      <c r="B72" s="127" t="s">
        <v>55</v>
      </c>
      <c r="C72" s="82"/>
      <c r="D72" s="63">
        <v>0</v>
      </c>
      <c r="E72" s="72"/>
    </row>
    <row r="73" spans="1:5" s="78" customFormat="1" ht="18.75">
      <c r="A73" s="113">
        <v>70</v>
      </c>
      <c r="B73" s="79" t="s">
        <v>58</v>
      </c>
      <c r="C73" s="82" t="s">
        <v>0</v>
      </c>
      <c r="D73" s="63">
        <v>11.78289</v>
      </c>
    </row>
    <row r="74" spans="1:5" s="78" customFormat="1" ht="47.25">
      <c r="A74" s="113">
        <v>71</v>
      </c>
      <c r="B74" s="81" t="s">
        <v>258</v>
      </c>
      <c r="C74" s="82" t="s">
        <v>0</v>
      </c>
      <c r="D74" s="63">
        <v>11.78289</v>
      </c>
    </row>
    <row r="75" spans="1:5" s="78" customFormat="1" ht="47.25">
      <c r="A75" s="113">
        <v>72</v>
      </c>
      <c r="B75" s="81" t="s">
        <v>61</v>
      </c>
      <c r="C75" s="82" t="s">
        <v>0</v>
      </c>
      <c r="D75" s="63">
        <v>11.78289</v>
      </c>
    </row>
    <row r="76" spans="1:5" s="103" customFormat="1" ht="18.75">
      <c r="A76" s="113">
        <v>73</v>
      </c>
      <c r="B76" s="88" t="s">
        <v>144</v>
      </c>
      <c r="C76" s="82" t="s">
        <v>14</v>
      </c>
      <c r="D76" s="63">
        <v>0.21000000000000002</v>
      </c>
      <c r="E76" s="102"/>
    </row>
    <row r="77" spans="1:5" s="103" customFormat="1" ht="110.25">
      <c r="A77" s="113">
        <v>74</v>
      </c>
      <c r="B77" s="81" t="s">
        <v>291</v>
      </c>
      <c r="C77" s="82" t="s">
        <v>64</v>
      </c>
      <c r="D77" s="63">
        <v>1.05</v>
      </c>
      <c r="E77" s="102"/>
    </row>
    <row r="78" spans="1:5" s="78" customFormat="1" ht="18.75">
      <c r="A78" s="113">
        <v>75</v>
      </c>
      <c r="B78" s="127" t="s">
        <v>147</v>
      </c>
      <c r="C78" s="82"/>
      <c r="D78" s="63">
        <v>0</v>
      </c>
    </row>
    <row r="79" spans="1:5" s="103" customFormat="1" ht="31.5">
      <c r="A79" s="113">
        <v>76</v>
      </c>
      <c r="B79" s="88" t="s">
        <v>202</v>
      </c>
      <c r="C79" s="82" t="s">
        <v>0</v>
      </c>
      <c r="D79" s="63">
        <v>11.78289</v>
      </c>
      <c r="E79" s="102"/>
    </row>
    <row r="80" spans="1:5" s="103" customFormat="1" ht="18.75">
      <c r="A80" s="113">
        <v>77</v>
      </c>
      <c r="B80" s="130" t="s">
        <v>262</v>
      </c>
      <c r="C80" s="82"/>
      <c r="D80" s="63">
        <v>0</v>
      </c>
      <c r="E80" s="102"/>
    </row>
    <row r="81" spans="1:5" s="103" customFormat="1" ht="18.75">
      <c r="A81" s="113">
        <v>78</v>
      </c>
      <c r="B81" s="88" t="s">
        <v>269</v>
      </c>
      <c r="C81" s="82" t="s">
        <v>64</v>
      </c>
      <c r="D81" s="63">
        <v>1.05</v>
      </c>
      <c r="E81" s="102"/>
    </row>
    <row r="82" spans="1:5" s="103" customFormat="1" ht="18.75">
      <c r="A82" s="113">
        <v>79</v>
      </c>
      <c r="B82" s="88" t="s">
        <v>263</v>
      </c>
      <c r="C82" s="82" t="s">
        <v>0</v>
      </c>
      <c r="D82" s="63">
        <v>31.020149999999997</v>
      </c>
      <c r="E82" s="102"/>
    </row>
    <row r="83" spans="1:5" s="103" customFormat="1" ht="18.75">
      <c r="A83" s="113">
        <v>80</v>
      </c>
      <c r="B83" s="88" t="s">
        <v>241</v>
      </c>
      <c r="C83" s="82" t="s">
        <v>0</v>
      </c>
      <c r="D83" s="63">
        <v>31.020149999999997</v>
      </c>
      <c r="E83" s="102"/>
    </row>
    <row r="84" spans="1:5" s="103" customFormat="1" ht="31.5">
      <c r="A84" s="113">
        <v>81</v>
      </c>
      <c r="B84" s="81" t="s">
        <v>264</v>
      </c>
      <c r="C84" s="82" t="s">
        <v>0</v>
      </c>
      <c r="D84" s="63">
        <v>3.9690000000000003</v>
      </c>
      <c r="E84" s="102"/>
    </row>
    <row r="85" spans="1:5" s="103" customFormat="1" ht="47.25">
      <c r="A85" s="113">
        <v>82</v>
      </c>
      <c r="B85" s="104" t="s">
        <v>119</v>
      </c>
      <c r="C85" s="105" t="s">
        <v>14</v>
      </c>
      <c r="D85" s="63">
        <v>0.10500000000000001</v>
      </c>
      <c r="E85" s="102"/>
    </row>
    <row r="86" spans="1:5" s="103" customFormat="1" ht="47.25">
      <c r="A86" s="113">
        <v>83</v>
      </c>
      <c r="B86" s="88" t="s">
        <v>280</v>
      </c>
      <c r="C86" s="82" t="s">
        <v>0</v>
      </c>
      <c r="D86" s="63">
        <v>3.18675</v>
      </c>
      <c r="E86" s="102"/>
    </row>
    <row r="87" spans="1:5" s="103" customFormat="1" ht="47.25">
      <c r="A87" s="113">
        <v>84</v>
      </c>
      <c r="B87" s="88" t="s">
        <v>249</v>
      </c>
      <c r="C87" s="82" t="s">
        <v>0</v>
      </c>
      <c r="D87" s="63">
        <v>31.020149999999997</v>
      </c>
      <c r="E87" s="102"/>
    </row>
    <row r="88" spans="1:5" s="103" customFormat="1" ht="18.75">
      <c r="A88" s="113">
        <v>85</v>
      </c>
      <c r="B88" s="81" t="s">
        <v>292</v>
      </c>
      <c r="C88" s="73" t="s">
        <v>64</v>
      </c>
      <c r="D88" s="63">
        <v>1.05</v>
      </c>
      <c r="E88" s="102"/>
    </row>
    <row r="89" spans="1:5" s="103" customFormat="1" ht="31.5">
      <c r="A89" s="113">
        <v>86</v>
      </c>
      <c r="B89" s="81" t="s">
        <v>293</v>
      </c>
      <c r="C89" s="73" t="s">
        <v>64</v>
      </c>
      <c r="D89" s="63">
        <v>1.05</v>
      </c>
      <c r="E89" s="102"/>
    </row>
    <row r="90" spans="1:5" s="103" customFormat="1" ht="47.25">
      <c r="A90" s="113">
        <v>87</v>
      </c>
      <c r="B90" s="88" t="s">
        <v>248</v>
      </c>
      <c r="C90" s="82" t="s">
        <v>0</v>
      </c>
      <c r="D90" s="63">
        <v>31.020149999999997</v>
      </c>
      <c r="E90" s="102"/>
    </row>
    <row r="91" spans="1:5" s="103" customFormat="1" ht="31.5">
      <c r="A91" s="113">
        <v>88</v>
      </c>
      <c r="B91" s="88" t="s">
        <v>151</v>
      </c>
      <c r="C91" s="82" t="s">
        <v>0</v>
      </c>
      <c r="D91" s="63">
        <v>36.212399999999995</v>
      </c>
      <c r="E91" s="102"/>
    </row>
    <row r="92" spans="1:5" s="103" customFormat="1" ht="31.5">
      <c r="A92" s="113">
        <v>89</v>
      </c>
      <c r="B92" s="88" t="s">
        <v>212</v>
      </c>
      <c r="C92" s="82" t="s">
        <v>0</v>
      </c>
      <c r="D92" s="63">
        <v>1.1812500000000001</v>
      </c>
      <c r="E92" s="102"/>
    </row>
    <row r="93" spans="1:5" s="103" customFormat="1" ht="31.5">
      <c r="A93" s="113">
        <v>90</v>
      </c>
      <c r="B93" s="81" t="s">
        <v>156</v>
      </c>
      <c r="C93" s="82" t="s">
        <v>0</v>
      </c>
      <c r="D93" s="63">
        <v>22.436189999999996</v>
      </c>
      <c r="E93" s="102"/>
    </row>
    <row r="94" spans="1:5" s="103" customFormat="1" ht="47.25">
      <c r="A94" s="113">
        <v>91</v>
      </c>
      <c r="B94" s="81" t="s">
        <v>153</v>
      </c>
      <c r="C94" s="82" t="s">
        <v>0</v>
      </c>
      <c r="D94" s="63">
        <v>14.957459999999998</v>
      </c>
      <c r="E94" s="102"/>
    </row>
    <row r="95" spans="1:5" s="103" customFormat="1" ht="18.75">
      <c r="A95" s="113">
        <v>92</v>
      </c>
      <c r="B95" s="81" t="s">
        <v>265</v>
      </c>
      <c r="C95" s="132" t="s">
        <v>66</v>
      </c>
      <c r="D95" s="63">
        <v>10.5</v>
      </c>
      <c r="E95" s="102"/>
    </row>
    <row r="96" spans="1:5" s="103" customFormat="1" ht="47.25">
      <c r="A96" s="113">
        <v>93</v>
      </c>
      <c r="B96" s="81" t="s">
        <v>268</v>
      </c>
      <c r="C96" s="73" t="s">
        <v>60</v>
      </c>
      <c r="D96" s="63">
        <v>22.155000000000001</v>
      </c>
      <c r="E96" s="102"/>
    </row>
    <row r="97" spans="1:5" s="103" customFormat="1" ht="18.75">
      <c r="A97" s="113">
        <v>94</v>
      </c>
      <c r="B97" s="127" t="s">
        <v>55</v>
      </c>
      <c r="C97" s="82"/>
      <c r="D97" s="63">
        <v>0</v>
      </c>
      <c r="E97" s="102"/>
    </row>
    <row r="98" spans="1:5" s="103" customFormat="1" ht="18.75">
      <c r="A98" s="113">
        <v>95</v>
      </c>
      <c r="B98" s="79" t="s">
        <v>58</v>
      </c>
      <c r="C98" s="82" t="s">
        <v>0</v>
      </c>
      <c r="D98" s="63">
        <v>12.204150000000002</v>
      </c>
      <c r="E98" s="102"/>
    </row>
    <row r="99" spans="1:5" s="103" customFormat="1" ht="47.25">
      <c r="A99" s="113">
        <v>96</v>
      </c>
      <c r="B99" s="81" t="s">
        <v>258</v>
      </c>
      <c r="C99" s="82" t="s">
        <v>0</v>
      </c>
      <c r="D99" s="63">
        <v>12.204150000000002</v>
      </c>
      <c r="E99" s="102"/>
    </row>
    <row r="100" spans="1:5" s="103" customFormat="1" ht="47.25">
      <c r="A100" s="113">
        <v>97</v>
      </c>
      <c r="B100" s="81" t="s">
        <v>61</v>
      </c>
      <c r="C100" s="82" t="s">
        <v>0</v>
      </c>
      <c r="D100" s="63">
        <v>12.204150000000002</v>
      </c>
      <c r="E100" s="102"/>
    </row>
    <row r="101" spans="1:5" s="103" customFormat="1" ht="18.75">
      <c r="A101" s="113">
        <v>98</v>
      </c>
      <c r="B101" s="127" t="s">
        <v>147</v>
      </c>
      <c r="C101" s="132"/>
      <c r="D101" s="63">
        <v>0</v>
      </c>
      <c r="E101" s="102"/>
    </row>
    <row r="102" spans="1:5" s="103" customFormat="1" ht="47.25">
      <c r="A102" s="113">
        <v>99</v>
      </c>
      <c r="B102" s="88" t="s">
        <v>158</v>
      </c>
      <c r="C102" s="82" t="s">
        <v>0</v>
      </c>
      <c r="D102" s="63">
        <v>12.204150000000002</v>
      </c>
      <c r="E102" s="102"/>
    </row>
    <row r="103" spans="1:5" s="103" customFormat="1" ht="31.5">
      <c r="A103" s="113">
        <v>100</v>
      </c>
      <c r="B103" s="88" t="s">
        <v>154</v>
      </c>
      <c r="C103" s="82" t="s">
        <v>0</v>
      </c>
      <c r="D103" s="63">
        <v>12.204150000000002</v>
      </c>
      <c r="E103" s="102"/>
    </row>
    <row r="104" spans="1:5" s="103" customFormat="1" ht="47.25">
      <c r="A104" s="113">
        <v>101</v>
      </c>
      <c r="B104" s="81" t="s">
        <v>155</v>
      </c>
      <c r="C104" s="82" t="s">
        <v>0</v>
      </c>
      <c r="D104" s="63">
        <v>12.204150000000002</v>
      </c>
      <c r="E104" s="102"/>
    </row>
    <row r="105" spans="1:5" s="103" customFormat="1" ht="18.75">
      <c r="A105" s="113">
        <v>102</v>
      </c>
      <c r="B105" s="130" t="s">
        <v>271</v>
      </c>
      <c r="C105" s="132"/>
      <c r="D105" s="63">
        <v>0</v>
      </c>
      <c r="E105" s="102"/>
    </row>
    <row r="106" spans="1:5" s="103" customFormat="1" ht="18.75">
      <c r="A106" s="113">
        <v>103</v>
      </c>
      <c r="B106" s="88" t="s">
        <v>255</v>
      </c>
      <c r="C106" s="82" t="s">
        <v>0</v>
      </c>
      <c r="D106" s="63">
        <v>1.764</v>
      </c>
      <c r="E106" s="102"/>
    </row>
    <row r="107" spans="1:5" s="103" customFormat="1" ht="31.5">
      <c r="A107" s="113">
        <v>104</v>
      </c>
      <c r="B107" s="88" t="s">
        <v>272</v>
      </c>
      <c r="C107" s="82" t="s">
        <v>69</v>
      </c>
      <c r="D107" s="63">
        <v>0.35280000000000006</v>
      </c>
      <c r="E107" s="102"/>
    </row>
    <row r="108" spans="1:5" s="103" customFormat="1" ht="47.25">
      <c r="A108" s="113">
        <v>105</v>
      </c>
      <c r="B108" s="81" t="s">
        <v>61</v>
      </c>
      <c r="C108" s="82" t="s">
        <v>0</v>
      </c>
      <c r="D108" s="63">
        <v>2.9609999999999999</v>
      </c>
      <c r="E108" s="102"/>
    </row>
    <row r="109" spans="1:5" s="103" customFormat="1" ht="31.5">
      <c r="A109" s="113">
        <v>106</v>
      </c>
      <c r="B109" s="88" t="s">
        <v>273</v>
      </c>
      <c r="C109" s="82" t="s">
        <v>14</v>
      </c>
      <c r="D109" s="63">
        <v>3.15E-2</v>
      </c>
      <c r="E109" s="102"/>
    </row>
    <row r="110" spans="1:5" s="103" customFormat="1" ht="18.75">
      <c r="A110" s="113">
        <v>107</v>
      </c>
      <c r="B110" s="88" t="s">
        <v>274</v>
      </c>
      <c r="C110" s="82" t="s">
        <v>0</v>
      </c>
      <c r="D110" s="63">
        <v>2.625</v>
      </c>
      <c r="E110" s="102"/>
    </row>
    <row r="111" spans="1:5" s="103" customFormat="1" ht="31.5">
      <c r="A111" s="113">
        <v>108</v>
      </c>
      <c r="B111" s="88" t="s">
        <v>275</v>
      </c>
      <c r="C111" s="82" t="s">
        <v>60</v>
      </c>
      <c r="D111" s="63">
        <v>1.8900000000000001</v>
      </c>
      <c r="E111" s="102"/>
    </row>
    <row r="112" spans="1:5" s="103" customFormat="1" ht="18.75">
      <c r="A112" s="113">
        <v>109</v>
      </c>
      <c r="B112" s="88" t="s">
        <v>285</v>
      </c>
      <c r="C112" s="82" t="s">
        <v>14</v>
      </c>
      <c r="D112" s="63">
        <v>9.49221</v>
      </c>
      <c r="E112" s="102"/>
    </row>
    <row r="113" spans="1:5" s="103" customFormat="1" ht="31.5">
      <c r="A113" s="113">
        <v>110</v>
      </c>
      <c r="B113" s="88" t="s">
        <v>16</v>
      </c>
      <c r="C113" s="82" t="s">
        <v>14</v>
      </c>
      <c r="D113" s="63">
        <v>9.49221</v>
      </c>
      <c r="E113" s="102"/>
    </row>
    <row r="114" spans="1:5" s="103" customFormat="1" ht="18.75">
      <c r="A114" s="113">
        <v>111</v>
      </c>
      <c r="B114" s="130" t="s">
        <v>289</v>
      </c>
      <c r="C114" s="132"/>
      <c r="D114" s="63">
        <v>0</v>
      </c>
      <c r="E114" s="102"/>
    </row>
    <row r="115" spans="1:5" s="103" customFormat="1" ht="47.25">
      <c r="A115" s="113">
        <v>112</v>
      </c>
      <c r="B115" s="88" t="s">
        <v>306</v>
      </c>
      <c r="C115" s="82" t="s">
        <v>60</v>
      </c>
      <c r="D115" s="63">
        <v>7.3500000000000005</v>
      </c>
      <c r="E115" s="102"/>
    </row>
    <row r="116" spans="1:5" s="103" customFormat="1" ht="18.75">
      <c r="A116" s="113">
        <v>113</v>
      </c>
      <c r="B116" s="88" t="s">
        <v>277</v>
      </c>
      <c r="C116" s="82" t="s">
        <v>64</v>
      </c>
      <c r="D116" s="63">
        <v>6.3000000000000007</v>
      </c>
      <c r="E116" s="102"/>
    </row>
    <row r="117" spans="1:5" s="103" customFormat="1" ht="18.75">
      <c r="A117" s="113">
        <v>114</v>
      </c>
      <c r="B117" s="88" t="s">
        <v>255</v>
      </c>
      <c r="C117" s="82" t="s">
        <v>0</v>
      </c>
      <c r="D117" s="63">
        <v>3.1500000000000004</v>
      </c>
      <c r="E117" s="102"/>
    </row>
    <row r="118" spans="1:5" s="103" customFormat="1" ht="18.75">
      <c r="A118" s="113">
        <v>115</v>
      </c>
      <c r="B118" s="88" t="s">
        <v>281</v>
      </c>
      <c r="C118" s="82" t="s">
        <v>69</v>
      </c>
      <c r="D118" s="63">
        <v>27.3</v>
      </c>
      <c r="E118" s="102"/>
    </row>
    <row r="119" spans="1:5" s="103" customFormat="1" ht="31.5">
      <c r="A119" s="113">
        <v>116</v>
      </c>
      <c r="B119" s="88" t="s">
        <v>282</v>
      </c>
      <c r="C119" s="82" t="s">
        <v>64</v>
      </c>
      <c r="D119" s="63">
        <v>1.05</v>
      </c>
      <c r="E119" s="102"/>
    </row>
    <row r="120" spans="1:5" s="103" customFormat="1" ht="18.75">
      <c r="A120" s="113">
        <v>117</v>
      </c>
      <c r="B120" s="88" t="s">
        <v>294</v>
      </c>
      <c r="C120" s="82" t="s">
        <v>69</v>
      </c>
      <c r="D120" s="63">
        <v>9.84375</v>
      </c>
      <c r="E120" s="102"/>
    </row>
    <row r="121" spans="1:5" s="103" customFormat="1" ht="18.75">
      <c r="A121" s="113">
        <v>118</v>
      </c>
      <c r="B121" s="88" t="s">
        <v>295</v>
      </c>
      <c r="C121" s="82" t="s">
        <v>0</v>
      </c>
      <c r="D121" s="63">
        <v>2.3625000000000003</v>
      </c>
      <c r="E121" s="102"/>
    </row>
    <row r="122" spans="1:5" s="103" customFormat="1" ht="31.5">
      <c r="A122" s="113">
        <v>119</v>
      </c>
      <c r="B122" s="88" t="s">
        <v>296</v>
      </c>
      <c r="C122" s="82" t="s">
        <v>0</v>
      </c>
      <c r="D122" s="63">
        <v>2.3625000000000003</v>
      </c>
      <c r="E122" s="102"/>
    </row>
    <row r="123" spans="1:5" s="103" customFormat="1" ht="31.5">
      <c r="A123" s="113">
        <v>120</v>
      </c>
      <c r="B123" s="88" t="s">
        <v>297</v>
      </c>
      <c r="C123" s="82" t="s">
        <v>0</v>
      </c>
      <c r="D123" s="63">
        <v>5.25</v>
      </c>
      <c r="E123" s="102"/>
    </row>
    <row r="124" spans="1:5" s="103" customFormat="1" ht="31.5">
      <c r="A124" s="113">
        <v>121</v>
      </c>
      <c r="B124" s="88" t="s">
        <v>298</v>
      </c>
      <c r="C124" s="82" t="s">
        <v>0</v>
      </c>
      <c r="D124" s="63">
        <v>10.5</v>
      </c>
      <c r="E124" s="102"/>
    </row>
    <row r="125" spans="1:5" s="103" customFormat="1" ht="18.75">
      <c r="A125" s="113">
        <v>122</v>
      </c>
      <c r="B125" s="88" t="s">
        <v>299</v>
      </c>
      <c r="C125" s="82" t="s">
        <v>0</v>
      </c>
      <c r="D125" s="63">
        <v>5.25</v>
      </c>
      <c r="E125" s="102"/>
    </row>
    <row r="126" spans="1:5" s="103" customFormat="1" ht="47.25">
      <c r="A126" s="113">
        <v>123</v>
      </c>
      <c r="B126" s="88" t="s">
        <v>300</v>
      </c>
      <c r="C126" s="82" t="s">
        <v>0</v>
      </c>
      <c r="D126" s="63">
        <v>2.0657700000000001</v>
      </c>
      <c r="E126" s="102"/>
    </row>
    <row r="127" spans="1:5" s="103" customFormat="1" ht="18.75">
      <c r="A127" s="113">
        <v>124</v>
      </c>
      <c r="B127" s="88" t="s">
        <v>301</v>
      </c>
      <c r="C127" s="82" t="s">
        <v>69</v>
      </c>
      <c r="D127" s="63">
        <v>6.3000000000000007</v>
      </c>
      <c r="E127" s="102"/>
    </row>
    <row r="128" spans="1:5" s="103" customFormat="1" ht="31.5">
      <c r="A128" s="113">
        <v>125</v>
      </c>
      <c r="B128" s="88" t="s">
        <v>302</v>
      </c>
      <c r="C128" s="82" t="s">
        <v>0</v>
      </c>
      <c r="D128" s="63">
        <v>21</v>
      </c>
      <c r="E128" s="102"/>
    </row>
    <row r="129" spans="1:5" s="103" customFormat="1" ht="31.5">
      <c r="A129" s="113">
        <v>126</v>
      </c>
      <c r="B129" s="88" t="s">
        <v>303</v>
      </c>
      <c r="C129" s="82" t="s">
        <v>60</v>
      </c>
      <c r="D129" s="63">
        <v>21</v>
      </c>
      <c r="E129" s="102"/>
    </row>
    <row r="130" spans="1:5" s="131" customFormat="1" ht="47.25">
      <c r="A130" s="113">
        <v>127</v>
      </c>
      <c r="B130" s="88" t="s">
        <v>283</v>
      </c>
      <c r="C130" s="135" t="s">
        <v>64</v>
      </c>
      <c r="D130" s="63">
        <v>3.1500000000000004</v>
      </c>
      <c r="E130" s="102"/>
    </row>
    <row r="131" spans="1:5" s="131" customFormat="1" ht="31.5">
      <c r="A131" s="113">
        <v>128</v>
      </c>
      <c r="B131" s="88" t="s">
        <v>304</v>
      </c>
      <c r="C131" s="135" t="s">
        <v>69</v>
      </c>
      <c r="D131" s="63">
        <v>8.4</v>
      </c>
      <c r="E131" s="102"/>
    </row>
    <row r="132" spans="1:5" s="131" customFormat="1" ht="18.75">
      <c r="A132" s="113">
        <v>129</v>
      </c>
      <c r="B132" s="88" t="s">
        <v>284</v>
      </c>
      <c r="C132" s="135" t="s">
        <v>69</v>
      </c>
      <c r="D132" s="63">
        <v>16.8</v>
      </c>
      <c r="E132" s="102"/>
    </row>
    <row r="133" spans="1:5" s="131" customFormat="1" ht="18.75">
      <c r="A133" s="113">
        <v>130</v>
      </c>
      <c r="B133" s="88" t="s">
        <v>286</v>
      </c>
      <c r="C133" s="135" t="s">
        <v>14</v>
      </c>
      <c r="D133" s="63">
        <v>16.8</v>
      </c>
      <c r="E133" s="102"/>
    </row>
    <row r="134" spans="1:5" s="131" customFormat="1" ht="31.5">
      <c r="A134" s="113">
        <v>131</v>
      </c>
      <c r="B134" s="88" t="s">
        <v>287</v>
      </c>
      <c r="C134" s="135" t="s">
        <v>14</v>
      </c>
      <c r="D134" s="63">
        <v>16.8</v>
      </c>
      <c r="E134" s="102"/>
    </row>
    <row r="135" spans="1:5" s="131" customFormat="1" ht="18.75">
      <c r="A135" s="113">
        <v>132</v>
      </c>
      <c r="B135" s="88" t="s">
        <v>305</v>
      </c>
      <c r="C135" s="135" t="s">
        <v>0</v>
      </c>
      <c r="D135" s="63">
        <v>2.1</v>
      </c>
      <c r="E135" s="102"/>
    </row>
    <row r="136" spans="1:5" s="131" customFormat="1" ht="18.75">
      <c r="A136" s="113">
        <v>133</v>
      </c>
      <c r="B136" s="88" t="s">
        <v>288</v>
      </c>
      <c r="C136" s="135" t="s">
        <v>69</v>
      </c>
      <c r="D136" s="63">
        <v>10.5</v>
      </c>
      <c r="E136" s="102"/>
    </row>
    <row r="137" spans="1:5" s="103" customFormat="1" ht="18.75">
      <c r="A137" s="114"/>
      <c r="B137" s="128"/>
      <c r="C137" s="134"/>
      <c r="D137" s="126"/>
      <c r="E137" s="102"/>
    </row>
    <row r="138" spans="1:5" s="103" customFormat="1" ht="18.75">
      <c r="A138" s="114"/>
      <c r="B138" s="128"/>
      <c r="C138" s="134"/>
      <c r="D138" s="126"/>
      <c r="E138" s="102"/>
    </row>
    <row r="139" spans="1:5" s="103" customFormat="1" ht="18.75">
      <c r="A139" s="114"/>
      <c r="B139" s="128"/>
      <c r="C139" s="134"/>
      <c r="D139" s="126"/>
      <c r="E139" s="102"/>
    </row>
    <row r="140" spans="1:5" s="103" customFormat="1" ht="18.75">
      <c r="A140" s="114"/>
      <c r="B140" s="128"/>
      <c r="C140" s="134"/>
      <c r="D140" s="126"/>
      <c r="E140" s="102"/>
    </row>
    <row r="141" spans="1:5" s="103" customFormat="1" ht="18.75">
      <c r="A141" s="114"/>
      <c r="B141" s="128"/>
      <c r="C141" s="134"/>
      <c r="D141" s="126"/>
      <c r="E141" s="102"/>
    </row>
    <row r="142" spans="1:5" s="103" customFormat="1" ht="18.75">
      <c r="A142" s="114"/>
      <c r="B142" s="128"/>
      <c r="C142" s="134"/>
      <c r="D142" s="126"/>
      <c r="E142" s="102"/>
    </row>
    <row r="143" spans="1:5" s="103" customFormat="1" ht="18.75">
      <c r="A143" s="114"/>
      <c r="B143" s="128"/>
      <c r="C143" s="134"/>
      <c r="D143" s="126"/>
      <c r="E143" s="102"/>
    </row>
    <row r="144" spans="1:5" s="103" customFormat="1" ht="18.75">
      <c r="A144" s="114"/>
      <c r="B144" s="128"/>
      <c r="C144" s="134"/>
      <c r="D144" s="126"/>
      <c r="E144" s="102"/>
    </row>
    <row r="145" spans="1:5" s="103" customFormat="1" ht="18.75">
      <c r="A145" s="114"/>
      <c r="B145" s="128"/>
      <c r="C145" s="134"/>
      <c r="D145" s="126"/>
      <c r="E145" s="102"/>
    </row>
    <row r="146" spans="1:5" s="103" customFormat="1" ht="18.75">
      <c r="A146" s="114"/>
      <c r="B146" s="128"/>
      <c r="C146" s="134"/>
      <c r="D146" s="126"/>
      <c r="E146" s="102"/>
    </row>
    <row r="147" spans="1:5" s="103" customFormat="1" ht="18.75">
      <c r="A147" s="114"/>
      <c r="B147" s="128"/>
      <c r="C147" s="134"/>
      <c r="D147" s="126"/>
      <c r="E147" s="102"/>
    </row>
    <row r="148" spans="1:5" s="103" customFormat="1" ht="18.75">
      <c r="A148" s="114"/>
      <c r="B148" s="128"/>
      <c r="C148" s="134"/>
      <c r="D148" s="126"/>
      <c r="E148" s="102"/>
    </row>
    <row r="149" spans="1:5" s="103" customFormat="1" ht="18.75">
      <c r="A149" s="114"/>
      <c r="B149" s="128"/>
      <c r="C149" s="134"/>
      <c r="D149" s="126"/>
      <c r="E149" s="102"/>
    </row>
    <row r="150" spans="1:5" s="103" customFormat="1" ht="18.75">
      <c r="A150" s="114"/>
      <c r="B150" s="128"/>
      <c r="C150" s="134"/>
      <c r="D150" s="126"/>
      <c r="E150" s="102"/>
    </row>
    <row r="151" spans="1:5" s="103" customFormat="1" ht="18.75">
      <c r="A151" s="114"/>
      <c r="B151" s="128"/>
      <c r="C151" s="134"/>
      <c r="D151" s="126"/>
      <c r="E151" s="102"/>
    </row>
    <row r="152" spans="1:5" s="103" customFormat="1" ht="18.75">
      <c r="A152" s="114"/>
      <c r="B152" s="128"/>
      <c r="C152" s="134"/>
      <c r="D152" s="126"/>
      <c r="E152" s="102"/>
    </row>
    <row r="153" spans="1:5" s="103" customFormat="1" ht="18.75">
      <c r="A153" s="114"/>
      <c r="B153" s="128"/>
      <c r="C153" s="134"/>
      <c r="D153" s="126"/>
      <c r="E153" s="102"/>
    </row>
    <row r="154" spans="1:5" s="103" customFormat="1" ht="18.75">
      <c r="A154" s="114"/>
      <c r="B154" s="128"/>
      <c r="C154" s="134"/>
      <c r="D154" s="126"/>
      <c r="E154" s="102"/>
    </row>
    <row r="155" spans="1:5" s="103" customFormat="1" ht="18.75">
      <c r="A155" s="114"/>
      <c r="B155" s="128"/>
      <c r="C155" s="134"/>
      <c r="D155" s="126"/>
      <c r="E155" s="102"/>
    </row>
    <row r="156" spans="1:5" s="103" customFormat="1" ht="18.75">
      <c r="A156" s="114"/>
      <c r="B156" s="128"/>
      <c r="C156" s="134"/>
      <c r="D156" s="126"/>
      <c r="E156" s="102"/>
    </row>
    <row r="157" spans="1:5" s="103" customFormat="1" ht="18.75">
      <c r="A157" s="114"/>
      <c r="B157" s="128"/>
      <c r="C157" s="134"/>
      <c r="D157" s="126"/>
      <c r="E157" s="102"/>
    </row>
    <row r="158" spans="1:5" s="103" customFormat="1" ht="18.75">
      <c r="A158" s="114"/>
      <c r="B158" s="128"/>
      <c r="C158" s="134"/>
      <c r="D158" s="126"/>
      <c r="E158" s="102"/>
    </row>
    <row r="159" spans="1:5" s="103" customFormat="1" ht="18.75">
      <c r="A159" s="114"/>
      <c r="B159" s="128"/>
      <c r="C159" s="134"/>
      <c r="D159" s="126"/>
      <c r="E159" s="102"/>
    </row>
    <row r="160" spans="1:5" s="103" customFormat="1" ht="18.75">
      <c r="A160" s="114"/>
      <c r="B160" s="128"/>
      <c r="C160" s="134"/>
      <c r="D160" s="126"/>
      <c r="E160" s="102"/>
    </row>
    <row r="161" spans="1:5" s="103" customFormat="1" ht="18.75">
      <c r="A161" s="114"/>
      <c r="B161" s="128"/>
      <c r="C161" s="134"/>
      <c r="D161" s="126"/>
      <c r="E161" s="102"/>
    </row>
    <row r="162" spans="1:5" s="103" customFormat="1" ht="18.75">
      <c r="A162" s="114"/>
      <c r="B162" s="128"/>
      <c r="C162" s="134"/>
      <c r="D162" s="126"/>
      <c r="E162" s="102"/>
    </row>
    <row r="163" spans="1:5" s="103" customFormat="1" ht="18.75">
      <c r="A163" s="114"/>
      <c r="B163" s="128"/>
      <c r="C163" s="134"/>
      <c r="D163" s="126"/>
      <c r="E163" s="102"/>
    </row>
    <row r="164" spans="1:5" s="103" customFormat="1" ht="18.75">
      <c r="A164" s="114"/>
      <c r="B164" s="128"/>
      <c r="C164" s="134"/>
      <c r="D164" s="126"/>
      <c r="E164" s="102"/>
    </row>
    <row r="165" spans="1:5" s="103" customFormat="1" ht="18.75">
      <c r="A165" s="114"/>
      <c r="B165" s="128"/>
      <c r="C165" s="134"/>
      <c r="D165" s="126"/>
      <c r="E165" s="102"/>
    </row>
    <row r="166" spans="1:5" s="103" customFormat="1" ht="18.75">
      <c r="A166" s="114"/>
      <c r="B166" s="128"/>
      <c r="C166" s="134"/>
      <c r="D166" s="126"/>
      <c r="E166" s="102"/>
    </row>
    <row r="167" spans="1:5" s="103" customFormat="1" ht="18.75">
      <c r="A167" s="114"/>
      <c r="B167" s="128"/>
      <c r="C167" s="134"/>
      <c r="D167" s="126"/>
      <c r="E167" s="102"/>
    </row>
    <row r="168" spans="1:5" s="103" customFormat="1" ht="18.75">
      <c r="A168" s="114"/>
      <c r="B168" s="128"/>
      <c r="C168" s="134"/>
      <c r="D168" s="126"/>
      <c r="E168" s="102"/>
    </row>
    <row r="169" spans="1:5" s="103" customFormat="1" ht="18.75">
      <c r="A169" s="114"/>
      <c r="B169" s="128"/>
      <c r="C169" s="134"/>
      <c r="D169" s="126"/>
      <c r="E169" s="102"/>
    </row>
    <row r="170" spans="1:5" s="103" customFormat="1" ht="18.75">
      <c r="A170" s="114"/>
      <c r="B170" s="128"/>
      <c r="C170" s="134"/>
      <c r="D170" s="126"/>
      <c r="E170" s="102"/>
    </row>
    <row r="171" spans="1:5" s="103" customFormat="1" ht="18.75">
      <c r="A171" s="114"/>
      <c r="B171" s="128"/>
      <c r="C171" s="134"/>
      <c r="D171" s="126"/>
      <c r="E171" s="102"/>
    </row>
    <row r="172" spans="1:5" s="103" customFormat="1" ht="18.75">
      <c r="A172" s="114"/>
      <c r="B172" s="128"/>
      <c r="C172" s="134"/>
      <c r="D172" s="126"/>
      <c r="E172" s="102"/>
    </row>
    <row r="173" spans="1:5" s="103" customFormat="1" ht="18.75">
      <c r="A173" s="114"/>
      <c r="B173" s="128"/>
      <c r="C173" s="134"/>
      <c r="D173" s="126"/>
      <c r="E173" s="102"/>
    </row>
    <row r="174" spans="1:5" s="103" customFormat="1" ht="18.75">
      <c r="A174" s="114"/>
      <c r="B174" s="128"/>
      <c r="C174" s="134"/>
      <c r="D174" s="126"/>
      <c r="E174" s="102"/>
    </row>
    <row r="175" spans="1:5" s="103" customFormat="1" ht="18.75">
      <c r="A175" s="114"/>
      <c r="B175" s="128"/>
      <c r="C175" s="134"/>
      <c r="D175" s="126"/>
      <c r="E175" s="102"/>
    </row>
    <row r="176" spans="1:5" s="103" customFormat="1" ht="18.75">
      <c r="A176" s="114"/>
      <c r="B176" s="128"/>
      <c r="C176" s="134"/>
      <c r="D176" s="126"/>
      <c r="E176" s="102"/>
    </row>
    <row r="177" spans="1:5" s="103" customFormat="1" ht="18.75">
      <c r="A177" s="114"/>
      <c r="B177" s="128"/>
      <c r="C177" s="134"/>
      <c r="D177" s="126"/>
      <c r="E177" s="102"/>
    </row>
    <row r="178" spans="1:5" s="103" customFormat="1" ht="18.75">
      <c r="A178" s="114"/>
      <c r="B178" s="128"/>
      <c r="C178" s="134"/>
      <c r="D178" s="126"/>
      <c r="E178" s="102"/>
    </row>
    <row r="179" spans="1:5" s="103" customFormat="1" ht="18.75">
      <c r="A179" s="114"/>
      <c r="B179" s="128"/>
      <c r="C179" s="134"/>
      <c r="D179" s="126"/>
      <c r="E179" s="102"/>
    </row>
    <row r="180" spans="1:5" s="103" customFormat="1" ht="18.75">
      <c r="A180" s="114"/>
      <c r="B180" s="128"/>
      <c r="C180" s="134"/>
      <c r="D180" s="126"/>
      <c r="E180" s="102"/>
    </row>
    <row r="181" spans="1:5" s="103" customFormat="1" ht="18.75">
      <c r="A181" s="114"/>
      <c r="B181" s="128"/>
      <c r="C181" s="134"/>
      <c r="D181" s="126"/>
      <c r="E181" s="102"/>
    </row>
    <row r="182" spans="1:5" s="103" customFormat="1" ht="18.75">
      <c r="A182" s="114"/>
      <c r="B182" s="128"/>
      <c r="C182" s="134"/>
      <c r="D182" s="126"/>
      <c r="E182" s="102"/>
    </row>
    <row r="183" spans="1:5" s="103" customFormat="1" ht="18.75">
      <c r="A183" s="114"/>
      <c r="B183" s="128"/>
      <c r="C183" s="134"/>
      <c r="D183" s="126"/>
      <c r="E183" s="102"/>
    </row>
    <row r="184" spans="1:5" s="103" customFormat="1" ht="18.75">
      <c r="A184" s="114"/>
      <c r="B184" s="128"/>
      <c r="C184" s="134"/>
      <c r="D184" s="126"/>
      <c r="E184" s="102"/>
    </row>
    <row r="185" spans="1:5" s="103" customFormat="1" ht="18.75">
      <c r="A185" s="114"/>
      <c r="B185" s="128"/>
      <c r="C185" s="134"/>
      <c r="D185" s="126"/>
      <c r="E185" s="102"/>
    </row>
    <row r="186" spans="1:5" s="103" customFormat="1" ht="18.75">
      <c r="A186" s="114"/>
      <c r="B186" s="128"/>
      <c r="C186" s="134"/>
      <c r="D186" s="126"/>
      <c r="E186" s="102"/>
    </row>
    <row r="187" spans="1:5" s="103" customFormat="1" ht="18.75">
      <c r="A187" s="114"/>
      <c r="B187" s="128"/>
      <c r="C187" s="134"/>
      <c r="D187" s="126"/>
      <c r="E187" s="102"/>
    </row>
    <row r="188" spans="1:5" s="103" customFormat="1" ht="18.75">
      <c r="A188" s="114"/>
      <c r="B188" s="128"/>
      <c r="C188" s="134"/>
      <c r="D188" s="126"/>
      <c r="E188" s="102"/>
    </row>
    <row r="189" spans="1:5" s="103" customFormat="1" ht="18.75">
      <c r="A189" s="114"/>
      <c r="B189" s="128"/>
      <c r="C189" s="134"/>
      <c r="D189" s="126"/>
      <c r="E189" s="102"/>
    </row>
    <row r="190" spans="1:5" s="103" customFormat="1" ht="18.75">
      <c r="A190" s="114"/>
      <c r="B190" s="128"/>
      <c r="C190" s="134"/>
      <c r="D190" s="126"/>
      <c r="E190" s="102"/>
    </row>
    <row r="191" spans="1:5" s="103" customFormat="1" ht="18.75">
      <c r="A191" s="114"/>
      <c r="B191" s="128"/>
      <c r="C191" s="134"/>
      <c r="D191" s="126"/>
      <c r="E191" s="102"/>
    </row>
    <row r="192" spans="1:5" s="103" customFormat="1" ht="18.75">
      <c r="A192" s="114"/>
      <c r="B192" s="128"/>
      <c r="C192" s="134"/>
      <c r="D192" s="126"/>
      <c r="E192" s="102"/>
    </row>
    <row r="193" spans="1:5" s="103" customFormat="1" ht="18.75">
      <c r="A193" s="114"/>
      <c r="B193" s="128"/>
      <c r="C193" s="134"/>
      <c r="D193" s="126"/>
      <c r="E193" s="102"/>
    </row>
    <row r="194" spans="1:5" s="103" customFormat="1" ht="18.75">
      <c r="A194" s="114"/>
      <c r="B194" s="128"/>
      <c r="C194" s="134"/>
      <c r="D194" s="126"/>
      <c r="E194" s="102"/>
    </row>
    <row r="195" spans="1:5" s="103" customFormat="1" ht="18.75">
      <c r="A195" s="114"/>
      <c r="B195" s="128"/>
      <c r="C195" s="134"/>
      <c r="D195" s="126"/>
      <c r="E195" s="102"/>
    </row>
    <row r="196" spans="1:5" s="103" customFormat="1" ht="18.75">
      <c r="A196" s="114"/>
      <c r="B196" s="128"/>
      <c r="C196" s="134"/>
      <c r="D196" s="126"/>
      <c r="E196" s="102"/>
    </row>
    <row r="197" spans="1:5" s="103" customFormat="1" ht="18.75">
      <c r="A197" s="114"/>
      <c r="B197" s="128"/>
      <c r="C197" s="134"/>
      <c r="D197" s="126"/>
      <c r="E197" s="102"/>
    </row>
    <row r="198" spans="1:5" s="103" customFormat="1" ht="18.75">
      <c r="A198" s="114"/>
      <c r="B198" s="128"/>
      <c r="C198" s="134"/>
      <c r="D198" s="126"/>
      <c r="E198" s="102"/>
    </row>
    <row r="199" spans="1:5" s="103" customFormat="1" ht="18.75">
      <c r="A199" s="114"/>
      <c r="B199" s="128"/>
      <c r="C199" s="134"/>
      <c r="D199" s="126"/>
      <c r="E199" s="102"/>
    </row>
    <row r="200" spans="1:5" s="103" customFormat="1" ht="18.75">
      <c r="A200" s="114"/>
      <c r="B200" s="128"/>
      <c r="C200" s="134"/>
      <c r="D200" s="126"/>
      <c r="E200" s="102"/>
    </row>
    <row r="201" spans="1:5" s="103" customFormat="1" ht="18.75">
      <c r="A201" s="114"/>
      <c r="B201" s="128"/>
      <c r="C201" s="134"/>
      <c r="D201" s="126"/>
      <c r="E201" s="102"/>
    </row>
    <row r="202" spans="1:5" s="103" customFormat="1" ht="18.75">
      <c r="A202" s="114"/>
      <c r="B202" s="128"/>
      <c r="C202" s="134"/>
      <c r="D202" s="126"/>
      <c r="E202" s="102"/>
    </row>
    <row r="203" spans="1:5" s="103" customFormat="1" ht="18.75">
      <c r="A203" s="114"/>
      <c r="B203" s="128"/>
      <c r="C203" s="134"/>
      <c r="D203" s="126"/>
      <c r="E203" s="102"/>
    </row>
    <row r="204" spans="1:5" s="103" customFormat="1" ht="18.75">
      <c r="A204" s="114"/>
      <c r="B204" s="128"/>
      <c r="C204" s="134"/>
      <c r="D204" s="126"/>
      <c r="E204" s="102"/>
    </row>
    <row r="205" spans="1:5" s="103" customFormat="1" ht="18.75">
      <c r="A205" s="114"/>
      <c r="B205" s="128"/>
      <c r="C205" s="134"/>
      <c r="D205" s="126"/>
      <c r="E205" s="102"/>
    </row>
    <row r="206" spans="1:5" s="103" customFormat="1" ht="18.75">
      <c r="A206" s="114"/>
      <c r="B206" s="128"/>
      <c r="C206" s="134"/>
      <c r="D206" s="126"/>
      <c r="E206" s="102"/>
    </row>
    <row r="207" spans="1:5" s="103" customFormat="1" ht="18.75">
      <c r="A207" s="114"/>
      <c r="B207" s="128"/>
      <c r="C207" s="134"/>
      <c r="D207" s="126"/>
      <c r="E207" s="102"/>
    </row>
    <row r="208" spans="1:5" s="103" customFormat="1" ht="18.75">
      <c r="A208" s="114"/>
      <c r="B208" s="128"/>
      <c r="C208" s="134"/>
      <c r="D208" s="126"/>
      <c r="E208" s="102"/>
    </row>
    <row r="209" spans="1:5" s="103" customFormat="1" ht="18.75">
      <c r="A209" s="114"/>
      <c r="B209" s="128"/>
      <c r="C209" s="134"/>
      <c r="D209" s="126"/>
      <c r="E209" s="102"/>
    </row>
    <row r="210" spans="1:5" s="103" customFormat="1" ht="18.75">
      <c r="A210" s="114"/>
      <c r="B210" s="128"/>
      <c r="C210" s="134"/>
      <c r="D210" s="126"/>
      <c r="E210" s="102"/>
    </row>
    <row r="211" spans="1:5" s="103" customFormat="1" ht="18.75">
      <c r="A211" s="114"/>
      <c r="B211" s="128"/>
      <c r="C211" s="134"/>
      <c r="D211" s="126"/>
      <c r="E211" s="102"/>
    </row>
    <row r="212" spans="1:5" s="103" customFormat="1" ht="18.75">
      <c r="A212" s="114"/>
      <c r="B212" s="128"/>
      <c r="C212" s="134"/>
      <c r="D212" s="126"/>
      <c r="E212" s="102"/>
    </row>
    <row r="213" spans="1:5" s="103" customFormat="1" ht="18.75">
      <c r="A213" s="114"/>
      <c r="B213" s="128"/>
      <c r="C213" s="134"/>
      <c r="D213" s="126"/>
      <c r="E213" s="102"/>
    </row>
    <row r="214" spans="1:5" s="103" customFormat="1" ht="18.75">
      <c r="A214" s="114"/>
      <c r="B214" s="128"/>
      <c r="C214" s="134"/>
      <c r="D214" s="126"/>
      <c r="E214" s="102"/>
    </row>
    <row r="215" spans="1:5" s="96" customFormat="1" ht="18.75">
      <c r="A215" s="114"/>
      <c r="B215" s="128"/>
      <c r="C215" s="134"/>
      <c r="D215" s="94"/>
    </row>
    <row r="216" spans="1:5" s="96" customFormat="1" ht="18.75">
      <c r="A216" s="115" t="s">
        <v>8</v>
      </c>
      <c r="B216" s="128"/>
      <c r="C216" s="134"/>
      <c r="D216" s="62" t="s">
        <v>9</v>
      </c>
    </row>
    <row r="217" spans="1:5" s="96" customFormat="1" ht="18.75">
      <c r="A217" s="111"/>
      <c r="B217" s="128"/>
      <c r="C217" s="134"/>
      <c r="D217" s="62"/>
    </row>
    <row r="218" spans="1:5" s="96" customFormat="1" ht="18.75">
      <c r="A218" s="111"/>
      <c r="B218" s="128"/>
      <c r="C218" s="134"/>
      <c r="D218" s="62"/>
    </row>
    <row r="219" spans="1:5" s="96" customFormat="1">
      <c r="A219" s="111"/>
      <c r="B219" s="92"/>
      <c r="C219" s="93"/>
      <c r="D219" s="62"/>
    </row>
    <row r="220" spans="1:5" s="96" customFormat="1">
      <c r="A220" s="111"/>
      <c r="B220" s="64"/>
      <c r="C220" s="65"/>
      <c r="D220" s="62"/>
    </row>
  </sheetData>
  <autoFilter ref="A4:E216"/>
  <mergeCells count="2">
    <mergeCell ref="A1:D1"/>
    <mergeCell ref="A2:D2"/>
  </mergeCells>
  <pageMargins left="0.23622047244094491" right="0.23622047244094491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topLeftCell="A19" workbookViewId="0">
      <selection activeCell="J14" sqref="J14"/>
    </sheetView>
  </sheetViews>
  <sheetFormatPr defaultRowHeight="15.75"/>
  <cols>
    <col min="1" max="1" width="4.42578125" style="6" customWidth="1"/>
    <col min="2" max="2" width="52.85546875" style="7" customWidth="1"/>
    <col min="3" max="3" width="6.7109375" style="8" customWidth="1"/>
    <col min="4" max="4" width="9" style="12" customWidth="1"/>
    <col min="5" max="5" width="29.5703125" style="10" customWidth="1"/>
    <col min="6" max="6" width="9.140625" style="8"/>
    <col min="7" max="7" width="11.28515625" style="11" bestFit="1" customWidth="1"/>
    <col min="8" max="16384" width="9.140625" style="11"/>
  </cols>
  <sheetData>
    <row r="1" spans="1:7">
      <c r="D1" s="9"/>
    </row>
    <row r="2" spans="1:7">
      <c r="E2" s="13"/>
    </row>
    <row r="3" spans="1:7">
      <c r="E3" s="13"/>
    </row>
    <row r="4" spans="1:7">
      <c r="A4" s="139" t="s">
        <v>2</v>
      </c>
      <c r="B4" s="139"/>
      <c r="C4" s="139"/>
      <c r="D4" s="139"/>
      <c r="E4" s="139"/>
    </row>
    <row r="5" spans="1:7" ht="36" customHeight="1">
      <c r="A5" s="140" t="s">
        <v>19</v>
      </c>
      <c r="B5" s="140"/>
      <c r="C5" s="140"/>
      <c r="D5" s="140"/>
      <c r="E5" s="140"/>
    </row>
    <row r="6" spans="1:7" s="16" customFormat="1" ht="31.5">
      <c r="A6" s="14" t="s">
        <v>3</v>
      </c>
      <c r="B6" s="14" t="s">
        <v>4</v>
      </c>
      <c r="C6" s="14" t="s">
        <v>5</v>
      </c>
      <c r="D6" s="15" t="s">
        <v>6</v>
      </c>
      <c r="E6" s="15" t="s">
        <v>17</v>
      </c>
      <c r="F6" s="14" t="s">
        <v>20</v>
      </c>
      <c r="G6" s="14" t="s">
        <v>21</v>
      </c>
    </row>
    <row r="7" spans="1:7" s="16" customFormat="1" ht="42">
      <c r="A7" s="17">
        <v>1</v>
      </c>
      <c r="B7" s="18" t="s">
        <v>22</v>
      </c>
      <c r="C7" s="14"/>
      <c r="D7" s="15"/>
      <c r="E7" s="15"/>
      <c r="F7" s="14"/>
    </row>
    <row r="8" spans="1:7" s="16" customFormat="1" ht="18.75">
      <c r="A8" s="17">
        <v>2</v>
      </c>
      <c r="B8" s="19" t="s">
        <v>23</v>
      </c>
      <c r="C8" s="14"/>
      <c r="D8" s="15"/>
      <c r="E8" s="15"/>
      <c r="F8" s="14"/>
    </row>
    <row r="9" spans="1:7" s="4" customFormat="1" ht="47.25">
      <c r="A9" s="17">
        <v>3</v>
      </c>
      <c r="B9" s="44" t="s">
        <v>24</v>
      </c>
      <c r="C9" s="3" t="s">
        <v>0</v>
      </c>
      <c r="D9" s="20">
        <v>180.21111999999999</v>
      </c>
      <c r="E9" s="21"/>
      <c r="F9" s="1">
        <v>100</v>
      </c>
      <c r="G9" s="61">
        <f t="shared" ref="G9:G25" si="0">D9*F9</f>
        <v>18021.112000000001</v>
      </c>
    </row>
    <row r="10" spans="1:7" s="4" customFormat="1" ht="78.75">
      <c r="A10" s="17">
        <v>5</v>
      </c>
      <c r="B10" s="44" t="s">
        <v>25</v>
      </c>
      <c r="C10" s="3" t="s">
        <v>0</v>
      </c>
      <c r="D10" s="20">
        <v>24.695602000000001</v>
      </c>
      <c r="E10" s="22" t="s">
        <v>26</v>
      </c>
      <c r="F10" s="1">
        <v>246</v>
      </c>
      <c r="G10" s="61">
        <f t="shared" si="0"/>
        <v>6075.1180920000006</v>
      </c>
    </row>
    <row r="11" spans="1:7" s="4" customFormat="1" ht="31.5">
      <c r="A11" s="17">
        <v>7</v>
      </c>
      <c r="B11" s="44" t="s">
        <v>27</v>
      </c>
      <c r="C11" s="3" t="s">
        <v>0</v>
      </c>
      <c r="D11" s="20">
        <v>180.21111999999999</v>
      </c>
      <c r="E11" s="21"/>
      <c r="F11" s="1">
        <v>95</v>
      </c>
      <c r="G11" s="61">
        <f t="shared" si="0"/>
        <v>17120.056399999998</v>
      </c>
    </row>
    <row r="12" spans="1:7" s="4" customFormat="1" ht="18.75">
      <c r="A12" s="17">
        <v>9</v>
      </c>
      <c r="B12" s="23" t="s">
        <v>11</v>
      </c>
      <c r="D12" s="20">
        <v>0</v>
      </c>
      <c r="E12" s="21"/>
      <c r="F12" s="1"/>
      <c r="G12" s="61">
        <f t="shared" si="0"/>
        <v>0</v>
      </c>
    </row>
    <row r="13" spans="1:7" s="4" customFormat="1" ht="47.25">
      <c r="A13" s="17">
        <v>10</v>
      </c>
      <c r="B13" s="44" t="s">
        <v>28</v>
      </c>
      <c r="C13" s="3" t="s">
        <v>0</v>
      </c>
      <c r="D13" s="20">
        <v>437.98599999999999</v>
      </c>
      <c r="E13" s="21"/>
      <c r="F13" s="1">
        <v>80</v>
      </c>
      <c r="G13" s="61">
        <f t="shared" si="0"/>
        <v>35038.879999999997</v>
      </c>
    </row>
    <row r="14" spans="1:7" s="4" customFormat="1" ht="78.75">
      <c r="A14" s="17">
        <v>11</v>
      </c>
      <c r="B14" s="45" t="s">
        <v>29</v>
      </c>
      <c r="C14" s="3" t="s">
        <v>0</v>
      </c>
      <c r="D14" s="20">
        <v>70.365960000000001</v>
      </c>
      <c r="E14" s="22" t="s">
        <v>30</v>
      </c>
      <c r="F14" s="1">
        <v>230</v>
      </c>
      <c r="G14" s="61">
        <f t="shared" si="0"/>
        <v>16184.1708</v>
      </c>
    </row>
    <row r="15" spans="1:7" s="4" customFormat="1">
      <c r="A15" s="17">
        <v>12</v>
      </c>
      <c r="B15" s="46" t="s">
        <v>31</v>
      </c>
      <c r="C15" s="3" t="s">
        <v>0</v>
      </c>
      <c r="D15" s="20">
        <v>210.41716000000002</v>
      </c>
      <c r="E15" s="21"/>
      <c r="F15" s="1">
        <v>90</v>
      </c>
      <c r="G15" s="61">
        <f t="shared" si="0"/>
        <v>18937.544400000002</v>
      </c>
    </row>
    <row r="16" spans="1:7" s="4" customFormat="1" ht="31.5">
      <c r="A16" s="17">
        <v>13</v>
      </c>
      <c r="B16" s="47" t="s">
        <v>32</v>
      </c>
      <c r="C16" s="3" t="s">
        <v>0</v>
      </c>
      <c r="D16" s="20">
        <v>227.56884000000002</v>
      </c>
      <c r="E16" s="21"/>
      <c r="F16" s="1">
        <v>100</v>
      </c>
      <c r="G16" s="61">
        <f t="shared" si="0"/>
        <v>22756.884000000002</v>
      </c>
    </row>
    <row r="17" spans="1:7" s="4" customFormat="1" ht="18.75">
      <c r="A17" s="17">
        <v>14</v>
      </c>
      <c r="B17" s="23" t="s">
        <v>12</v>
      </c>
      <c r="C17" s="1"/>
      <c r="D17" s="20">
        <v>0</v>
      </c>
      <c r="E17" s="21"/>
      <c r="F17" s="1"/>
      <c r="G17" s="61">
        <f t="shared" si="0"/>
        <v>0</v>
      </c>
    </row>
    <row r="18" spans="1:7" s="4" customFormat="1" ht="63">
      <c r="A18" s="17">
        <v>15</v>
      </c>
      <c r="B18" s="52" t="s">
        <v>33</v>
      </c>
      <c r="C18" s="1" t="s">
        <v>10</v>
      </c>
      <c r="D18" s="20">
        <v>80.210000000000008</v>
      </c>
      <c r="E18" s="21"/>
      <c r="F18" s="1">
        <v>90</v>
      </c>
      <c r="G18" s="61">
        <f t="shared" si="0"/>
        <v>7218.9000000000005</v>
      </c>
    </row>
    <row r="19" spans="1:7" s="4" customFormat="1" ht="18.75">
      <c r="A19" s="17">
        <v>16</v>
      </c>
      <c r="B19" s="23" t="s">
        <v>13</v>
      </c>
      <c r="C19" s="1"/>
      <c r="D19" s="20">
        <v>0</v>
      </c>
      <c r="E19" s="21"/>
      <c r="F19" s="1"/>
      <c r="G19" s="61">
        <f t="shared" si="0"/>
        <v>0</v>
      </c>
    </row>
    <row r="20" spans="1:7" s="4" customFormat="1" ht="63">
      <c r="A20" s="17">
        <v>17</v>
      </c>
      <c r="B20" s="49" t="s">
        <v>34</v>
      </c>
      <c r="C20" s="1" t="s">
        <v>0</v>
      </c>
      <c r="D20" s="20">
        <v>31.3384</v>
      </c>
      <c r="E20" s="21" t="s">
        <v>35</v>
      </c>
      <c r="F20" s="1">
        <v>170</v>
      </c>
      <c r="G20" s="61">
        <f t="shared" si="0"/>
        <v>5327.5280000000002</v>
      </c>
    </row>
    <row r="21" spans="1:7" s="4" customFormat="1" ht="47.25">
      <c r="A21" s="17">
        <v>18</v>
      </c>
      <c r="B21" s="48" t="s">
        <v>36</v>
      </c>
      <c r="C21" s="1" t="s">
        <v>10</v>
      </c>
      <c r="D21" s="20">
        <v>13.65</v>
      </c>
      <c r="E21" s="21"/>
      <c r="F21" s="1">
        <v>120</v>
      </c>
      <c r="G21" s="61">
        <f t="shared" si="0"/>
        <v>1638</v>
      </c>
    </row>
    <row r="22" spans="1:7" s="4" customFormat="1" ht="63">
      <c r="A22" s="17">
        <v>27</v>
      </c>
      <c r="B22" s="53" t="s">
        <v>37</v>
      </c>
      <c r="C22" s="1" t="s">
        <v>10</v>
      </c>
      <c r="D22" s="20">
        <v>8.2015000000000011</v>
      </c>
      <c r="E22" s="22" t="s">
        <v>38</v>
      </c>
      <c r="F22" s="1">
        <v>216</v>
      </c>
      <c r="G22" s="61">
        <f t="shared" si="0"/>
        <v>1771.5240000000003</v>
      </c>
    </row>
    <row r="23" spans="1:7" s="4" customFormat="1" ht="63">
      <c r="A23" s="17">
        <v>34</v>
      </c>
      <c r="B23" s="50" t="s">
        <v>39</v>
      </c>
      <c r="C23" s="1" t="s">
        <v>0</v>
      </c>
      <c r="D23" s="20">
        <v>4.9859999999999998</v>
      </c>
      <c r="E23" s="21"/>
      <c r="F23" s="1">
        <v>220</v>
      </c>
      <c r="G23" s="61">
        <f t="shared" si="0"/>
        <v>1096.9199999999998</v>
      </c>
    </row>
    <row r="24" spans="1:7" s="60" customFormat="1" ht="78.75">
      <c r="A24" s="54">
        <v>39</v>
      </c>
      <c r="B24" s="55" t="s">
        <v>40</v>
      </c>
      <c r="C24" s="56" t="s">
        <v>10</v>
      </c>
      <c r="D24" s="57">
        <f>0.835+4.5</f>
        <v>5.335</v>
      </c>
      <c r="E24" s="58" t="s">
        <v>26</v>
      </c>
      <c r="F24" s="59">
        <v>246</v>
      </c>
      <c r="G24" s="61">
        <f t="shared" si="0"/>
        <v>1312.41</v>
      </c>
    </row>
    <row r="25" spans="1:7" s="4" customFormat="1" ht="63">
      <c r="A25" s="17">
        <v>50</v>
      </c>
      <c r="B25" s="51" t="s">
        <v>41</v>
      </c>
      <c r="C25" s="1" t="s">
        <v>0</v>
      </c>
      <c r="D25" s="20">
        <v>4.5</v>
      </c>
      <c r="E25" s="21"/>
      <c r="F25" s="1">
        <v>95</v>
      </c>
      <c r="G25" s="61">
        <f t="shared" si="0"/>
        <v>427.5</v>
      </c>
    </row>
    <row r="26" spans="1:7" s="4" customFormat="1" ht="47.25">
      <c r="A26" s="17">
        <v>84</v>
      </c>
      <c r="B26" s="24" t="s">
        <v>42</v>
      </c>
      <c r="C26" s="1" t="s">
        <v>14</v>
      </c>
      <c r="D26" s="20">
        <v>0.15</v>
      </c>
      <c r="E26" s="21"/>
      <c r="F26" s="1">
        <v>1400</v>
      </c>
      <c r="G26" s="61">
        <f t="shared" ref="G26" si="1">D26*F26</f>
        <v>210</v>
      </c>
    </row>
    <row r="27" spans="1:7" s="4" customFormat="1">
      <c r="A27" s="25"/>
      <c r="B27" s="26"/>
      <c r="C27" s="2"/>
      <c r="D27" s="27">
        <f>SUM(D9:D26)</f>
        <v>1479.8267020000003</v>
      </c>
      <c r="E27" s="28"/>
      <c r="F27" s="2"/>
      <c r="G27" s="27">
        <f>SUM(G9:G26)</f>
        <v>153136.54769199999</v>
      </c>
    </row>
    <row r="28" spans="1:7" s="32" customFormat="1" ht="21">
      <c r="A28" s="29"/>
      <c r="B28" s="30"/>
      <c r="C28" s="141" t="s">
        <v>43</v>
      </c>
      <c r="D28" s="141"/>
      <c r="E28" s="141"/>
      <c r="F28" s="31"/>
    </row>
    <row r="29" spans="1:7" s="39" customFormat="1" hidden="1">
      <c r="A29" s="33"/>
      <c r="B29" s="34" t="s">
        <v>44</v>
      </c>
      <c r="C29" s="35"/>
      <c r="D29" s="36"/>
      <c r="E29" s="37"/>
      <c r="F29" s="38"/>
    </row>
    <row r="30" spans="1:7" s="39" customFormat="1" hidden="1">
      <c r="A30" s="33"/>
      <c r="B30" s="34" t="s">
        <v>45</v>
      </c>
      <c r="C30" s="35"/>
      <c r="D30" s="36"/>
      <c r="E30" s="37"/>
      <c r="F30" s="38"/>
    </row>
    <row r="31" spans="1:7" s="39" customFormat="1" hidden="1">
      <c r="A31" s="33"/>
      <c r="B31" s="34" t="s">
        <v>46</v>
      </c>
      <c r="C31" s="35"/>
      <c r="D31" s="36"/>
      <c r="E31" s="37"/>
      <c r="F31" s="38"/>
    </row>
    <row r="32" spans="1:7" s="4" customFormat="1">
      <c r="A32" s="25"/>
      <c r="B32" s="26"/>
      <c r="C32" s="2"/>
      <c r="D32" s="27"/>
      <c r="E32" s="40"/>
      <c r="F32" s="5"/>
    </row>
    <row r="33" spans="1:5">
      <c r="A33" s="41" t="s">
        <v>7</v>
      </c>
      <c r="E33" s="13"/>
    </row>
    <row r="34" spans="1:5">
      <c r="A34" s="41" t="s">
        <v>8</v>
      </c>
      <c r="E34" s="13"/>
    </row>
    <row r="38" spans="1:5" ht="18.75">
      <c r="B38" s="42" t="s">
        <v>47</v>
      </c>
    </row>
    <row r="40" spans="1:5">
      <c r="A40" s="6">
        <v>1</v>
      </c>
      <c r="B40" s="43" t="s">
        <v>48</v>
      </c>
    </row>
    <row r="41" spans="1:5">
      <c r="A41" s="6">
        <v>2</v>
      </c>
      <c r="B41" s="43" t="s">
        <v>49</v>
      </c>
    </row>
    <row r="42" spans="1:5">
      <c r="A42" s="6">
        <v>3</v>
      </c>
      <c r="B42" s="43" t="s">
        <v>50</v>
      </c>
    </row>
    <row r="43" spans="1:5">
      <c r="A43" s="6">
        <v>4</v>
      </c>
      <c r="B43" s="43" t="s">
        <v>51</v>
      </c>
    </row>
    <row r="44" spans="1:5">
      <c r="A44" s="6">
        <v>5</v>
      </c>
      <c r="B44" s="43" t="s">
        <v>52</v>
      </c>
    </row>
    <row r="45" spans="1:5">
      <c r="A45" s="6">
        <v>6</v>
      </c>
      <c r="B45" s="43" t="s">
        <v>53</v>
      </c>
    </row>
    <row r="46" spans="1:5">
      <c r="A46" s="6">
        <v>7</v>
      </c>
      <c r="B46" s="43" t="s">
        <v>54</v>
      </c>
    </row>
  </sheetData>
  <autoFilter ref="A7:F26"/>
  <mergeCells count="3">
    <mergeCell ref="A4:E4"/>
    <mergeCell ref="A5:E5"/>
    <mergeCell ref="C28:E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128"/>
  <sheetViews>
    <sheetView workbookViewId="0">
      <selection activeCell="E15" sqref="E15"/>
    </sheetView>
  </sheetViews>
  <sheetFormatPr defaultRowHeight="15.75"/>
  <cols>
    <col min="1" max="1" width="6.140625" style="111" customWidth="1"/>
    <col min="2" max="2" width="88.85546875" style="64" customWidth="1"/>
    <col min="3" max="3" width="6.85546875" style="65" customWidth="1"/>
    <col min="4" max="4" width="7.85546875" style="62" customWidth="1"/>
    <col min="5" max="5" width="33.7109375" style="66" customWidth="1"/>
    <col min="6" max="6" width="9.5703125" style="67" customWidth="1"/>
    <col min="7" max="7" width="9.5703125" style="116" customWidth="1"/>
    <col min="8" max="16" width="9.5703125" style="67" customWidth="1"/>
    <col min="17" max="17" width="11.140625" style="67" customWidth="1"/>
    <col min="18" max="19" width="9.5703125" style="67" customWidth="1"/>
    <col min="20" max="21" width="9.5703125" style="116" customWidth="1"/>
    <col min="22" max="22" width="9.5703125" style="67" customWidth="1"/>
    <col min="23" max="24" width="9.5703125" style="116" customWidth="1"/>
    <col min="25" max="25" width="9.5703125" style="67" customWidth="1"/>
    <col min="26" max="26" width="9.5703125" style="116" customWidth="1"/>
    <col min="27" max="28" width="9.5703125" style="67" customWidth="1"/>
    <col min="29" max="29" width="11.28515625" style="116" customWidth="1"/>
    <col min="30" max="31" width="9.5703125" style="67" customWidth="1"/>
    <col min="32" max="16384" width="9.140625" style="68"/>
  </cols>
  <sheetData>
    <row r="1" spans="1:32">
      <c r="D1" s="62" t="s">
        <v>1</v>
      </c>
    </row>
    <row r="2" spans="1:32">
      <c r="B2" s="67"/>
      <c r="E2" s="69" t="s">
        <v>18</v>
      </c>
    </row>
    <row r="3" spans="1:32">
      <c r="B3" s="67"/>
      <c r="E3" s="69" t="s">
        <v>236</v>
      </c>
    </row>
    <row r="4" spans="1:32">
      <c r="A4" s="137" t="s">
        <v>2</v>
      </c>
      <c r="B4" s="137"/>
      <c r="C4" s="137"/>
      <c r="D4" s="137"/>
      <c r="E4" s="137"/>
    </row>
    <row r="5" spans="1:32" ht="18.75">
      <c r="A5" s="138" t="s">
        <v>62</v>
      </c>
      <c r="B5" s="138"/>
      <c r="C5" s="138"/>
      <c r="D5" s="138"/>
      <c r="E5" s="138"/>
      <c r="F5" s="142" t="s">
        <v>237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 t="s">
        <v>238</v>
      </c>
      <c r="X5" s="142"/>
      <c r="Y5" s="142"/>
      <c r="Z5" s="142"/>
      <c r="AA5" s="142"/>
      <c r="AB5" s="142"/>
      <c r="AC5" s="142"/>
      <c r="AD5" s="142"/>
      <c r="AE5" s="142"/>
    </row>
    <row r="6" spans="1:32" s="72" customFormat="1" ht="63">
      <c r="A6" s="112" t="s">
        <v>3</v>
      </c>
      <c r="B6" s="70" t="s">
        <v>4</v>
      </c>
      <c r="C6" s="70" t="s">
        <v>5</v>
      </c>
      <c r="D6" s="70" t="s">
        <v>6</v>
      </c>
      <c r="E6" s="70" t="s">
        <v>17</v>
      </c>
      <c r="F6" s="71" t="s">
        <v>118</v>
      </c>
      <c r="G6" s="117" t="s">
        <v>103</v>
      </c>
      <c r="H6" s="71" t="s">
        <v>116</v>
      </c>
      <c r="I6" s="71" t="s">
        <v>93</v>
      </c>
      <c r="J6" s="71" t="s">
        <v>94</v>
      </c>
      <c r="K6" s="71" t="s">
        <v>95</v>
      </c>
      <c r="L6" s="71" t="s">
        <v>96</v>
      </c>
      <c r="M6" s="71" t="s">
        <v>97</v>
      </c>
      <c r="N6" s="71" t="s">
        <v>98</v>
      </c>
      <c r="O6" s="71" t="s">
        <v>99</v>
      </c>
      <c r="P6" s="71" t="s">
        <v>100</v>
      </c>
      <c r="Q6" s="71" t="s">
        <v>101</v>
      </c>
      <c r="R6" s="71" t="s">
        <v>102</v>
      </c>
      <c r="S6" s="71" t="s">
        <v>104</v>
      </c>
      <c r="T6" s="117" t="s">
        <v>105</v>
      </c>
      <c r="U6" s="117" t="s">
        <v>113</v>
      </c>
      <c r="V6" s="71" t="s">
        <v>106</v>
      </c>
      <c r="W6" s="117" t="s">
        <v>107</v>
      </c>
      <c r="X6" s="117" t="s">
        <v>108</v>
      </c>
      <c r="Y6" s="71" t="s">
        <v>109</v>
      </c>
      <c r="Z6" s="117" t="s">
        <v>110</v>
      </c>
      <c r="AA6" s="71" t="s">
        <v>111</v>
      </c>
      <c r="AB6" s="71" t="s">
        <v>112</v>
      </c>
      <c r="AC6" s="117" t="s">
        <v>115</v>
      </c>
      <c r="AD6" s="71" t="s">
        <v>101</v>
      </c>
      <c r="AE6" s="71" t="s">
        <v>114</v>
      </c>
    </row>
    <row r="7" spans="1:32" s="103" customFormat="1" ht="37.5">
      <c r="A7" s="113">
        <v>1</v>
      </c>
      <c r="B7" s="97" t="s">
        <v>117</v>
      </c>
      <c r="C7" s="98"/>
      <c r="D7" s="99"/>
      <c r="E7" s="100" t="s">
        <v>186</v>
      </c>
      <c r="F7" s="101">
        <v>2</v>
      </c>
      <c r="G7" s="118">
        <v>3</v>
      </c>
      <c r="H7" s="101">
        <v>4</v>
      </c>
      <c r="I7" s="101" t="s">
        <v>219</v>
      </c>
      <c r="J7" s="101" t="s">
        <v>220</v>
      </c>
      <c r="K7" s="101" t="s">
        <v>72</v>
      </c>
      <c r="L7" s="101" t="s">
        <v>73</v>
      </c>
      <c r="M7" s="101" t="s">
        <v>74</v>
      </c>
      <c r="N7" s="101" t="s">
        <v>75</v>
      </c>
      <c r="O7" s="101" t="s">
        <v>76</v>
      </c>
      <c r="P7" s="101" t="s">
        <v>77</v>
      </c>
      <c r="Q7" s="101" t="s">
        <v>78</v>
      </c>
      <c r="R7" s="101" t="s">
        <v>79</v>
      </c>
      <c r="S7" s="101" t="s">
        <v>80</v>
      </c>
      <c r="T7" s="118" t="s">
        <v>81</v>
      </c>
      <c r="U7" s="118" t="s">
        <v>82</v>
      </c>
      <c r="V7" s="101" t="s">
        <v>83</v>
      </c>
      <c r="W7" s="118" t="s">
        <v>84</v>
      </c>
      <c r="X7" s="118" t="s">
        <v>85</v>
      </c>
      <c r="Y7" s="101" t="s">
        <v>86</v>
      </c>
      <c r="Z7" s="118" t="s">
        <v>87</v>
      </c>
      <c r="AA7" s="101" t="s">
        <v>88</v>
      </c>
      <c r="AB7" s="101" t="s">
        <v>89</v>
      </c>
      <c r="AC7" s="118" t="s">
        <v>90</v>
      </c>
      <c r="AD7" s="101" t="s">
        <v>91</v>
      </c>
      <c r="AE7" s="101" t="s">
        <v>92</v>
      </c>
      <c r="AF7" s="102"/>
    </row>
    <row r="8" spans="1:32" s="78" customFormat="1" ht="18.75">
      <c r="A8" s="113">
        <v>2</v>
      </c>
      <c r="B8" s="74" t="s">
        <v>56</v>
      </c>
      <c r="C8" s="75"/>
      <c r="D8" s="63">
        <f>SUM(F8:AE8)</f>
        <v>0</v>
      </c>
      <c r="E8" s="79"/>
      <c r="F8" s="77"/>
      <c r="G8" s="119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119"/>
      <c r="U8" s="119"/>
      <c r="V8" s="80"/>
      <c r="W8" s="119"/>
      <c r="X8" s="119"/>
      <c r="Y8" s="80"/>
      <c r="Z8" s="119"/>
      <c r="AA8" s="80"/>
      <c r="AB8" s="80"/>
      <c r="AC8" s="119"/>
      <c r="AD8" s="80"/>
      <c r="AE8" s="80"/>
      <c r="AF8" s="72"/>
    </row>
    <row r="9" spans="1:32" ht="31.5">
      <c r="A9" s="113">
        <v>3</v>
      </c>
      <c r="B9" s="81" t="s">
        <v>63</v>
      </c>
      <c r="C9" s="82" t="s">
        <v>0</v>
      </c>
      <c r="D9" s="63">
        <f>SUM(F9:AE9)</f>
        <v>35.190000000000005</v>
      </c>
      <c r="E9" s="79"/>
      <c r="F9" s="77"/>
      <c r="G9" s="120">
        <f>2.6*(3.27+6.22+(3.27+2.45))-1.98*2.2</f>
        <v>35.190000000000005</v>
      </c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120"/>
      <c r="U9" s="120"/>
      <c r="V9" s="83"/>
      <c r="W9" s="120"/>
      <c r="X9" s="120"/>
      <c r="Y9" s="83"/>
      <c r="Z9" s="120"/>
      <c r="AA9" s="83"/>
      <c r="AB9" s="83"/>
      <c r="AC9" s="120"/>
      <c r="AD9" s="83"/>
      <c r="AE9" s="83"/>
      <c r="AF9" s="72"/>
    </row>
    <row r="10" spans="1:32" ht="31.5">
      <c r="A10" s="113">
        <v>4</v>
      </c>
      <c r="B10" s="81" t="s">
        <v>180</v>
      </c>
      <c r="C10" s="82" t="s">
        <v>66</v>
      </c>
      <c r="D10" s="63">
        <f t="shared" ref="D10:D76" si="0">SUM(F10:AE10)</f>
        <v>65</v>
      </c>
      <c r="E10" s="79" t="s">
        <v>181</v>
      </c>
      <c r="F10" s="77"/>
      <c r="G10" s="121">
        <v>20</v>
      </c>
      <c r="H10" s="77"/>
      <c r="I10" s="77"/>
      <c r="J10" s="77"/>
      <c r="K10" s="77"/>
      <c r="L10" s="77">
        <v>5</v>
      </c>
      <c r="M10" s="77">
        <v>5</v>
      </c>
      <c r="N10" s="77">
        <v>5</v>
      </c>
      <c r="O10" s="77">
        <v>5</v>
      </c>
      <c r="P10" s="77">
        <v>5</v>
      </c>
      <c r="Q10" s="77"/>
      <c r="R10" s="77"/>
      <c r="S10" s="77">
        <v>5</v>
      </c>
      <c r="T10" s="121">
        <v>5</v>
      </c>
      <c r="U10" s="121">
        <v>5</v>
      </c>
      <c r="V10" s="77"/>
      <c r="W10" s="121">
        <v>5</v>
      </c>
      <c r="X10" s="121"/>
      <c r="Y10" s="77"/>
      <c r="Z10" s="121"/>
      <c r="AA10" s="77"/>
      <c r="AB10" s="77"/>
      <c r="AC10" s="121"/>
      <c r="AD10" s="77"/>
      <c r="AE10" s="77"/>
      <c r="AF10" s="72"/>
    </row>
    <row r="11" spans="1:32">
      <c r="A11" s="113">
        <v>5</v>
      </c>
      <c r="B11" s="81" t="s">
        <v>218</v>
      </c>
      <c r="C11" s="82" t="s">
        <v>14</v>
      </c>
      <c r="D11" s="63">
        <f t="shared" si="0"/>
        <v>0.36477399999999999</v>
      </c>
      <c r="E11" s="79"/>
      <c r="F11" s="77"/>
      <c r="G11" s="121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121"/>
      <c r="U11" s="121">
        <f>(4.9*2.4*10+1.36*(3.5*8+0.6*8+3.8*4+2.5*4+0.6*4+3.1*6+0.6*6)+1.85*1.2*6+15.7*0.6*(2.5+3.8+3.5+3.1))/1000</f>
        <v>0.36477399999999999</v>
      </c>
      <c r="V11" s="77"/>
      <c r="W11" s="121"/>
      <c r="X11" s="121"/>
      <c r="Y11" s="77"/>
      <c r="Z11" s="121"/>
      <c r="AA11" s="77"/>
      <c r="AB11" s="77"/>
      <c r="AC11" s="121"/>
      <c r="AD11" s="77"/>
      <c r="AE11" s="77"/>
      <c r="AF11" s="72"/>
    </row>
    <row r="12" spans="1:32" ht="79.5" customHeight="1">
      <c r="A12" s="113">
        <v>6</v>
      </c>
      <c r="B12" s="81" t="s">
        <v>131</v>
      </c>
      <c r="C12" s="82" t="s">
        <v>0</v>
      </c>
      <c r="D12" s="63">
        <f t="shared" si="0"/>
        <v>705.70914999999991</v>
      </c>
      <c r="E12" s="79" t="s">
        <v>239</v>
      </c>
      <c r="F12" s="77"/>
      <c r="G12" s="121">
        <f>3*(0.4+0.1)</f>
        <v>1.5</v>
      </c>
      <c r="H12" s="83">
        <f>2.5*(5.8+2*2.75+2*0.45)-1.847*1.25-1.75*2.1</f>
        <v>24.516250000000003</v>
      </c>
      <c r="I12" s="77">
        <f>2.5*(1.78+2.85)</f>
        <v>11.574999999999999</v>
      </c>
      <c r="J12" s="77">
        <f>2.5*(1.78+2.85)</f>
        <v>11.574999999999999</v>
      </c>
      <c r="K12" s="77">
        <f>K13</f>
        <v>7.2249999999999988</v>
      </c>
      <c r="L12" s="77">
        <f>2.5*(1.22*2+1.95+2*0.45)-2*0.7*2.1</f>
        <v>10.285</v>
      </c>
      <c r="M12" s="77">
        <f>2.5*2*1.72</f>
        <v>8.6</v>
      </c>
      <c r="N12" s="77">
        <f>2.5*2*1.72</f>
        <v>8.6</v>
      </c>
      <c r="O12" s="77">
        <f>2.5*(2*2.85+4.93)-2*0.71*2.1-0.91*2.1-0.97*2</f>
        <v>19.741999999999994</v>
      </c>
      <c r="P12" s="77">
        <f>2.5*(2*2.85+4.93)-2*0.71*2.1-0.91*2.1-4*1.25</f>
        <v>16.681999999999995</v>
      </c>
      <c r="Q12" s="77">
        <f>2.5*(1.95+2*4.62)-1.04*2-3*0.91*2.1</f>
        <v>20.161999999999995</v>
      </c>
      <c r="R12" s="77">
        <f>2.5*(2*1.2+1.97)-0.91*2.1-1.09*2.1</f>
        <v>6.7250000000000014</v>
      </c>
      <c r="S12" s="77">
        <f>2.52*2*(3.54+5.82)-2.1*0.91-1.09*2-2*1.25</f>
        <v>40.583399999999997</v>
      </c>
      <c r="T12" s="121">
        <f>2.9*2*(5.57+5.82)-1.25*1.97-1.98*2.3</f>
        <v>59.045499999999997</v>
      </c>
      <c r="U12" s="121">
        <f>2.9*(2*(5.66+4.58+1.26))-1*2.1-2.04*1.25</f>
        <v>62.050000000000011</v>
      </c>
      <c r="V12" s="77"/>
      <c r="W12" s="121">
        <f>3.2*2*(6+5.83+0.4)-4*1.1-2.1*0.87-1.4*2.1</f>
        <v>69.105000000000004</v>
      </c>
      <c r="X12" s="121">
        <f>3.2*(2*4.69+2.84)-0.87*2.05-2*1</f>
        <v>35.32050000000001</v>
      </c>
      <c r="Y12" s="77">
        <f>3.2*(4.69+4.83+2*0.4)-3*1</f>
        <v>30.024000000000001</v>
      </c>
      <c r="Z12" s="121">
        <f>3.2*(3.94+4.69)-3*1</f>
        <v>24.616000000000003</v>
      </c>
      <c r="AA12" s="77">
        <f>2.7*2*(2.72+4.6)-2*1-0.87*2.05</f>
        <v>35.744500000000009</v>
      </c>
      <c r="AB12" s="67">
        <f>3.2*2*(2.99+4.6)-2*1-2*0.9*2.05</f>
        <v>42.886000000000003</v>
      </c>
      <c r="AC12" s="121">
        <f>3.2*(2*(5.79+4.61))-4*1-0.95*2.05</f>
        <v>60.612500000000004</v>
      </c>
      <c r="AD12" s="77">
        <f>12*3.4-0.91*2.05</f>
        <v>38.9345</v>
      </c>
      <c r="AE12" s="77">
        <f>3.8*(3+6+3+6)-1*4-1*3-0.9*2</f>
        <v>59.599999999999994</v>
      </c>
      <c r="AF12" s="72"/>
    </row>
    <row r="13" spans="1:32">
      <c r="A13" s="113">
        <v>7</v>
      </c>
      <c r="B13" s="81" t="s">
        <v>163</v>
      </c>
      <c r="C13" s="82" t="s">
        <v>0</v>
      </c>
      <c r="D13" s="63">
        <f t="shared" si="0"/>
        <v>57.86</v>
      </c>
      <c r="E13" s="79"/>
      <c r="F13" s="77"/>
      <c r="G13" s="121"/>
      <c r="H13" s="77"/>
      <c r="I13" s="77">
        <f>I12</f>
        <v>11.574999999999999</v>
      </c>
      <c r="J13" s="77">
        <f>J12</f>
        <v>11.574999999999999</v>
      </c>
      <c r="K13" s="77">
        <f>2.5*(1.95+1.03+1.03)-2*2*0.7</f>
        <v>7.2249999999999988</v>
      </c>
      <c r="L13" s="77">
        <f>L12</f>
        <v>10.285</v>
      </c>
      <c r="M13" s="77">
        <f>M12</f>
        <v>8.6</v>
      </c>
      <c r="N13" s="77">
        <f>N12</f>
        <v>8.6</v>
      </c>
      <c r="O13" s="77"/>
      <c r="P13" s="77"/>
      <c r="Q13" s="77"/>
      <c r="R13" s="77"/>
      <c r="S13" s="77"/>
      <c r="T13" s="121"/>
      <c r="U13" s="121"/>
      <c r="V13" s="77"/>
      <c r="W13" s="121"/>
      <c r="X13" s="121"/>
      <c r="Y13" s="77"/>
      <c r="Z13" s="121"/>
      <c r="AA13" s="77"/>
      <c r="AB13" s="77"/>
      <c r="AC13" s="121"/>
      <c r="AD13" s="77"/>
      <c r="AE13" s="77"/>
      <c r="AF13" s="72"/>
    </row>
    <row r="14" spans="1:32" ht="31.5">
      <c r="A14" s="113">
        <v>8</v>
      </c>
      <c r="B14" s="81" t="s">
        <v>204</v>
      </c>
      <c r="C14" s="82" t="s">
        <v>0</v>
      </c>
      <c r="D14" s="63">
        <f t="shared" si="0"/>
        <v>14.657999999999998</v>
      </c>
      <c r="E14" s="79"/>
      <c r="F14" s="77"/>
      <c r="G14" s="121"/>
      <c r="H14" s="77"/>
      <c r="I14" s="77">
        <f>0.71*2.1</f>
        <v>1.4909999999999999</v>
      </c>
      <c r="J14" s="77">
        <f>0.71*2.1</f>
        <v>1.4909999999999999</v>
      </c>
      <c r="K14" s="77">
        <f>0.7*2.1</f>
        <v>1.47</v>
      </c>
      <c r="L14" s="77">
        <f>2.1*0.71</f>
        <v>1.4909999999999999</v>
      </c>
      <c r="M14" s="77">
        <f>2.1*0.71</f>
        <v>1.4909999999999999</v>
      </c>
      <c r="N14" s="77">
        <f>2.1*0.71</f>
        <v>1.4909999999999999</v>
      </c>
      <c r="O14" s="77">
        <f>0.91*2.1</f>
        <v>1.9110000000000003</v>
      </c>
      <c r="P14" s="77">
        <f>0.91*2.1</f>
        <v>1.9110000000000003</v>
      </c>
      <c r="Q14" s="77">
        <f>2.1*0.91</f>
        <v>1.9110000000000003</v>
      </c>
      <c r="R14" s="77"/>
      <c r="S14" s="77"/>
      <c r="T14" s="121"/>
      <c r="U14" s="121"/>
      <c r="V14" s="77"/>
      <c r="W14" s="121"/>
      <c r="X14" s="121"/>
      <c r="Y14" s="77"/>
      <c r="Z14" s="121"/>
      <c r="AA14" s="77"/>
      <c r="AB14" s="77"/>
      <c r="AC14" s="121"/>
      <c r="AD14" s="77"/>
      <c r="AE14" s="77"/>
      <c r="AF14" s="72"/>
    </row>
    <row r="15" spans="1:32" s="109" customFormat="1" ht="47.25">
      <c r="A15" s="113">
        <v>9</v>
      </c>
      <c r="B15" s="104" t="s">
        <v>119</v>
      </c>
      <c r="C15" s="105" t="s">
        <v>14</v>
      </c>
      <c r="D15" s="63">
        <f t="shared" si="0"/>
        <v>0.5252</v>
      </c>
      <c r="E15" s="106"/>
      <c r="F15" s="107"/>
      <c r="G15" s="122"/>
      <c r="H15" s="107"/>
      <c r="I15" s="107">
        <v>4.6899999999999997E-2</v>
      </c>
      <c r="J15" s="107">
        <v>4.6899999999999997E-2</v>
      </c>
      <c r="K15" s="107">
        <v>0.28199999999999997</v>
      </c>
      <c r="L15" s="107"/>
      <c r="M15" s="107"/>
      <c r="N15" s="107"/>
      <c r="O15" s="107">
        <v>4.9799999999999997E-2</v>
      </c>
      <c r="P15" s="107">
        <v>4.9799999999999997E-2</v>
      </c>
      <c r="Q15" s="107">
        <v>4.9799999999999997E-2</v>
      </c>
      <c r="R15" s="107"/>
      <c r="S15" s="107"/>
      <c r="T15" s="122"/>
      <c r="U15" s="122"/>
      <c r="V15" s="107"/>
      <c r="W15" s="122"/>
      <c r="X15" s="122"/>
      <c r="Y15" s="107"/>
      <c r="Z15" s="122"/>
      <c r="AA15" s="107"/>
      <c r="AB15" s="107"/>
      <c r="AC15" s="122"/>
      <c r="AD15" s="107"/>
      <c r="AE15" s="107"/>
      <c r="AF15" s="108"/>
    </row>
    <row r="16" spans="1:32" ht="31.5">
      <c r="A16" s="113">
        <v>10</v>
      </c>
      <c r="B16" s="81" t="s">
        <v>120</v>
      </c>
      <c r="C16" s="82" t="s">
        <v>0</v>
      </c>
      <c r="D16" s="63">
        <f t="shared" si="0"/>
        <v>28.020999999999997</v>
      </c>
      <c r="E16" s="79" t="s">
        <v>206</v>
      </c>
      <c r="F16" s="77"/>
      <c r="G16" s="121"/>
      <c r="H16" s="77">
        <f>5.8*2.4-2*0.7*2.05</f>
        <v>11.05</v>
      </c>
      <c r="I16" s="77">
        <f>1.55*2.4</f>
        <v>3.7199999999999998</v>
      </c>
      <c r="J16" s="77">
        <f>1.55*2.4</f>
        <v>3.7199999999999998</v>
      </c>
      <c r="K16" s="77">
        <f>1.94*2.4</f>
        <v>4.6559999999999997</v>
      </c>
      <c r="L16" s="77">
        <f>2.5*1.95</f>
        <v>4.875</v>
      </c>
      <c r="M16" s="77"/>
      <c r="N16" s="77"/>
      <c r="O16" s="77"/>
      <c r="P16" s="77"/>
      <c r="Q16" s="77"/>
      <c r="R16" s="77"/>
      <c r="S16" s="77"/>
      <c r="T16" s="121"/>
      <c r="U16" s="121"/>
      <c r="V16" s="77"/>
      <c r="W16" s="121"/>
      <c r="X16" s="121"/>
      <c r="Y16" s="77"/>
      <c r="Z16" s="121"/>
      <c r="AA16" s="77"/>
      <c r="AB16" s="77"/>
      <c r="AC16" s="121"/>
      <c r="AD16" s="77"/>
      <c r="AE16" s="77"/>
      <c r="AF16" s="72"/>
    </row>
    <row r="17" spans="1:32" ht="31.5">
      <c r="A17" s="113">
        <v>11</v>
      </c>
      <c r="B17" s="81" t="s">
        <v>124</v>
      </c>
      <c r="C17" s="82" t="s">
        <v>0</v>
      </c>
      <c r="D17" s="63">
        <f t="shared" si="0"/>
        <v>36.135999999999996</v>
      </c>
      <c r="E17" s="79" t="s">
        <v>206</v>
      </c>
      <c r="F17" s="77"/>
      <c r="G17" s="121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121"/>
      <c r="U17" s="121">
        <f>2.9*2.02-0.9*2.1</f>
        <v>3.9679999999999995</v>
      </c>
      <c r="V17" s="77"/>
      <c r="W17" s="121">
        <f>3.2*6+3.4*3.77-1*2.05+1.4*3-1*2</f>
        <v>32.167999999999999</v>
      </c>
      <c r="X17" s="121"/>
      <c r="Y17" s="77"/>
      <c r="Z17" s="121"/>
      <c r="AA17" s="77"/>
      <c r="AB17" s="77"/>
      <c r="AC17" s="121"/>
      <c r="AD17" s="77"/>
      <c r="AE17" s="77"/>
      <c r="AF17" s="72"/>
    </row>
    <row r="18" spans="1:32" ht="31.5">
      <c r="A18" s="113">
        <v>12</v>
      </c>
      <c r="B18" s="81" t="s">
        <v>65</v>
      </c>
      <c r="C18" s="82" t="s">
        <v>64</v>
      </c>
      <c r="D18" s="63">
        <f t="shared" si="0"/>
        <v>10</v>
      </c>
      <c r="E18" s="79"/>
      <c r="F18" s="77"/>
      <c r="G18" s="121"/>
      <c r="H18" s="77">
        <v>2</v>
      </c>
      <c r="I18" s="77"/>
      <c r="J18" s="77"/>
      <c r="K18" s="77">
        <v>1</v>
      </c>
      <c r="L18" s="77">
        <v>2</v>
      </c>
      <c r="M18" s="77"/>
      <c r="N18" s="77"/>
      <c r="O18" s="77"/>
      <c r="P18" s="77"/>
      <c r="Q18" s="77"/>
      <c r="R18" s="77"/>
      <c r="S18" s="77"/>
      <c r="T18" s="121"/>
      <c r="U18" s="121">
        <v>1</v>
      </c>
      <c r="V18" s="77"/>
      <c r="W18" s="121">
        <v>3</v>
      </c>
      <c r="X18" s="121"/>
      <c r="Y18" s="77"/>
      <c r="Z18" s="121"/>
      <c r="AA18" s="77">
        <v>1</v>
      </c>
      <c r="AB18" s="77"/>
      <c r="AC18" s="121"/>
      <c r="AD18" s="77"/>
      <c r="AE18" s="77"/>
      <c r="AF18" s="72"/>
    </row>
    <row r="19" spans="1:32">
      <c r="A19" s="113">
        <v>13</v>
      </c>
      <c r="B19" s="81" t="s">
        <v>178</v>
      </c>
      <c r="C19" s="82" t="s">
        <v>69</v>
      </c>
      <c r="D19" s="63">
        <f t="shared" si="0"/>
        <v>0.12125000000000001</v>
      </c>
      <c r="E19" s="79"/>
      <c r="F19" s="77">
        <v>0.05</v>
      </c>
      <c r="G19" s="121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121"/>
      <c r="U19" s="121"/>
      <c r="V19" s="77"/>
      <c r="W19" s="121">
        <f>3*0.25*0.25*0.38</f>
        <v>7.1250000000000008E-2</v>
      </c>
      <c r="X19" s="121"/>
      <c r="Y19" s="77"/>
      <c r="Z19" s="121"/>
      <c r="AA19" s="77"/>
      <c r="AB19" s="77"/>
      <c r="AC19" s="121"/>
      <c r="AD19" s="77"/>
      <c r="AE19" s="77"/>
      <c r="AF19" s="72"/>
    </row>
    <row r="20" spans="1:32">
      <c r="A20" s="113">
        <v>14</v>
      </c>
      <c r="B20" s="81" t="s">
        <v>201</v>
      </c>
      <c r="C20" s="82" t="s">
        <v>14</v>
      </c>
      <c r="D20" s="63">
        <f t="shared" si="0"/>
        <v>0.71686440000000007</v>
      </c>
      <c r="E20" s="79"/>
      <c r="F20" s="77"/>
      <c r="G20" s="121">
        <f>1.2*(14.63*2.7*7+10.9*3*(6.2+2.45)+5.85*(2*(0.8+2.05)+0.8))/1000</f>
        <v>0.71686440000000007</v>
      </c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121"/>
      <c r="U20" s="121"/>
      <c r="V20" s="77"/>
      <c r="W20" s="121"/>
      <c r="X20" s="121"/>
      <c r="Y20" s="77"/>
      <c r="Z20" s="121"/>
      <c r="AA20" s="77"/>
      <c r="AB20" s="77"/>
      <c r="AC20" s="121"/>
      <c r="AD20" s="77"/>
      <c r="AE20" s="77"/>
      <c r="AF20" s="72"/>
    </row>
    <row r="21" spans="1:32">
      <c r="A21" s="113">
        <v>15</v>
      </c>
      <c r="B21" s="81" t="s">
        <v>193</v>
      </c>
      <c r="C21" s="82" t="s">
        <v>0</v>
      </c>
      <c r="D21" s="63">
        <f t="shared" si="0"/>
        <v>45.672000000000004</v>
      </c>
      <c r="E21" s="79"/>
      <c r="F21" s="77"/>
      <c r="G21" s="121">
        <f>G23*2</f>
        <v>45.672000000000004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121"/>
      <c r="U21" s="121"/>
      <c r="V21" s="77"/>
      <c r="W21" s="121"/>
      <c r="X21" s="121"/>
      <c r="Y21" s="77"/>
      <c r="Z21" s="121"/>
      <c r="AA21" s="77"/>
      <c r="AB21" s="77"/>
      <c r="AC21" s="121"/>
      <c r="AD21" s="77"/>
      <c r="AE21" s="77"/>
      <c r="AF21" s="72"/>
    </row>
    <row r="22" spans="1:32">
      <c r="A22" s="113">
        <v>16</v>
      </c>
      <c r="B22" s="81" t="s">
        <v>194</v>
      </c>
      <c r="C22" s="82" t="s">
        <v>0</v>
      </c>
      <c r="D22" s="63">
        <f t="shared" si="0"/>
        <v>45.672000000000004</v>
      </c>
      <c r="E22" s="79"/>
      <c r="F22" s="77"/>
      <c r="G22" s="121">
        <f>G21</f>
        <v>45.672000000000004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121"/>
      <c r="U22" s="121"/>
      <c r="V22" s="77"/>
      <c r="W22" s="121"/>
      <c r="X22" s="121"/>
      <c r="Y22" s="77"/>
      <c r="Z22" s="121"/>
      <c r="AA22" s="77"/>
      <c r="AB22" s="77"/>
      <c r="AC22" s="121"/>
      <c r="AD22" s="77"/>
      <c r="AE22" s="77"/>
      <c r="AF22" s="72"/>
    </row>
    <row r="23" spans="1:32">
      <c r="A23" s="113">
        <v>17</v>
      </c>
      <c r="B23" s="81" t="s">
        <v>195</v>
      </c>
      <c r="C23" s="82" t="s">
        <v>0</v>
      </c>
      <c r="D23" s="63">
        <f t="shared" si="0"/>
        <v>22.836000000000002</v>
      </c>
      <c r="E23" s="79"/>
      <c r="F23" s="77"/>
      <c r="G23" s="121">
        <f>2.64*(6.2+2.45)</f>
        <v>22.836000000000002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121"/>
      <c r="U23" s="121"/>
      <c r="V23" s="77"/>
      <c r="W23" s="121"/>
      <c r="X23" s="121"/>
      <c r="Y23" s="77"/>
      <c r="Z23" s="121"/>
      <c r="AA23" s="77"/>
      <c r="AB23" s="77"/>
      <c r="AC23" s="121"/>
      <c r="AD23" s="77"/>
      <c r="AE23" s="77"/>
      <c r="AF23" s="72"/>
    </row>
    <row r="24" spans="1:32">
      <c r="A24" s="113">
        <v>18</v>
      </c>
      <c r="B24" s="81" t="s">
        <v>196</v>
      </c>
      <c r="C24" s="82" t="s">
        <v>60</v>
      </c>
      <c r="D24" s="63">
        <f t="shared" si="0"/>
        <v>61.1</v>
      </c>
      <c r="E24" s="79"/>
      <c r="F24" s="77"/>
      <c r="G24" s="121">
        <f>2*(2.65*5+2*(6.2+2.45))</f>
        <v>61.1</v>
      </c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121"/>
      <c r="U24" s="121"/>
      <c r="V24" s="77"/>
      <c r="W24" s="121"/>
      <c r="X24" s="121"/>
      <c r="Y24" s="77"/>
      <c r="Z24" s="121"/>
      <c r="AA24" s="77"/>
      <c r="AB24" s="77"/>
      <c r="AC24" s="121"/>
      <c r="AD24" s="77"/>
      <c r="AE24" s="77"/>
      <c r="AF24" s="72"/>
    </row>
    <row r="25" spans="1:32" ht="31.5">
      <c r="A25" s="113">
        <v>19</v>
      </c>
      <c r="B25" s="81" t="s">
        <v>121</v>
      </c>
      <c r="C25" s="82" t="s">
        <v>69</v>
      </c>
      <c r="D25" s="63">
        <f t="shared" si="0"/>
        <v>3.48</v>
      </c>
      <c r="E25" s="84" t="s">
        <v>126</v>
      </c>
      <c r="F25" s="77"/>
      <c r="G25" s="121"/>
      <c r="H25" s="77">
        <f>5.8*2.4*0.25</f>
        <v>3.48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121"/>
      <c r="U25" s="121"/>
      <c r="V25" s="77"/>
      <c r="W25" s="121"/>
      <c r="X25" s="121"/>
      <c r="Y25" s="77"/>
      <c r="Z25" s="121"/>
      <c r="AA25" s="77"/>
      <c r="AB25" s="77"/>
      <c r="AC25" s="121"/>
      <c r="AD25" s="77"/>
      <c r="AE25" s="77"/>
      <c r="AF25" s="72"/>
    </row>
    <row r="26" spans="1:32" ht="47.25">
      <c r="A26" s="113">
        <v>20</v>
      </c>
      <c r="B26" s="81" t="s">
        <v>123</v>
      </c>
      <c r="C26" s="82" t="s">
        <v>0</v>
      </c>
      <c r="D26" s="63">
        <f t="shared" si="0"/>
        <v>38.524999999999999</v>
      </c>
      <c r="E26" s="79" t="s">
        <v>127</v>
      </c>
      <c r="F26" s="77"/>
      <c r="G26" s="121"/>
      <c r="H26" s="77">
        <f>5.8*2.5</f>
        <v>14.5</v>
      </c>
      <c r="I26" s="77">
        <f>1.78*2.5</f>
        <v>4.45</v>
      </c>
      <c r="J26" s="77">
        <f>1.78*2.5</f>
        <v>4.45</v>
      </c>
      <c r="K26" s="77">
        <f>0.5+1.95*2.5</f>
        <v>5.375</v>
      </c>
      <c r="L26" s="77">
        <f>L16</f>
        <v>4.875</v>
      </c>
      <c r="M26" s="77">
        <f>2.5*1.95</f>
        <v>4.875</v>
      </c>
      <c r="N26" s="77"/>
      <c r="O26" s="77"/>
      <c r="P26" s="77"/>
      <c r="Q26" s="68"/>
      <c r="R26" s="77"/>
      <c r="S26" s="77"/>
      <c r="T26" s="121"/>
      <c r="U26" s="121"/>
      <c r="V26" s="77"/>
      <c r="W26" s="121"/>
      <c r="X26" s="121"/>
      <c r="Y26" s="77"/>
      <c r="Z26" s="121"/>
      <c r="AA26" s="77"/>
      <c r="AB26" s="77"/>
      <c r="AC26" s="121"/>
      <c r="AD26" s="77"/>
      <c r="AE26" s="77"/>
      <c r="AF26" s="72"/>
    </row>
    <row r="27" spans="1:32">
      <c r="A27" s="113">
        <v>21</v>
      </c>
      <c r="B27" s="81" t="s">
        <v>216</v>
      </c>
      <c r="C27" s="82" t="s">
        <v>64</v>
      </c>
      <c r="D27" s="63">
        <f t="shared" si="0"/>
        <v>2</v>
      </c>
      <c r="E27" s="79"/>
      <c r="F27" s="77"/>
      <c r="G27" s="121"/>
      <c r="H27" s="77"/>
      <c r="I27" s="77"/>
      <c r="J27" s="77"/>
      <c r="K27" s="77"/>
      <c r="L27" s="77"/>
      <c r="M27" s="77"/>
      <c r="N27" s="77"/>
      <c r="O27" s="77"/>
      <c r="P27" s="77"/>
      <c r="Q27" s="77">
        <v>1</v>
      </c>
      <c r="R27" s="77"/>
      <c r="S27" s="77"/>
      <c r="T27" s="121"/>
      <c r="U27" s="121"/>
      <c r="V27" s="77"/>
      <c r="W27" s="121">
        <v>1</v>
      </c>
      <c r="X27" s="121"/>
      <c r="Y27" s="77"/>
      <c r="Z27" s="121"/>
      <c r="AA27" s="77"/>
      <c r="AB27" s="77"/>
      <c r="AC27" s="121"/>
      <c r="AD27" s="77"/>
      <c r="AE27" s="77"/>
      <c r="AF27" s="72"/>
    </row>
    <row r="28" spans="1:32">
      <c r="A28" s="113">
        <v>22</v>
      </c>
      <c r="B28" s="85" t="s">
        <v>122</v>
      </c>
      <c r="C28" s="86" t="s">
        <v>0</v>
      </c>
      <c r="D28" s="63">
        <f t="shared" si="0"/>
        <v>75.995499999999993</v>
      </c>
      <c r="E28" s="84" t="s">
        <v>125</v>
      </c>
      <c r="F28" s="77"/>
      <c r="G28" s="121"/>
      <c r="H28" s="77"/>
      <c r="I28" s="77"/>
      <c r="J28" s="77"/>
      <c r="K28" s="77"/>
      <c r="L28" s="77"/>
      <c r="M28" s="77"/>
      <c r="N28" s="77"/>
      <c r="O28" s="77">
        <f>2.5*4.93</f>
        <v>12.324999999999999</v>
      </c>
      <c r="P28" s="77"/>
      <c r="Q28" s="77"/>
      <c r="R28" s="77"/>
      <c r="S28" s="77"/>
      <c r="T28" s="121"/>
      <c r="U28" s="121"/>
      <c r="V28" s="77"/>
      <c r="W28" s="121"/>
      <c r="X28" s="121">
        <f>3.3*2.84-0.91*2.05</f>
        <v>7.5065</v>
      </c>
      <c r="Y28" s="77">
        <f>3.3*(4.69+4.83)-0.91*2.05</f>
        <v>29.550499999999996</v>
      </c>
      <c r="Z28" s="121">
        <f>3.3*(4.69+3.94)-0.91*2.05</f>
        <v>26.613500000000002</v>
      </c>
      <c r="AA28" s="77"/>
      <c r="AB28" s="77"/>
      <c r="AC28" s="121"/>
      <c r="AD28" s="77"/>
      <c r="AE28" s="77"/>
      <c r="AF28" s="72"/>
    </row>
    <row r="29" spans="1:32" ht="31.5">
      <c r="A29" s="113">
        <v>23</v>
      </c>
      <c r="B29" s="81" t="s">
        <v>128</v>
      </c>
      <c r="C29" s="82" t="s">
        <v>0</v>
      </c>
      <c r="D29" s="63">
        <f t="shared" si="0"/>
        <v>21.63</v>
      </c>
      <c r="E29" s="79" t="s">
        <v>129</v>
      </c>
      <c r="F29" s="77"/>
      <c r="G29" s="121"/>
      <c r="H29" s="77">
        <f>H26</f>
        <v>14.5</v>
      </c>
      <c r="I29" s="77"/>
      <c r="J29" s="77"/>
      <c r="K29" s="77"/>
      <c r="L29" s="77"/>
      <c r="M29" s="77"/>
      <c r="N29" s="77"/>
      <c r="O29" s="77"/>
      <c r="P29" s="77"/>
      <c r="Q29" s="77">
        <f>2.5*1.97-0.91*2.1</f>
        <v>3.0139999999999993</v>
      </c>
      <c r="R29" s="77"/>
      <c r="S29" s="77"/>
      <c r="T29" s="121"/>
      <c r="U29" s="121"/>
      <c r="V29" s="77"/>
      <c r="W29" s="121">
        <f>0.87*2.1+1.4*3-0.91*2.1</f>
        <v>4.1159999999999988</v>
      </c>
      <c r="X29" s="121"/>
      <c r="Y29" s="77"/>
      <c r="Z29" s="121"/>
      <c r="AA29" s="77"/>
      <c r="AB29" s="77"/>
      <c r="AC29" s="121"/>
      <c r="AD29" s="77"/>
      <c r="AE29" s="77"/>
      <c r="AF29" s="72"/>
    </row>
    <row r="30" spans="1:32" ht="63">
      <c r="A30" s="113">
        <v>24</v>
      </c>
      <c r="B30" s="88" t="s">
        <v>132</v>
      </c>
      <c r="C30" s="82" t="s">
        <v>0</v>
      </c>
      <c r="D30" s="63">
        <f t="shared" si="0"/>
        <v>789.02739999999994</v>
      </c>
      <c r="E30" s="79" t="s">
        <v>240</v>
      </c>
      <c r="F30" s="77"/>
      <c r="G30" s="121">
        <f>G9</f>
        <v>35.190000000000005</v>
      </c>
      <c r="H30" s="77">
        <f>2.5*2*(5.82+2.75)-1.75*2.1-1.85*1.25-0.4*2.4</f>
        <v>35.902500000000003</v>
      </c>
      <c r="I30" s="77">
        <f>2.5*2*(2.85+1.78)-0.71*2.1</f>
        <v>21.658999999999999</v>
      </c>
      <c r="J30" s="77">
        <f>2.5*2*(2.85+1.78)-0.71*2.1</f>
        <v>21.658999999999999</v>
      </c>
      <c r="K30" s="77">
        <f>2.5*2*(1.95+1.03)-2*2*0.7</f>
        <v>12.100000000000001</v>
      </c>
      <c r="L30" s="77">
        <f>2.5*2*(1.22+1.95)-2.5*0.4-2*0.71*2.1</f>
        <v>11.868</v>
      </c>
      <c r="M30" s="77">
        <f>2.5*2*(1.72+1.95)-0.71*2.1</f>
        <v>16.859000000000002</v>
      </c>
      <c r="N30" s="77">
        <f>2.5*2*(1.72+1.95)-0.71*2.1</f>
        <v>16.859000000000002</v>
      </c>
      <c r="O30" s="77">
        <f>2.5*(2*2.85+4.93)-2*0.71*2.1-0.91*2.1</f>
        <v>21.681999999999995</v>
      </c>
      <c r="P30" s="77">
        <f>2.5*(2*2.85+4.93)-2*0.71*2.1-4*1.25</f>
        <v>18.592999999999996</v>
      </c>
      <c r="Q30" s="77">
        <f>2.5*2*(1.95+4.62)-4*0.91*2.1</f>
        <v>25.206</v>
      </c>
      <c r="R30" s="77">
        <f>2.5*2*(1.2+1.97)-0.91*2.1-1.09*2.1-0.43*2.5</f>
        <v>10.575000000000001</v>
      </c>
      <c r="S30" s="77">
        <f>S12</f>
        <v>40.583399999999997</v>
      </c>
      <c r="T30" s="121">
        <f>T12</f>
        <v>59.045499999999997</v>
      </c>
      <c r="U30" s="121">
        <f>U12</f>
        <v>62.050000000000011</v>
      </c>
      <c r="V30" s="77"/>
      <c r="W30" s="121">
        <f>3*2*(6+5.83)-4*1-0.91*2.05-3*(0.4+0.4+0.1)</f>
        <v>62.414500000000004</v>
      </c>
      <c r="X30" s="121">
        <f>3.2*(2*4.69+2.84)-3*(0.4+0.1)-2*1</f>
        <v>35.604000000000006</v>
      </c>
      <c r="Y30" s="77">
        <f>3.2*(4.69+4.83-0.4)-3*1</f>
        <v>26.183999999999997</v>
      </c>
      <c r="Z30" s="121">
        <f>3.2*(3.94+4.69)-3*1-3*(0.4+0.1)</f>
        <v>23.116000000000003</v>
      </c>
      <c r="AA30" s="77">
        <f>2.7*2*(2.72+4.6)-2*1-0.87*2.05-2*(0.4+0.1)</f>
        <v>34.744500000000009</v>
      </c>
      <c r="AB30" s="67">
        <f>3.2*2*(2.99+4.6)-2*1-2*0.9*2.05-2*(0.4+0.1)</f>
        <v>41.886000000000003</v>
      </c>
      <c r="AC30" s="121">
        <f>3.2*(2*(5.79+4.61))-4*1-0.95*2.05-2*(0.4+0.1+0.1+0.4)</f>
        <v>58.612500000000004</v>
      </c>
      <c r="AD30" s="77">
        <f>AD12</f>
        <v>38.9345</v>
      </c>
      <c r="AE30" s="77">
        <f>AE12-3.8*(0.4+0.1)</f>
        <v>57.699999999999996</v>
      </c>
      <c r="AF30" s="72"/>
    </row>
    <row r="31" spans="1:32" ht="49.5" customHeight="1">
      <c r="A31" s="113">
        <v>25</v>
      </c>
      <c r="B31" s="88" t="s">
        <v>133</v>
      </c>
      <c r="C31" s="82" t="s">
        <v>0</v>
      </c>
      <c r="D31" s="63">
        <f t="shared" si="0"/>
        <v>29.7575</v>
      </c>
      <c r="E31" s="79"/>
      <c r="F31" s="77"/>
      <c r="G31" s="121">
        <f>2.65*(0.45+0.1)</f>
        <v>1.4575</v>
      </c>
      <c r="H31" s="77">
        <f>2.5*3*0.45</f>
        <v>3.375</v>
      </c>
      <c r="I31" s="77"/>
      <c r="J31" s="77"/>
      <c r="K31" s="77"/>
      <c r="L31" s="77">
        <f>2.5*3*0.43</f>
        <v>3.2250000000000001</v>
      </c>
      <c r="M31" s="77"/>
      <c r="N31" s="77"/>
      <c r="O31" s="77"/>
      <c r="P31" s="77">
        <f>2.5*(0.43+0.1)</f>
        <v>1.3250000000000002</v>
      </c>
      <c r="Q31" s="77"/>
      <c r="R31" s="77">
        <f>2.5*(0.43+0.1)</f>
        <v>1.3250000000000002</v>
      </c>
      <c r="S31" s="77"/>
      <c r="T31" s="121"/>
      <c r="U31" s="121">
        <f>(0.4+0.1)*2.9</f>
        <v>1.45</v>
      </c>
      <c r="V31" s="77"/>
      <c r="W31" s="121">
        <f>3*(0.4+0.4+0.4+0.4+0.1)</f>
        <v>5.1000000000000005</v>
      </c>
      <c r="X31" s="121">
        <f>3*(0.4+0.1)</f>
        <v>1.5</v>
      </c>
      <c r="Y31" s="77">
        <f>3*(3*0.4)</f>
        <v>3.6000000000000005</v>
      </c>
      <c r="Z31" s="121">
        <f>3*(0.4+0.1)</f>
        <v>1.5</v>
      </c>
      <c r="AA31" s="77">
        <f>2*(0.4+0.1)</f>
        <v>1</v>
      </c>
      <c r="AB31" s="77">
        <f>2*(0.4+0.1)</f>
        <v>1</v>
      </c>
      <c r="AC31" s="121">
        <f>2*(0.4+0.1+0.1+0.4)</f>
        <v>2</v>
      </c>
      <c r="AD31" s="77"/>
      <c r="AE31" s="77">
        <f>3.8*(0.4+0.1)</f>
        <v>1.9</v>
      </c>
      <c r="AF31" s="72"/>
    </row>
    <row r="32" spans="1:32">
      <c r="A32" s="113">
        <v>26</v>
      </c>
      <c r="B32" s="88" t="s">
        <v>203</v>
      </c>
      <c r="C32" s="82" t="s">
        <v>0</v>
      </c>
      <c r="D32" s="63">
        <f t="shared" si="0"/>
        <v>58.274999999999991</v>
      </c>
      <c r="E32" s="79"/>
      <c r="F32" s="77"/>
      <c r="G32" s="121"/>
      <c r="H32" s="77"/>
      <c r="I32" s="77"/>
      <c r="J32" s="77"/>
      <c r="K32" s="77"/>
      <c r="L32" s="77"/>
      <c r="M32" s="77"/>
      <c r="N32" s="77"/>
      <c r="O32" s="77">
        <f>O30</f>
        <v>21.681999999999995</v>
      </c>
      <c r="P32" s="77">
        <f>P30</f>
        <v>18.592999999999996</v>
      </c>
      <c r="Q32" s="77"/>
      <c r="R32" s="77"/>
      <c r="S32" s="77"/>
      <c r="T32" s="121"/>
      <c r="U32" s="121"/>
      <c r="V32" s="77"/>
      <c r="W32" s="121"/>
      <c r="X32" s="121"/>
      <c r="Y32" s="77"/>
      <c r="Z32" s="121"/>
      <c r="AA32" s="77"/>
      <c r="AB32" s="77"/>
      <c r="AC32" s="121"/>
      <c r="AD32" s="77"/>
      <c r="AE32" s="77">
        <f>6*3.8-3*1-0.9*2</f>
        <v>17.999999999999996</v>
      </c>
      <c r="AF32" s="72"/>
    </row>
    <row r="33" spans="1:32" s="78" customFormat="1" ht="18.75">
      <c r="A33" s="113">
        <v>27</v>
      </c>
      <c r="B33" s="81" t="s">
        <v>141</v>
      </c>
      <c r="C33" s="82" t="s">
        <v>0</v>
      </c>
      <c r="D33" s="63">
        <f t="shared" si="0"/>
        <v>33.718000000000004</v>
      </c>
      <c r="E33" s="84" t="s">
        <v>146</v>
      </c>
      <c r="F33" s="77"/>
      <c r="G33" s="121"/>
      <c r="H33" s="77"/>
      <c r="I33" s="77"/>
      <c r="J33" s="77"/>
      <c r="K33" s="77"/>
      <c r="L33" s="77"/>
      <c r="M33" s="77">
        <f>M30</f>
        <v>16.859000000000002</v>
      </c>
      <c r="N33" s="77">
        <f>N30</f>
        <v>16.859000000000002</v>
      </c>
      <c r="O33" s="77"/>
      <c r="P33" s="77"/>
      <c r="Q33" s="77"/>
      <c r="R33" s="77"/>
      <c r="S33" s="77"/>
      <c r="T33" s="121"/>
      <c r="U33" s="121"/>
      <c r="V33" s="77"/>
      <c r="W33" s="121"/>
      <c r="X33" s="121"/>
      <c r="Y33" s="77"/>
      <c r="Z33" s="121"/>
      <c r="AA33" s="77"/>
      <c r="AB33" s="77"/>
      <c r="AC33" s="121"/>
      <c r="AD33" s="77"/>
      <c r="AE33" s="77"/>
    </row>
    <row r="34" spans="1:32" ht="63">
      <c r="A34" s="113">
        <v>28</v>
      </c>
      <c r="B34" s="81" t="s">
        <v>134</v>
      </c>
      <c r="C34" s="73" t="s">
        <v>60</v>
      </c>
      <c r="D34" s="63">
        <f t="shared" si="0"/>
        <v>56.71</v>
      </c>
      <c r="E34" s="79"/>
      <c r="F34" s="77"/>
      <c r="G34" s="121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>
        <f>2*2.5+1.09</f>
        <v>6.09</v>
      </c>
      <c r="T34" s="121">
        <f>2*(1.97+1.25)</f>
        <v>6.4399999999999995</v>
      </c>
      <c r="U34" s="121">
        <f>2*(2.04+1.25)</f>
        <v>6.58</v>
      </c>
      <c r="V34" s="77"/>
      <c r="W34" s="121">
        <f>1.1+4+1.1</f>
        <v>6.1999999999999993</v>
      </c>
      <c r="X34" s="121">
        <f>1.1+2</f>
        <v>3.1</v>
      </c>
      <c r="Y34" s="77">
        <f>1.1+3+1.1</f>
        <v>5.1999999999999993</v>
      </c>
      <c r="Z34" s="121">
        <f>1.1+3</f>
        <v>4.0999999999999996</v>
      </c>
      <c r="AA34" s="77">
        <f>1.1+2</f>
        <v>3.1</v>
      </c>
      <c r="AB34" s="77">
        <f>2+1.1</f>
        <v>3.1</v>
      </c>
      <c r="AC34" s="121">
        <f>1.1+4+1.1</f>
        <v>6.1999999999999993</v>
      </c>
      <c r="AD34" s="77"/>
      <c r="AE34" s="77">
        <f>1.3+4+1.3</f>
        <v>6.6</v>
      </c>
      <c r="AF34" s="72"/>
    </row>
    <row r="35" spans="1:32" ht="63">
      <c r="A35" s="113">
        <v>29</v>
      </c>
      <c r="B35" s="81" t="s">
        <v>213</v>
      </c>
      <c r="C35" s="73" t="s">
        <v>60</v>
      </c>
      <c r="D35" s="63">
        <f t="shared" si="0"/>
        <v>36.700000000000003</v>
      </c>
      <c r="E35" s="79"/>
      <c r="F35" s="77"/>
      <c r="G35" s="121"/>
      <c r="H35" s="77">
        <f>2*(1.85+1.25)</f>
        <v>6.2</v>
      </c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>
        <f>2*(1.25+2)</f>
        <v>6.5</v>
      </c>
      <c r="T35" s="121"/>
      <c r="U35" s="121"/>
      <c r="V35" s="77"/>
      <c r="W35" s="121">
        <v>4</v>
      </c>
      <c r="X35" s="121">
        <v>2</v>
      </c>
      <c r="Y35" s="77">
        <f>3</f>
        <v>3</v>
      </c>
      <c r="Z35" s="121">
        <v>3</v>
      </c>
      <c r="AA35" s="77">
        <v>2</v>
      </c>
      <c r="AB35" s="77">
        <v>2</v>
      </c>
      <c r="AC35" s="121">
        <v>4</v>
      </c>
      <c r="AD35" s="77"/>
      <c r="AE35" s="77">
        <v>4</v>
      </c>
      <c r="AF35" s="72"/>
    </row>
    <row r="36" spans="1:32" ht="63">
      <c r="A36" s="113">
        <v>30</v>
      </c>
      <c r="B36" s="81" t="s">
        <v>135</v>
      </c>
      <c r="C36" s="73" t="s">
        <v>60</v>
      </c>
      <c r="D36" s="63">
        <f t="shared" si="0"/>
        <v>67.319999999999993</v>
      </c>
      <c r="E36" s="79"/>
      <c r="F36" s="77"/>
      <c r="G36" s="121"/>
      <c r="H36" s="77"/>
      <c r="I36" s="77"/>
      <c r="J36" s="77"/>
      <c r="K36" s="77"/>
      <c r="L36" s="77"/>
      <c r="M36" s="77"/>
      <c r="N36" s="77"/>
      <c r="O36" s="77">
        <f>2.1+2.1+0.91</f>
        <v>5.1100000000000003</v>
      </c>
      <c r="P36" s="77">
        <f>2.1+2.1+0.91</f>
        <v>5.1100000000000003</v>
      </c>
      <c r="Q36" s="77">
        <f>2*(2*2.1+0.91)</f>
        <v>10.220000000000001</v>
      </c>
      <c r="R36" s="77"/>
      <c r="T36" s="121">
        <f>2*2.3+1.98</f>
        <v>6.58</v>
      </c>
      <c r="U36" s="121">
        <f>2*2.1+1</f>
        <v>5.2</v>
      </c>
      <c r="V36" s="77"/>
      <c r="W36" s="121">
        <f>2.05+0.91+2.05</f>
        <v>5.01</v>
      </c>
      <c r="X36" s="121">
        <f>2.05+0.91+2.05</f>
        <v>5.01</v>
      </c>
      <c r="Y36" s="77">
        <f>2.05+0.91+2.05</f>
        <v>5.01</v>
      </c>
      <c r="Z36" s="121">
        <f>2.05+0.91+2.05</f>
        <v>5.01</v>
      </c>
      <c r="AA36" s="77">
        <f>2.05+0.91+2.05</f>
        <v>5.01</v>
      </c>
      <c r="AB36" s="77">
        <f>2.05+0.9+2.05</f>
        <v>5</v>
      </c>
      <c r="AC36" s="121">
        <f>2.05+0.95+2.05</f>
        <v>5.05</v>
      </c>
      <c r="AD36" s="77"/>
      <c r="AE36" s="77"/>
      <c r="AF36" s="72"/>
    </row>
    <row r="37" spans="1:32" ht="63">
      <c r="A37" s="113">
        <v>31</v>
      </c>
      <c r="B37" s="81" t="s">
        <v>214</v>
      </c>
      <c r="C37" s="73" t="s">
        <v>60</v>
      </c>
      <c r="D37" s="63">
        <f t="shared" si="0"/>
        <v>47.68</v>
      </c>
      <c r="E37" s="79"/>
      <c r="F37" s="77"/>
      <c r="G37" s="121">
        <f>2.5+1.98+2.5</f>
        <v>6.98</v>
      </c>
      <c r="H37" s="77">
        <f>2*2.1+1.75</f>
        <v>5.95</v>
      </c>
      <c r="I37" s="77">
        <f>2.1+2.1+0.71</f>
        <v>4.91</v>
      </c>
      <c r="J37" s="77">
        <f>2.1+2.1+0.71</f>
        <v>4.91</v>
      </c>
      <c r="K37" s="77">
        <f>2.1+2.1+0.71</f>
        <v>4.91</v>
      </c>
      <c r="L37" s="77">
        <f>2.1+0.71+2.1</f>
        <v>4.91</v>
      </c>
      <c r="M37" s="77">
        <f>2*2.1+0.71</f>
        <v>4.91</v>
      </c>
      <c r="N37" s="77">
        <f>2*2.1+0.71</f>
        <v>4.91</v>
      </c>
      <c r="O37" s="77"/>
      <c r="P37" s="77"/>
      <c r="Q37" s="77"/>
      <c r="R37" s="77"/>
      <c r="S37" s="77">
        <f>2*2.1+1.09</f>
        <v>5.29</v>
      </c>
      <c r="T37" s="121"/>
      <c r="U37" s="121"/>
      <c r="V37" s="77"/>
      <c r="W37" s="121"/>
      <c r="X37" s="121"/>
      <c r="Y37" s="77"/>
      <c r="Z37" s="121"/>
      <c r="AA37" s="77"/>
      <c r="AB37" s="77"/>
      <c r="AC37" s="121"/>
      <c r="AD37" s="77"/>
      <c r="AE37" s="77"/>
      <c r="AF37" s="72"/>
    </row>
    <row r="38" spans="1:32" ht="31.5">
      <c r="A38" s="113">
        <v>32</v>
      </c>
      <c r="B38" s="88" t="s">
        <v>151</v>
      </c>
      <c r="C38" s="82" t="s">
        <v>0</v>
      </c>
      <c r="D38" s="63">
        <f t="shared" si="0"/>
        <v>699.38000000000011</v>
      </c>
      <c r="E38" s="79"/>
      <c r="F38" s="77"/>
      <c r="G38" s="121"/>
      <c r="H38" s="77"/>
      <c r="I38" s="77"/>
      <c r="J38" s="77"/>
      <c r="K38" s="77"/>
      <c r="L38" s="77"/>
      <c r="M38" s="77"/>
      <c r="N38" s="77"/>
      <c r="O38" s="77">
        <f>2.5*(2*(2.85+4.93))-2*0.71*2.1-0.91*2.1</f>
        <v>34.006999999999998</v>
      </c>
      <c r="P38" s="77">
        <f>2.5*(2*(2.85+4.93))-2*0.71*2.1-0.91*2.1-4*1.25</f>
        <v>29.006999999999998</v>
      </c>
      <c r="Q38" s="77">
        <f>Q30</f>
        <v>25.206</v>
      </c>
      <c r="R38" s="77">
        <f>R30</f>
        <v>10.575000000000001</v>
      </c>
      <c r="T38" s="121">
        <f>T30</f>
        <v>59.045499999999997</v>
      </c>
      <c r="U38" s="121">
        <f>U30</f>
        <v>62.050000000000011</v>
      </c>
      <c r="V38" s="77"/>
      <c r="W38" s="121">
        <f>W30</f>
        <v>62.414500000000004</v>
      </c>
      <c r="X38" s="121">
        <f>3.2*2*(2.84+4.69)-0.91*2.05-1*2-3*(0.4+0.1)</f>
        <v>42.82650000000001</v>
      </c>
      <c r="Y38" s="77">
        <f>3.3*2*(4.83+4.69)-3*0.4-0.91*2.05-3*1</f>
        <v>56.766499999999994</v>
      </c>
      <c r="Z38" s="121">
        <f>3.2*2*(3.94+4.69)-3*1-0.91*2.05-3*(0.4+0.1)</f>
        <v>48.866500000000009</v>
      </c>
      <c r="AA38" s="77">
        <f>2.7*2*(2.72+4.6)-2*1-0.87*2.05-2*(0.4+0.1)</f>
        <v>34.744500000000009</v>
      </c>
      <c r="AB38" s="77">
        <f>AB30</f>
        <v>41.886000000000003</v>
      </c>
      <c r="AC38" s="121">
        <f>AC30</f>
        <v>58.612500000000004</v>
      </c>
      <c r="AD38" s="77">
        <f>3.4*(12+1+12)-5*0.91*2.05</f>
        <v>75.672499999999999</v>
      </c>
      <c r="AE38" s="77">
        <f>AE30</f>
        <v>57.699999999999996</v>
      </c>
    </row>
    <row r="39" spans="1:32" ht="31.5">
      <c r="A39" s="113">
        <v>33</v>
      </c>
      <c r="B39" s="88" t="s">
        <v>212</v>
      </c>
      <c r="C39" s="82" t="s">
        <v>0</v>
      </c>
      <c r="D39" s="63">
        <f t="shared" si="0"/>
        <v>21.7</v>
      </c>
      <c r="E39" s="79"/>
      <c r="F39" s="77"/>
      <c r="G39" s="121"/>
      <c r="H39" s="77"/>
      <c r="I39" s="77"/>
      <c r="J39" s="77"/>
      <c r="K39" s="77"/>
      <c r="L39" s="77"/>
      <c r="M39" s="77"/>
      <c r="N39" s="77"/>
      <c r="O39" s="77"/>
      <c r="P39" s="77">
        <f>P31</f>
        <v>1.3250000000000002</v>
      </c>
      <c r="Q39" s="77"/>
      <c r="R39" s="77">
        <f>R31</f>
        <v>1.3250000000000002</v>
      </c>
      <c r="S39" s="77"/>
      <c r="T39" s="121"/>
      <c r="U39" s="121">
        <f>U31</f>
        <v>1.45</v>
      </c>
      <c r="V39" s="77"/>
      <c r="W39" s="121">
        <f>W31</f>
        <v>5.1000000000000005</v>
      </c>
      <c r="X39" s="121">
        <f>3*(0.4+0.1)</f>
        <v>1.5</v>
      </c>
      <c r="Y39" s="77">
        <f>3*3*0.4</f>
        <v>3.6</v>
      </c>
      <c r="Z39" s="121">
        <f>Z31</f>
        <v>1.5</v>
      </c>
      <c r="AA39" s="77">
        <f>AA31</f>
        <v>1</v>
      </c>
      <c r="AB39" s="77">
        <f>AB31</f>
        <v>1</v>
      </c>
      <c r="AC39" s="121">
        <f>AC31</f>
        <v>2</v>
      </c>
      <c r="AD39" s="77"/>
      <c r="AE39" s="77">
        <f>AE31</f>
        <v>1.9</v>
      </c>
    </row>
    <row r="40" spans="1:32" ht="31.5">
      <c r="A40" s="113">
        <v>34</v>
      </c>
      <c r="B40" s="81" t="s">
        <v>156</v>
      </c>
      <c r="C40" s="82" t="s">
        <v>0</v>
      </c>
      <c r="D40" s="63">
        <f>SUM(F40:AE40)*0.5</f>
        <v>360.54</v>
      </c>
      <c r="E40" s="79" t="s">
        <v>157</v>
      </c>
      <c r="F40" s="77"/>
      <c r="G40" s="121"/>
      <c r="H40" s="77"/>
      <c r="I40" s="77"/>
      <c r="J40" s="77"/>
      <c r="K40" s="77"/>
      <c r="L40" s="77"/>
      <c r="M40" s="77"/>
      <c r="N40" s="77"/>
      <c r="O40" s="77">
        <f>O38</f>
        <v>34.006999999999998</v>
      </c>
      <c r="P40" s="77">
        <f>SUM(P38:P39)</f>
        <v>30.331999999999997</v>
      </c>
      <c r="Q40" s="77">
        <f>Q38</f>
        <v>25.206</v>
      </c>
      <c r="R40" s="77">
        <f>SUM(R38:R39)</f>
        <v>11.900000000000002</v>
      </c>
      <c r="S40" s="77"/>
      <c r="T40" s="121">
        <f>T38</f>
        <v>59.045499999999997</v>
      </c>
      <c r="U40" s="121">
        <f>SUM(U38:U39)</f>
        <v>63.500000000000014</v>
      </c>
      <c r="V40" s="77"/>
      <c r="W40" s="121">
        <f>W38+W39</f>
        <v>67.514499999999998</v>
      </c>
      <c r="X40" s="121">
        <f>X39+X38</f>
        <v>44.32650000000001</v>
      </c>
      <c r="Y40" s="77">
        <f>Y38+Y39</f>
        <v>60.366499999999995</v>
      </c>
      <c r="Z40" s="121">
        <f>Z38+Z39</f>
        <v>50.366500000000009</v>
      </c>
      <c r="AA40" s="77">
        <f>SUM(AA38:AA39)</f>
        <v>35.744500000000009</v>
      </c>
      <c r="AB40" s="77">
        <f>SUM(AB38:AB39)</f>
        <v>42.886000000000003</v>
      </c>
      <c r="AC40" s="121">
        <f>SUM(AC38:AC39)</f>
        <v>60.612500000000004</v>
      </c>
      <c r="AD40" s="77">
        <f>AD38</f>
        <v>75.672499999999999</v>
      </c>
      <c r="AE40" s="77">
        <f>SUM(AE38:AE39)</f>
        <v>59.599999999999994</v>
      </c>
    </row>
    <row r="41" spans="1:32" ht="47.25">
      <c r="A41" s="113">
        <v>35</v>
      </c>
      <c r="B41" s="81" t="s">
        <v>153</v>
      </c>
      <c r="C41" s="82" t="s">
        <v>0</v>
      </c>
      <c r="D41" s="63">
        <f>D40</f>
        <v>360.54</v>
      </c>
      <c r="E41" s="79"/>
      <c r="F41" s="77"/>
      <c r="G41" s="121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121"/>
      <c r="U41" s="121"/>
      <c r="V41" s="77"/>
      <c r="W41" s="121"/>
      <c r="X41" s="121"/>
      <c r="Y41" s="77"/>
      <c r="Z41" s="121"/>
      <c r="AA41" s="77"/>
      <c r="AB41" s="77"/>
      <c r="AC41" s="121"/>
      <c r="AD41" s="77"/>
      <c r="AE41" s="77"/>
    </row>
    <row r="42" spans="1:32" ht="63">
      <c r="A42" s="113">
        <v>36</v>
      </c>
      <c r="B42" s="88" t="s">
        <v>205</v>
      </c>
      <c r="C42" s="73" t="s">
        <v>0</v>
      </c>
      <c r="D42" s="63">
        <f t="shared" si="0"/>
        <v>212.67989999999998</v>
      </c>
      <c r="E42" s="79"/>
      <c r="F42" s="77"/>
      <c r="G42" s="121">
        <f>G30</f>
        <v>35.190000000000005</v>
      </c>
      <c r="H42" s="77">
        <f>H30</f>
        <v>35.902500000000003</v>
      </c>
      <c r="I42" s="77">
        <f t="shared" ref="I42:N42" si="1">I30</f>
        <v>21.658999999999999</v>
      </c>
      <c r="J42" s="77">
        <f t="shared" si="1"/>
        <v>21.658999999999999</v>
      </c>
      <c r="K42" s="77">
        <f t="shared" si="1"/>
        <v>12.100000000000001</v>
      </c>
      <c r="L42" s="77">
        <f t="shared" si="1"/>
        <v>11.868</v>
      </c>
      <c r="M42" s="77">
        <f t="shared" si="1"/>
        <v>16.859000000000002</v>
      </c>
      <c r="N42" s="77">
        <f t="shared" si="1"/>
        <v>16.859000000000002</v>
      </c>
      <c r="O42" s="77"/>
      <c r="P42" s="77"/>
      <c r="Q42" s="77"/>
      <c r="R42" s="77"/>
      <c r="S42" s="77">
        <f>S30</f>
        <v>40.583399999999997</v>
      </c>
      <c r="T42" s="121"/>
      <c r="U42" s="121"/>
      <c r="V42" s="77"/>
      <c r="W42" s="121"/>
      <c r="X42" s="121"/>
      <c r="Y42" s="77"/>
      <c r="Z42" s="121"/>
      <c r="AA42" s="77"/>
      <c r="AB42" s="77"/>
      <c r="AC42" s="121"/>
      <c r="AD42" s="77"/>
      <c r="AE42" s="77"/>
    </row>
    <row r="43" spans="1:32" ht="63">
      <c r="A43" s="113">
        <v>37</v>
      </c>
      <c r="B43" s="88" t="s">
        <v>211</v>
      </c>
      <c r="C43" s="73" t="s">
        <v>0</v>
      </c>
      <c r="D43" s="63">
        <f t="shared" si="0"/>
        <v>8.0574999999999992</v>
      </c>
      <c r="E43" s="79"/>
      <c r="F43" s="77"/>
      <c r="G43" s="121">
        <f>G31</f>
        <v>1.4575</v>
      </c>
      <c r="H43" s="77">
        <f>H31</f>
        <v>3.375</v>
      </c>
      <c r="I43" s="77"/>
      <c r="J43" s="77"/>
      <c r="K43" s="77"/>
      <c r="L43" s="77">
        <f>L31</f>
        <v>3.2250000000000001</v>
      </c>
      <c r="M43" s="77"/>
      <c r="N43" s="77"/>
      <c r="O43" s="77"/>
      <c r="P43" s="77"/>
      <c r="Q43" s="77"/>
      <c r="R43" s="77"/>
      <c r="S43" s="77"/>
      <c r="T43" s="121"/>
      <c r="U43" s="121"/>
      <c r="V43" s="77"/>
      <c r="W43" s="121"/>
      <c r="X43" s="121"/>
      <c r="Y43" s="77"/>
      <c r="Z43" s="121"/>
      <c r="AA43" s="77"/>
      <c r="AB43" s="77"/>
      <c r="AC43" s="121"/>
      <c r="AD43" s="77"/>
      <c r="AE43" s="77"/>
    </row>
    <row r="44" spans="1:32" ht="31.5">
      <c r="A44" s="113">
        <v>38</v>
      </c>
      <c r="B44" s="88" t="s">
        <v>67</v>
      </c>
      <c r="C44" s="73" t="s">
        <v>60</v>
      </c>
      <c r="D44" s="63">
        <f t="shared" si="0"/>
        <v>16</v>
      </c>
      <c r="E44" s="79"/>
      <c r="F44" s="77"/>
      <c r="G44" s="121">
        <v>2</v>
      </c>
      <c r="H44" s="77">
        <f>2*2</f>
        <v>4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121">
        <f>2*2</f>
        <v>4</v>
      </c>
      <c r="U44" s="121">
        <f>2*3</f>
        <v>6</v>
      </c>
      <c r="V44" s="77"/>
      <c r="W44" s="121"/>
      <c r="X44" s="121"/>
      <c r="Y44" s="77"/>
      <c r="Z44" s="121"/>
      <c r="AA44" s="77"/>
      <c r="AB44" s="77"/>
      <c r="AC44" s="121"/>
      <c r="AD44" s="77"/>
      <c r="AE44" s="77"/>
      <c r="AF44" s="72"/>
    </row>
    <row r="45" spans="1:32" ht="18.75">
      <c r="A45" s="113">
        <v>39</v>
      </c>
      <c r="B45" s="74" t="s">
        <v>55</v>
      </c>
      <c r="C45" s="82"/>
      <c r="D45" s="63">
        <f t="shared" si="0"/>
        <v>0</v>
      </c>
      <c r="E45" s="79"/>
      <c r="F45" s="77"/>
      <c r="G45" s="121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121"/>
      <c r="U45" s="121"/>
      <c r="V45" s="77"/>
      <c r="W45" s="121"/>
      <c r="X45" s="121"/>
      <c r="Y45" s="77"/>
      <c r="Z45" s="121"/>
      <c r="AA45" s="77"/>
      <c r="AB45" s="77"/>
      <c r="AC45" s="121"/>
      <c r="AD45" s="77"/>
      <c r="AE45" s="77"/>
      <c r="AF45" s="72"/>
    </row>
    <row r="46" spans="1:32">
      <c r="A46" s="113">
        <v>40</v>
      </c>
      <c r="B46" s="88" t="s">
        <v>208</v>
      </c>
      <c r="C46" s="82" t="s">
        <v>60</v>
      </c>
      <c r="D46" s="63">
        <f t="shared" si="0"/>
        <v>16.399999999999999</v>
      </c>
      <c r="E46" s="79"/>
      <c r="F46" s="77"/>
      <c r="G46" s="121"/>
      <c r="H46" s="77"/>
      <c r="I46" s="77">
        <v>4</v>
      </c>
      <c r="J46" s="77">
        <v>10</v>
      </c>
      <c r="K46" s="77"/>
      <c r="L46" s="77">
        <f>2*1.2</f>
        <v>2.4</v>
      </c>
      <c r="M46" s="77" t="s">
        <v>215</v>
      </c>
      <c r="N46" s="77" t="s">
        <v>215</v>
      </c>
      <c r="O46" s="77"/>
      <c r="P46" s="77"/>
      <c r="Q46" s="77"/>
      <c r="R46" s="77"/>
      <c r="S46" s="77"/>
      <c r="T46" s="121"/>
      <c r="U46" s="121"/>
      <c r="V46" s="77"/>
      <c r="W46" s="121"/>
      <c r="X46" s="121"/>
      <c r="Y46" s="77"/>
      <c r="Z46" s="121"/>
      <c r="AA46" s="77"/>
      <c r="AB46" s="77"/>
      <c r="AC46" s="121"/>
      <c r="AD46" s="77"/>
      <c r="AE46" s="77"/>
      <c r="AF46" s="72"/>
    </row>
    <row r="47" spans="1:32" ht="47.25">
      <c r="A47" s="113">
        <v>41</v>
      </c>
      <c r="B47" s="88" t="s">
        <v>207</v>
      </c>
      <c r="C47" s="82" t="s">
        <v>0</v>
      </c>
      <c r="D47" s="63">
        <f t="shared" si="0"/>
        <v>5.4799999999999986</v>
      </c>
      <c r="E47" s="79" t="s">
        <v>209</v>
      </c>
      <c r="F47" s="77"/>
      <c r="G47" s="121"/>
      <c r="H47" s="77"/>
      <c r="I47" s="77">
        <f>0.4*2</f>
        <v>0.8</v>
      </c>
      <c r="J47" s="77">
        <v>3</v>
      </c>
      <c r="K47" s="77"/>
      <c r="L47" s="77">
        <f>0.4*1.2</f>
        <v>0.48</v>
      </c>
      <c r="M47" s="77">
        <f>0.4*1.5</f>
        <v>0.60000000000000009</v>
      </c>
      <c r="N47" s="77">
        <f>0.4*1.5</f>
        <v>0.60000000000000009</v>
      </c>
      <c r="O47" s="77"/>
      <c r="P47" s="77"/>
      <c r="Q47" s="77"/>
      <c r="R47" s="77"/>
      <c r="S47" s="77"/>
      <c r="T47" s="121"/>
      <c r="U47" s="121"/>
      <c r="V47" s="77"/>
      <c r="W47" s="121"/>
      <c r="X47" s="121"/>
      <c r="Y47" s="77"/>
      <c r="Z47" s="121"/>
      <c r="AA47" s="77"/>
      <c r="AB47" s="77"/>
      <c r="AC47" s="121"/>
      <c r="AD47" s="77"/>
      <c r="AE47" s="77"/>
      <c r="AF47" s="72"/>
    </row>
    <row r="48" spans="1:32">
      <c r="A48" s="113">
        <v>42</v>
      </c>
      <c r="B48" s="88" t="s">
        <v>210</v>
      </c>
      <c r="C48" s="82" t="s">
        <v>69</v>
      </c>
      <c r="D48" s="63">
        <f t="shared" si="0"/>
        <v>3.2880000000000007</v>
      </c>
      <c r="E48" s="79"/>
      <c r="F48" s="77"/>
      <c r="G48" s="121"/>
      <c r="H48" s="77"/>
      <c r="I48" s="77">
        <f>I47*0.4</f>
        <v>0.32000000000000006</v>
      </c>
      <c r="J48" s="77">
        <f>J47*0.4+1</f>
        <v>2.2000000000000002</v>
      </c>
      <c r="K48" s="77"/>
      <c r="L48" s="77">
        <f>L47*0.6</f>
        <v>0.28799999999999998</v>
      </c>
      <c r="M48" s="77">
        <f>M47*0.4</f>
        <v>0.24000000000000005</v>
      </c>
      <c r="N48" s="77">
        <f>N47*0.4</f>
        <v>0.24000000000000005</v>
      </c>
      <c r="O48" s="77"/>
      <c r="P48" s="77"/>
      <c r="Q48" s="77"/>
      <c r="R48" s="77"/>
      <c r="S48" s="77"/>
      <c r="T48" s="121"/>
      <c r="U48" s="121"/>
      <c r="V48" s="77"/>
      <c r="W48" s="121"/>
      <c r="X48" s="121"/>
      <c r="Y48" s="77"/>
      <c r="Z48" s="121"/>
      <c r="AA48" s="77"/>
      <c r="AB48" s="77"/>
      <c r="AC48" s="121"/>
      <c r="AD48" s="77"/>
      <c r="AE48" s="77"/>
      <c r="AF48" s="72"/>
    </row>
    <row r="49" spans="1:32" ht="31.5">
      <c r="A49" s="113">
        <v>43</v>
      </c>
      <c r="B49" s="88" t="s">
        <v>137</v>
      </c>
      <c r="C49" s="82" t="s">
        <v>69</v>
      </c>
      <c r="D49" s="63">
        <f t="shared" si="0"/>
        <v>5.6880000000000015</v>
      </c>
      <c r="E49" s="79" t="s">
        <v>138</v>
      </c>
      <c r="F49" s="77"/>
      <c r="G49" s="121"/>
      <c r="H49" s="77">
        <v>2</v>
      </c>
      <c r="I49" s="77">
        <f>I48</f>
        <v>0.32000000000000006</v>
      </c>
      <c r="J49" s="77">
        <f>J48</f>
        <v>2.2000000000000002</v>
      </c>
      <c r="K49" s="77"/>
      <c r="L49" s="77">
        <f>L48</f>
        <v>0.28799999999999998</v>
      </c>
      <c r="M49" s="77">
        <f>M48</f>
        <v>0.24000000000000005</v>
      </c>
      <c r="N49" s="77">
        <f>N48</f>
        <v>0.24000000000000005</v>
      </c>
      <c r="O49" s="77"/>
      <c r="P49" s="77"/>
      <c r="Q49" s="77"/>
      <c r="R49" s="77"/>
      <c r="S49" s="77"/>
      <c r="T49" s="121"/>
      <c r="U49" s="121">
        <f>0.5*0.8*1</f>
        <v>0.4</v>
      </c>
      <c r="V49" s="77"/>
      <c r="W49" s="121"/>
      <c r="X49" s="121"/>
      <c r="Y49" s="77"/>
      <c r="Z49" s="121"/>
      <c r="AA49" s="77"/>
      <c r="AB49" s="77"/>
      <c r="AC49" s="121"/>
      <c r="AD49" s="77"/>
      <c r="AE49" s="77"/>
      <c r="AF49" s="72"/>
    </row>
    <row r="50" spans="1:32" ht="48" customHeight="1">
      <c r="A50" s="113">
        <v>44</v>
      </c>
      <c r="B50" s="88" t="s">
        <v>143</v>
      </c>
      <c r="C50" s="82" t="s">
        <v>0</v>
      </c>
      <c r="D50" s="63">
        <f t="shared" si="0"/>
        <v>10.88</v>
      </c>
      <c r="E50" s="79" t="s">
        <v>138</v>
      </c>
      <c r="F50" s="77"/>
      <c r="G50" s="121"/>
      <c r="H50" s="77">
        <v>5</v>
      </c>
      <c r="I50" s="77">
        <f>I47</f>
        <v>0.8</v>
      </c>
      <c r="J50" s="77">
        <f>J47</f>
        <v>3</v>
      </c>
      <c r="K50" s="77"/>
      <c r="L50" s="77">
        <f>L47</f>
        <v>0.48</v>
      </c>
      <c r="M50" s="77">
        <f>M47</f>
        <v>0.60000000000000009</v>
      </c>
      <c r="N50" s="77">
        <f>N47</f>
        <v>0.60000000000000009</v>
      </c>
      <c r="O50" s="77"/>
      <c r="P50" s="77"/>
      <c r="Q50" s="77"/>
      <c r="R50" s="77"/>
      <c r="S50" s="77"/>
      <c r="T50" s="121"/>
      <c r="U50" s="121">
        <f>0.5*0.8</f>
        <v>0.4</v>
      </c>
      <c r="V50" s="77"/>
      <c r="W50" s="121"/>
      <c r="X50" s="121"/>
      <c r="Y50" s="77"/>
      <c r="Z50" s="121"/>
      <c r="AA50" s="77"/>
      <c r="AB50" s="77"/>
      <c r="AC50" s="121"/>
      <c r="AD50" s="77"/>
      <c r="AE50" s="77"/>
      <c r="AF50" s="72"/>
    </row>
    <row r="51" spans="1:32">
      <c r="A51" s="113">
        <v>45</v>
      </c>
      <c r="B51" s="79" t="s">
        <v>177</v>
      </c>
      <c r="C51" s="82" t="s">
        <v>0</v>
      </c>
      <c r="D51" s="63">
        <f t="shared" si="0"/>
        <v>106.99830000000001</v>
      </c>
      <c r="E51" s="79"/>
      <c r="F51" s="77"/>
      <c r="G51" s="121"/>
      <c r="H51" s="77"/>
      <c r="I51" s="77"/>
      <c r="J51" s="77"/>
      <c r="K51" s="77"/>
      <c r="L51" s="77"/>
      <c r="M51" s="77"/>
      <c r="N51" s="77"/>
      <c r="O51" s="77">
        <f>4.93*2.85</f>
        <v>14.0505</v>
      </c>
      <c r="P51" s="77">
        <f>4.93*2.85</f>
        <v>14.0505</v>
      </c>
      <c r="Q51" s="68"/>
      <c r="R51" s="77"/>
      <c r="S51" s="77"/>
      <c r="T51" s="121"/>
      <c r="U51" s="121"/>
      <c r="V51" s="77"/>
      <c r="W51" s="121"/>
      <c r="X51" s="121"/>
      <c r="Y51" s="77">
        <f>4.83*4.69</f>
        <v>22.652700000000003</v>
      </c>
      <c r="Z51" s="121">
        <f>3.94*4.69</f>
        <v>18.4786</v>
      </c>
      <c r="AA51" s="77">
        <f>2.72*4.6</f>
        <v>12.512</v>
      </c>
      <c r="AB51" s="77">
        <f>2.99*4.6</f>
        <v>13.754</v>
      </c>
      <c r="AC51" s="121"/>
      <c r="AD51" s="77">
        <f>11.5*1</f>
        <v>11.5</v>
      </c>
      <c r="AE51" s="77"/>
      <c r="AF51" s="72"/>
    </row>
    <row r="52" spans="1:32">
      <c r="A52" s="113">
        <v>46</v>
      </c>
      <c r="B52" s="79" t="s">
        <v>68</v>
      </c>
      <c r="C52" s="82" t="s">
        <v>0</v>
      </c>
      <c r="D52" s="63">
        <f t="shared" si="0"/>
        <v>289.20920000000001</v>
      </c>
      <c r="E52" s="79"/>
      <c r="F52" s="77"/>
      <c r="G52" s="121"/>
      <c r="H52" s="77">
        <f>5.82*2.75-0.4*0.4-2</f>
        <v>13.845000000000002</v>
      </c>
      <c r="I52" s="77">
        <f>2.85*1.78</f>
        <v>5.0730000000000004</v>
      </c>
      <c r="J52" s="77">
        <f>2.85*1.78</f>
        <v>5.0730000000000004</v>
      </c>
      <c r="K52" s="77">
        <f>0.8*1.95</f>
        <v>1.56</v>
      </c>
      <c r="L52" s="77">
        <f>1.22*1.95</f>
        <v>2.379</v>
      </c>
      <c r="M52" s="77">
        <f>1.72*1.95</f>
        <v>3.3540000000000001</v>
      </c>
      <c r="N52" s="77">
        <f>1.72*1.95</f>
        <v>3.3540000000000001</v>
      </c>
      <c r="O52" s="77">
        <f>O51</f>
        <v>14.0505</v>
      </c>
      <c r="P52" s="77">
        <f>P51</f>
        <v>14.0505</v>
      </c>
      <c r="Q52" s="77">
        <f>4.62*1.97</f>
        <v>9.1013999999999999</v>
      </c>
      <c r="R52" s="77">
        <f>1.2*1.97</f>
        <v>2.3639999999999999</v>
      </c>
      <c r="S52" s="77"/>
      <c r="T52" s="121">
        <f>5.58*5.82</f>
        <v>32.4756</v>
      </c>
      <c r="U52" s="121">
        <f>5.66*4.59+1.26*2.02</f>
        <v>28.5246</v>
      </c>
      <c r="V52" s="77"/>
      <c r="W52" s="121">
        <f>6*5.83</f>
        <v>34.980000000000004</v>
      </c>
      <c r="X52" s="121">
        <f>2.84*4.69</f>
        <v>13.319600000000001</v>
      </c>
      <c r="Y52" s="77">
        <f>Y51</f>
        <v>22.652700000000003</v>
      </c>
      <c r="Z52" s="121">
        <f>Z51</f>
        <v>18.4786</v>
      </c>
      <c r="AA52" s="77">
        <f>AA51</f>
        <v>12.512</v>
      </c>
      <c r="AB52" s="77">
        <f>AB51</f>
        <v>13.754</v>
      </c>
      <c r="AC52" s="121">
        <f>4.63*5.79</f>
        <v>26.807700000000001</v>
      </c>
      <c r="AD52" s="77">
        <f>AD51</f>
        <v>11.5</v>
      </c>
      <c r="AE52" s="77"/>
      <c r="AF52" s="72"/>
    </row>
    <row r="53" spans="1:32" s="78" customFormat="1" ht="18.75">
      <c r="A53" s="113">
        <v>47</v>
      </c>
      <c r="B53" s="79" t="s">
        <v>58</v>
      </c>
      <c r="C53" s="82" t="s">
        <v>0</v>
      </c>
      <c r="D53" s="63">
        <f t="shared" si="0"/>
        <v>309.81200000000007</v>
      </c>
      <c r="E53" s="79"/>
      <c r="F53" s="77"/>
      <c r="G53" s="121"/>
      <c r="H53" s="77">
        <f>H52</f>
        <v>13.845000000000002</v>
      </c>
      <c r="I53" s="77">
        <f t="shared" ref="I53:N53" si="2">I52</f>
        <v>5.0730000000000004</v>
      </c>
      <c r="J53" s="77">
        <f t="shared" si="2"/>
        <v>5.0730000000000004</v>
      </c>
      <c r="K53" s="77">
        <f t="shared" si="2"/>
        <v>1.56</v>
      </c>
      <c r="L53" s="77">
        <f t="shared" si="2"/>
        <v>2.379</v>
      </c>
      <c r="M53" s="77">
        <f t="shared" si="2"/>
        <v>3.3540000000000001</v>
      </c>
      <c r="N53" s="77">
        <f t="shared" si="2"/>
        <v>3.3540000000000001</v>
      </c>
      <c r="O53" s="77">
        <f>O51</f>
        <v>14.0505</v>
      </c>
      <c r="P53" s="77">
        <f>P51</f>
        <v>14.0505</v>
      </c>
      <c r="Q53" s="77">
        <f>Q52</f>
        <v>9.1013999999999999</v>
      </c>
      <c r="R53" s="77">
        <f>R52</f>
        <v>2.3639999999999999</v>
      </c>
      <c r="S53" s="77">
        <f>3.54*5.82</f>
        <v>20.602800000000002</v>
      </c>
      <c r="T53" s="121">
        <f>T52</f>
        <v>32.4756</v>
      </c>
      <c r="U53" s="121">
        <f>U52</f>
        <v>28.5246</v>
      </c>
      <c r="W53" s="121">
        <f>W52</f>
        <v>34.980000000000004</v>
      </c>
      <c r="X53" s="121">
        <f>X52</f>
        <v>13.319600000000001</v>
      </c>
      <c r="Y53" s="77">
        <f>Y52</f>
        <v>22.652700000000003</v>
      </c>
      <c r="Z53" s="121">
        <f>Z51</f>
        <v>18.4786</v>
      </c>
      <c r="AA53" s="77">
        <f>AA52</f>
        <v>12.512</v>
      </c>
      <c r="AB53" s="77">
        <f>AB52</f>
        <v>13.754</v>
      </c>
      <c r="AC53" s="121">
        <f>AC52</f>
        <v>26.807700000000001</v>
      </c>
      <c r="AD53" s="77">
        <f>AD52</f>
        <v>11.5</v>
      </c>
      <c r="AE53" s="77"/>
    </row>
    <row r="54" spans="1:32" s="78" customFormat="1" ht="18.75">
      <c r="A54" s="113">
        <v>48</v>
      </c>
      <c r="B54" s="79" t="s">
        <v>217</v>
      </c>
      <c r="C54" s="82" t="s">
        <v>69</v>
      </c>
      <c r="D54" s="63">
        <f t="shared" si="0"/>
        <v>0.12</v>
      </c>
      <c r="E54" s="79"/>
      <c r="F54" s="77"/>
      <c r="G54" s="121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>
        <f>0.5*1.2*0.2</f>
        <v>0.12</v>
      </c>
      <c r="T54" s="121"/>
      <c r="U54" s="121"/>
      <c r="V54" s="77"/>
      <c r="W54" s="121"/>
      <c r="X54" s="121"/>
      <c r="Y54" s="77"/>
      <c r="Z54" s="121"/>
      <c r="AA54" s="77"/>
      <c r="AB54" s="77"/>
      <c r="AC54" s="121"/>
      <c r="AD54" s="77"/>
      <c r="AE54" s="77"/>
    </row>
    <row r="55" spans="1:32" s="78" customFormat="1" ht="31.5">
      <c r="A55" s="113">
        <v>49</v>
      </c>
      <c r="B55" s="79" t="s">
        <v>179</v>
      </c>
      <c r="C55" s="82" t="s">
        <v>69</v>
      </c>
      <c r="D55" s="63">
        <f t="shared" si="0"/>
        <v>0.78400000000000003</v>
      </c>
      <c r="E55" s="79" t="s">
        <v>230</v>
      </c>
      <c r="F55" s="77"/>
      <c r="G55" s="121"/>
      <c r="H55" s="77"/>
      <c r="I55" s="77">
        <f>1.12*0.5*0.7</f>
        <v>0.39200000000000002</v>
      </c>
      <c r="J55" s="77"/>
      <c r="K55" s="77">
        <f>1.12*0.5*0.7</f>
        <v>0.39200000000000002</v>
      </c>
      <c r="L55" s="77"/>
      <c r="M55" s="77"/>
      <c r="N55" s="77"/>
      <c r="O55" s="77"/>
      <c r="P55" s="77"/>
      <c r="Q55" s="77"/>
      <c r="R55" s="77"/>
      <c r="S55" s="77"/>
      <c r="T55" s="121"/>
      <c r="U55" s="121"/>
      <c r="V55" s="77"/>
      <c r="W55" s="121"/>
      <c r="X55" s="121"/>
      <c r="Y55" s="77"/>
      <c r="Z55" s="121"/>
      <c r="AA55" s="77"/>
      <c r="AB55" s="77"/>
      <c r="AC55" s="121"/>
      <c r="AD55" s="77"/>
      <c r="AE55" s="77"/>
    </row>
    <row r="56" spans="1:32" s="78" customFormat="1" ht="18.75">
      <c r="A56" s="113">
        <v>50</v>
      </c>
      <c r="B56" s="79" t="s">
        <v>225</v>
      </c>
      <c r="C56" s="82" t="s">
        <v>0</v>
      </c>
      <c r="D56" s="63">
        <f t="shared" si="0"/>
        <v>18</v>
      </c>
      <c r="E56" s="79"/>
      <c r="F56" s="77"/>
      <c r="G56" s="121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121"/>
      <c r="U56" s="124"/>
      <c r="V56" s="77"/>
      <c r="W56" s="121"/>
      <c r="X56" s="121"/>
      <c r="Y56" s="77"/>
      <c r="Z56" s="121"/>
      <c r="AA56" s="77"/>
      <c r="AB56" s="77"/>
      <c r="AC56" s="121"/>
      <c r="AD56" s="77"/>
      <c r="AE56" s="77">
        <f>6*3</f>
        <v>18</v>
      </c>
    </row>
    <row r="57" spans="1:32" s="78" customFormat="1" ht="18.75">
      <c r="A57" s="113">
        <v>51</v>
      </c>
      <c r="B57" s="79" t="s">
        <v>226</v>
      </c>
      <c r="C57" s="82" t="s">
        <v>0</v>
      </c>
      <c r="D57" s="63">
        <f t="shared" si="0"/>
        <v>18</v>
      </c>
      <c r="E57" s="79"/>
      <c r="F57" s="77"/>
      <c r="G57" s="121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121"/>
      <c r="U57" s="124"/>
      <c r="V57" s="77"/>
      <c r="W57" s="121"/>
      <c r="X57" s="121"/>
      <c r="Y57" s="77"/>
      <c r="Z57" s="121"/>
      <c r="AA57" s="77"/>
      <c r="AB57" s="77"/>
      <c r="AC57" s="121"/>
      <c r="AD57" s="77"/>
      <c r="AE57" s="77">
        <f>AE56</f>
        <v>18</v>
      </c>
    </row>
    <row r="58" spans="1:32" s="78" customFormat="1" ht="18.75">
      <c r="A58" s="113">
        <v>52</v>
      </c>
      <c r="B58" s="79" t="s">
        <v>227</v>
      </c>
      <c r="C58" s="82" t="s">
        <v>0</v>
      </c>
      <c r="D58" s="63">
        <f t="shared" si="0"/>
        <v>18</v>
      </c>
      <c r="E58" s="79"/>
      <c r="F58" s="77"/>
      <c r="G58" s="121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121"/>
      <c r="U58" s="124"/>
      <c r="V58" s="77"/>
      <c r="W58" s="121"/>
      <c r="X58" s="121"/>
      <c r="Y58" s="77"/>
      <c r="Z58" s="121"/>
      <c r="AA58" s="77"/>
      <c r="AB58" s="77"/>
      <c r="AC58" s="121"/>
      <c r="AD58" s="77"/>
      <c r="AE58" s="77">
        <f>AE57</f>
        <v>18</v>
      </c>
    </row>
    <row r="59" spans="1:32" s="78" customFormat="1" ht="31.5">
      <c r="A59" s="113">
        <v>53</v>
      </c>
      <c r="B59" s="81" t="s">
        <v>59</v>
      </c>
      <c r="C59" s="82" t="s">
        <v>0</v>
      </c>
      <c r="D59" s="63">
        <f t="shared" si="0"/>
        <v>205.4975</v>
      </c>
      <c r="E59" s="79"/>
      <c r="F59" s="77"/>
      <c r="G59" s="121"/>
      <c r="H59" s="77">
        <f>5.82*2.75-0.4*0.4+1.75*0.4</f>
        <v>16.545000000000002</v>
      </c>
      <c r="I59" s="77">
        <f t="shared" ref="I59:N59" si="3">I52</f>
        <v>5.0730000000000004</v>
      </c>
      <c r="J59" s="77">
        <f t="shared" si="3"/>
        <v>5.0730000000000004</v>
      </c>
      <c r="K59" s="77">
        <f t="shared" si="3"/>
        <v>1.56</v>
      </c>
      <c r="L59" s="77">
        <f t="shared" si="3"/>
        <v>2.379</v>
      </c>
      <c r="M59" s="77">
        <f t="shared" si="3"/>
        <v>3.3540000000000001</v>
      </c>
      <c r="N59" s="77">
        <f t="shared" si="3"/>
        <v>3.3540000000000001</v>
      </c>
      <c r="O59" s="77">
        <f>O51</f>
        <v>14.0505</v>
      </c>
      <c r="P59" s="77">
        <f>P51</f>
        <v>14.0505</v>
      </c>
      <c r="Q59" s="77">
        <f>Q52</f>
        <v>9.1013999999999999</v>
      </c>
      <c r="R59" s="77">
        <f>R53</f>
        <v>2.3639999999999999</v>
      </c>
      <c r="S59" s="77">
        <f>S53</f>
        <v>20.602800000000002</v>
      </c>
      <c r="T59" s="121">
        <f>T53</f>
        <v>32.4756</v>
      </c>
      <c r="U59" s="125"/>
      <c r="V59" s="77">
        <f>1.3*2.65</f>
        <v>3.4449999999999998</v>
      </c>
      <c r="W59" s="121"/>
      <c r="X59" s="121"/>
      <c r="Y59" s="77">
        <f>Y52</f>
        <v>22.652700000000003</v>
      </c>
      <c r="Z59" s="121"/>
      <c r="AA59" s="77">
        <f>AA53</f>
        <v>12.512</v>
      </c>
      <c r="AB59" s="77">
        <f>AB53</f>
        <v>13.754</v>
      </c>
      <c r="AC59" s="121"/>
      <c r="AD59" s="77">
        <f>AD53+1.3*(0.4+7.99)+2.48*0.3</f>
        <v>23.151000000000003</v>
      </c>
      <c r="AE59" s="77"/>
    </row>
    <row r="60" spans="1:32" s="78" customFormat="1" ht="63">
      <c r="A60" s="113">
        <v>54</v>
      </c>
      <c r="B60" s="81" t="s">
        <v>139</v>
      </c>
      <c r="C60" s="82" t="s">
        <v>0</v>
      </c>
      <c r="D60" s="63">
        <f t="shared" si="0"/>
        <v>122.1105</v>
      </c>
      <c r="E60" s="79"/>
      <c r="F60" s="77"/>
      <c r="G60" s="121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121"/>
      <c r="U60" s="121">
        <f>U52</f>
        <v>28.5246</v>
      </c>
      <c r="V60" s="77"/>
      <c r="W60" s="121">
        <f>W53</f>
        <v>34.980000000000004</v>
      </c>
      <c r="X60" s="121">
        <f>X52</f>
        <v>13.319600000000001</v>
      </c>
      <c r="Y60" s="77"/>
      <c r="Z60" s="121">
        <f>Z53</f>
        <v>18.4786</v>
      </c>
      <c r="AA60" s="77"/>
      <c r="AB60" s="77"/>
      <c r="AC60" s="121">
        <f>AC53</f>
        <v>26.807700000000001</v>
      </c>
      <c r="AD60" s="77"/>
      <c r="AE60" s="77"/>
    </row>
    <row r="61" spans="1:32" s="78" customFormat="1" ht="18.75">
      <c r="A61" s="113">
        <v>55</v>
      </c>
      <c r="B61" s="81" t="s">
        <v>141</v>
      </c>
      <c r="C61" s="82" t="s">
        <v>0</v>
      </c>
      <c r="D61" s="63">
        <f t="shared" si="0"/>
        <v>33.399000000000001</v>
      </c>
      <c r="E61" s="79" t="s">
        <v>142</v>
      </c>
      <c r="F61" s="77"/>
      <c r="G61" s="121"/>
      <c r="H61" s="77">
        <f>H59</f>
        <v>16.545000000000002</v>
      </c>
      <c r="I61" s="77">
        <f>I59</f>
        <v>5.0730000000000004</v>
      </c>
      <c r="J61" s="77">
        <f>J59</f>
        <v>5.0730000000000004</v>
      </c>
      <c r="K61" s="77"/>
      <c r="L61" s="77"/>
      <c r="M61" s="77">
        <f>M52</f>
        <v>3.3540000000000001</v>
      </c>
      <c r="N61" s="77">
        <f>N52</f>
        <v>3.3540000000000001</v>
      </c>
      <c r="O61" s="77"/>
      <c r="P61" s="77"/>
      <c r="Q61" s="77"/>
      <c r="R61" s="77"/>
      <c r="S61" s="77"/>
      <c r="T61" s="121"/>
      <c r="U61" s="121"/>
      <c r="V61" s="77"/>
      <c r="W61" s="121"/>
      <c r="X61" s="121"/>
      <c r="Y61" s="77"/>
      <c r="Z61" s="121"/>
      <c r="AA61" s="77"/>
      <c r="AB61" s="77"/>
      <c r="AC61" s="121"/>
      <c r="AD61" s="77"/>
      <c r="AE61" s="77"/>
    </row>
    <row r="62" spans="1:32" s="78" customFormat="1" ht="47.25">
      <c r="A62" s="113">
        <v>56</v>
      </c>
      <c r="B62" s="81" t="s">
        <v>61</v>
      </c>
      <c r="C62" s="82" t="s">
        <v>0</v>
      </c>
      <c r="D62" s="63">
        <f t="shared" si="0"/>
        <v>206.9675</v>
      </c>
      <c r="E62" s="79"/>
      <c r="F62" s="77"/>
      <c r="G62" s="121"/>
      <c r="H62" s="77">
        <f>H59</f>
        <v>16.545000000000002</v>
      </c>
      <c r="I62" s="77">
        <f>I61</f>
        <v>5.0730000000000004</v>
      </c>
      <c r="J62" s="77">
        <f>J61</f>
        <v>5.0730000000000004</v>
      </c>
      <c r="K62" s="77">
        <f>K52</f>
        <v>1.56</v>
      </c>
      <c r="L62" s="77">
        <f>L52</f>
        <v>2.379</v>
      </c>
      <c r="M62" s="77">
        <f>M52</f>
        <v>3.3540000000000001</v>
      </c>
      <c r="N62" s="77">
        <f>N52</f>
        <v>3.3540000000000001</v>
      </c>
      <c r="O62" s="77">
        <f>O51</f>
        <v>14.0505</v>
      </c>
      <c r="P62" s="77">
        <f>P51</f>
        <v>14.0505</v>
      </c>
      <c r="Q62" s="77">
        <f>Q52</f>
        <v>9.1013999999999999</v>
      </c>
      <c r="R62" s="77">
        <f>R52+R117</f>
        <v>3.8339999999999996</v>
      </c>
      <c r="S62" s="77">
        <f>S59</f>
        <v>20.602800000000002</v>
      </c>
      <c r="T62" s="121">
        <f>T59</f>
        <v>32.4756</v>
      </c>
      <c r="U62" s="121"/>
      <c r="V62" s="77">
        <f>V59</f>
        <v>3.4449999999999998</v>
      </c>
      <c r="W62" s="121"/>
      <c r="X62" s="121"/>
      <c r="Y62" s="77">
        <f>Y59</f>
        <v>22.652700000000003</v>
      </c>
      <c r="Z62" s="121"/>
      <c r="AA62" s="77">
        <f>AA59</f>
        <v>12.512</v>
      </c>
      <c r="AB62" s="77">
        <f>AB59</f>
        <v>13.754</v>
      </c>
      <c r="AC62" s="121">
        <f>AC59</f>
        <v>0</v>
      </c>
      <c r="AD62" s="77">
        <f>AD59</f>
        <v>23.151000000000003</v>
      </c>
      <c r="AE62" s="77"/>
    </row>
    <row r="63" spans="1:32" s="78" customFormat="1" ht="63">
      <c r="A63" s="113">
        <v>57</v>
      </c>
      <c r="B63" s="81" t="s">
        <v>228</v>
      </c>
      <c r="C63" s="82" t="s">
        <v>0</v>
      </c>
      <c r="D63" s="63">
        <f t="shared" si="0"/>
        <v>10.714000000000002</v>
      </c>
      <c r="E63" s="79"/>
      <c r="F63" s="77"/>
      <c r="G63" s="121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121"/>
      <c r="U63" s="121"/>
      <c r="V63" s="77">
        <f>10*0.3*(1+1.02)+0.17*(10*1.02+11*1)</f>
        <v>9.6640000000000015</v>
      </c>
      <c r="W63" s="121"/>
      <c r="X63" s="121"/>
      <c r="Y63" s="77"/>
      <c r="Z63" s="121"/>
      <c r="AA63" s="77"/>
      <c r="AB63" s="77"/>
      <c r="AC63" s="121"/>
      <c r="AD63" s="77">
        <f>1*(2*0.3+3*0.15)</f>
        <v>1.0499999999999998</v>
      </c>
      <c r="AE63" s="77"/>
    </row>
    <row r="64" spans="1:32" s="78" customFormat="1" ht="63">
      <c r="A64" s="113">
        <v>58</v>
      </c>
      <c r="B64" s="81" t="s">
        <v>221</v>
      </c>
      <c r="C64" s="82" t="s">
        <v>60</v>
      </c>
      <c r="D64" s="63">
        <f t="shared" si="0"/>
        <v>249.64</v>
      </c>
      <c r="E64" s="79" t="s">
        <v>140</v>
      </c>
      <c r="F64" s="77"/>
      <c r="G64" s="121"/>
      <c r="H64" s="77"/>
      <c r="I64" s="77"/>
      <c r="J64" s="77"/>
      <c r="K64" s="77"/>
      <c r="L64" s="77"/>
      <c r="M64" s="77"/>
      <c r="N64" s="77"/>
      <c r="O64" s="77">
        <f>2*(4.93+2.85)-2*0.71-0.91</f>
        <v>13.229999999999999</v>
      </c>
      <c r="P64" s="77">
        <f>2*(4.93+2.85)-2*0.71-0.91</f>
        <v>13.229999999999999</v>
      </c>
      <c r="Q64" s="77">
        <f>2*(1.97+4.5)-4*0.91</f>
        <v>9.2999999999999989</v>
      </c>
      <c r="R64" s="77">
        <f>2*(1.2+1.97)-0.91-1.09</f>
        <v>4.34</v>
      </c>
      <c r="S64" s="77"/>
      <c r="T64" s="121">
        <f>2*(5.57+5.8)-1.98</f>
        <v>20.76</v>
      </c>
      <c r="U64" s="121">
        <f>2*(5.66+4.58+1.26)-1</f>
        <v>22</v>
      </c>
      <c r="V64" s="77">
        <f>0.3*2*10+0.17*(10+11)+2.65+1.3</f>
        <v>13.520000000000001</v>
      </c>
      <c r="W64" s="121">
        <f>2*(6+5.83+0.4)-0.91</f>
        <v>23.55</v>
      </c>
      <c r="X64" s="121">
        <f>2*(2.84+4.69)-0.91</f>
        <v>14.15</v>
      </c>
      <c r="Y64" s="77">
        <f>2*(4.83+4.69+0.4)-0.91</f>
        <v>18.93</v>
      </c>
      <c r="Z64" s="121">
        <f>2*(3.94+4.69)-0.91</f>
        <v>16.350000000000001</v>
      </c>
      <c r="AA64" s="77">
        <f>2*(2.72+4.6)-0.91</f>
        <v>13.73</v>
      </c>
      <c r="AB64" s="77">
        <f>2*(2.99+4.6)-2*0.91</f>
        <v>13.36</v>
      </c>
      <c r="AC64" s="121">
        <f>2*(5.79+4.61)-0.91</f>
        <v>19.89</v>
      </c>
      <c r="AD64" s="77">
        <f>2*12+6*0.15+0.4+8</f>
        <v>33.299999999999997</v>
      </c>
      <c r="AE64" s="77"/>
    </row>
    <row r="65" spans="1:32" s="78" customFormat="1" ht="18.75">
      <c r="A65" s="113">
        <v>59</v>
      </c>
      <c r="B65" s="81" t="s">
        <v>222</v>
      </c>
      <c r="C65" s="82" t="s">
        <v>60</v>
      </c>
      <c r="D65" s="63">
        <f t="shared" si="0"/>
        <v>36.03</v>
      </c>
      <c r="E65" s="79"/>
      <c r="F65" s="77"/>
      <c r="G65" s="121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121"/>
      <c r="U65" s="121"/>
      <c r="V65" s="77"/>
      <c r="W65" s="121"/>
      <c r="X65" s="121"/>
      <c r="Y65" s="77">
        <f>2*(4.83+4.69+0.4)-0.91</f>
        <v>18.93</v>
      </c>
      <c r="Z65" s="121"/>
      <c r="AA65" s="77"/>
      <c r="AB65" s="77"/>
      <c r="AC65" s="121"/>
      <c r="AD65" s="77"/>
      <c r="AE65" s="77">
        <f>2*(6+3)-0.9</f>
        <v>17.100000000000001</v>
      </c>
    </row>
    <row r="66" spans="1:32" ht="31.5">
      <c r="A66" s="113">
        <v>60</v>
      </c>
      <c r="B66" s="88" t="s">
        <v>144</v>
      </c>
      <c r="C66" s="82" t="s">
        <v>14</v>
      </c>
      <c r="D66" s="63">
        <f t="shared" si="0"/>
        <v>1</v>
      </c>
      <c r="E66" s="79" t="s">
        <v>145</v>
      </c>
      <c r="F66" s="77"/>
      <c r="G66" s="121"/>
      <c r="H66" s="77">
        <v>0.2</v>
      </c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>
        <v>0.3</v>
      </c>
      <c r="T66" s="121">
        <v>0.3</v>
      </c>
      <c r="U66" s="121">
        <v>0.2</v>
      </c>
      <c r="V66" s="77"/>
      <c r="W66" s="121"/>
      <c r="X66" s="121"/>
      <c r="Y66" s="77"/>
      <c r="Z66" s="121"/>
      <c r="AA66" s="77"/>
      <c r="AB66" s="77"/>
      <c r="AC66" s="121"/>
      <c r="AD66" s="77"/>
      <c r="AE66" s="77"/>
      <c r="AF66" s="72"/>
    </row>
    <row r="67" spans="1:32" ht="18.75">
      <c r="A67" s="113">
        <v>61</v>
      </c>
      <c r="B67" s="74" t="s">
        <v>147</v>
      </c>
      <c r="C67" s="82"/>
      <c r="D67" s="63">
        <f t="shared" si="0"/>
        <v>0</v>
      </c>
      <c r="E67" s="79"/>
      <c r="F67" s="77"/>
      <c r="G67" s="121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121"/>
      <c r="U67" s="121"/>
      <c r="V67" s="77"/>
      <c r="W67" s="121"/>
      <c r="X67" s="121"/>
      <c r="Y67" s="77"/>
      <c r="Z67" s="121"/>
      <c r="AA67" s="77"/>
      <c r="AB67" s="77"/>
      <c r="AC67" s="121"/>
      <c r="AD67" s="77"/>
      <c r="AE67" s="77"/>
      <c r="AF67" s="72"/>
    </row>
    <row r="68" spans="1:32" ht="31.5">
      <c r="A68" s="113">
        <v>62</v>
      </c>
      <c r="B68" s="81" t="s">
        <v>148</v>
      </c>
      <c r="C68" s="82" t="s">
        <v>0</v>
      </c>
      <c r="D68" s="63">
        <f t="shared" si="0"/>
        <v>18.414000000000001</v>
      </c>
      <c r="E68" s="79"/>
      <c r="F68" s="77"/>
      <c r="G68" s="121"/>
      <c r="H68" s="77"/>
      <c r="I68" s="77">
        <f>2.85*1.78</f>
        <v>5.0730000000000004</v>
      </c>
      <c r="J68" s="77">
        <f>2.85*1.78</f>
        <v>5.0730000000000004</v>
      </c>
      <c r="K68" s="77">
        <f>0.8*1.95</f>
        <v>1.56</v>
      </c>
      <c r="L68" s="77"/>
      <c r="M68" s="77">
        <f>1.72*1.95</f>
        <v>3.3540000000000001</v>
      </c>
      <c r="N68" s="77">
        <f>1.72*1.95</f>
        <v>3.3540000000000001</v>
      </c>
      <c r="O68" s="77"/>
      <c r="P68" s="77"/>
      <c r="Q68" s="77"/>
      <c r="R68" s="77"/>
      <c r="S68" s="77"/>
      <c r="T68" s="121"/>
      <c r="U68" s="121"/>
      <c r="V68" s="77"/>
      <c r="W68" s="121"/>
      <c r="X68" s="121"/>
      <c r="Y68" s="77"/>
      <c r="Z68" s="121"/>
      <c r="AA68" s="77"/>
      <c r="AB68" s="77"/>
      <c r="AC68" s="121"/>
      <c r="AD68" s="77"/>
      <c r="AE68" s="77"/>
      <c r="AF68" s="72"/>
    </row>
    <row r="69" spans="1:32" ht="63">
      <c r="A69" s="113">
        <v>63</v>
      </c>
      <c r="B69" s="87" t="s">
        <v>148</v>
      </c>
      <c r="C69" s="82" t="s">
        <v>0</v>
      </c>
      <c r="D69" s="63">
        <f t="shared" si="0"/>
        <v>112.03810000000001</v>
      </c>
      <c r="E69" s="79" t="s">
        <v>159</v>
      </c>
      <c r="F69" s="77"/>
      <c r="G69" s="121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121"/>
      <c r="U69" s="121"/>
      <c r="V69" s="77"/>
      <c r="W69" s="121">
        <f>6*5.83</f>
        <v>34.980000000000004</v>
      </c>
      <c r="X69" s="121">
        <f>2.84*4.89</f>
        <v>13.887599999999999</v>
      </c>
      <c r="Y69" s="77"/>
      <c r="Z69" s="121">
        <f>3.94*4.69</f>
        <v>18.4786</v>
      </c>
      <c r="AA69" s="77"/>
      <c r="AB69" s="77"/>
      <c r="AC69" s="121">
        <f>5.79*4.61</f>
        <v>26.6919</v>
      </c>
      <c r="AD69" s="77"/>
      <c r="AE69" s="77">
        <f>6*3</f>
        <v>18</v>
      </c>
      <c r="AF69" s="72"/>
    </row>
    <row r="70" spans="1:32" ht="47.25">
      <c r="A70" s="113">
        <v>64</v>
      </c>
      <c r="B70" s="81" t="s">
        <v>170</v>
      </c>
      <c r="C70" s="82" t="s">
        <v>60</v>
      </c>
      <c r="D70" s="63">
        <f t="shared" si="0"/>
        <v>42</v>
      </c>
      <c r="E70" s="79" t="s">
        <v>172</v>
      </c>
      <c r="F70" s="77"/>
      <c r="G70" s="121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121"/>
      <c r="U70" s="121"/>
      <c r="V70" s="77"/>
      <c r="W70" s="121">
        <v>6</v>
      </c>
      <c r="X70" s="121">
        <v>6</v>
      </c>
      <c r="Y70" s="77">
        <v>6</v>
      </c>
      <c r="Z70" s="121">
        <v>6</v>
      </c>
      <c r="AA70" s="77"/>
      <c r="AB70" s="77">
        <v>6</v>
      </c>
      <c r="AC70" s="121">
        <v>6</v>
      </c>
      <c r="AD70" s="77"/>
      <c r="AE70" s="77">
        <f>2*3</f>
        <v>6</v>
      </c>
      <c r="AF70" s="72"/>
    </row>
    <row r="71" spans="1:32" ht="31.5">
      <c r="A71" s="113">
        <v>65</v>
      </c>
      <c r="B71" s="88" t="s">
        <v>149</v>
      </c>
      <c r="C71" s="73" t="s">
        <v>60</v>
      </c>
      <c r="D71" s="63">
        <f t="shared" si="0"/>
        <v>104.85000000000001</v>
      </c>
      <c r="E71" s="79" t="s">
        <v>150</v>
      </c>
      <c r="F71" s="77"/>
      <c r="G71" s="121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121"/>
      <c r="U71" s="121"/>
      <c r="V71" s="77"/>
      <c r="W71" s="121">
        <f>5*6</f>
        <v>30</v>
      </c>
      <c r="X71" s="121">
        <f>5*2.84</f>
        <v>14.2</v>
      </c>
      <c r="Y71" s="77"/>
      <c r="Z71" s="121">
        <f>5*3.94</f>
        <v>19.7</v>
      </c>
      <c r="AA71" s="77"/>
      <c r="AB71" s="77"/>
      <c r="AC71" s="121">
        <f>5*5.79</f>
        <v>28.95</v>
      </c>
      <c r="AD71" s="77"/>
      <c r="AE71" s="77">
        <f>2*6</f>
        <v>12</v>
      </c>
      <c r="AF71" s="72"/>
    </row>
    <row r="72" spans="1:32" ht="47.25">
      <c r="A72" s="113">
        <v>66</v>
      </c>
      <c r="B72" s="88" t="s">
        <v>158</v>
      </c>
      <c r="C72" s="82" t="s">
        <v>0</v>
      </c>
      <c r="D72" s="63">
        <f t="shared" si="0"/>
        <v>183.55609999999999</v>
      </c>
      <c r="E72" s="79"/>
      <c r="F72" s="77"/>
      <c r="G72" s="121"/>
      <c r="H72" s="77"/>
      <c r="I72" s="77"/>
      <c r="J72" s="77"/>
      <c r="K72" s="77">
        <f>K68</f>
        <v>1.56</v>
      </c>
      <c r="L72" s="77"/>
      <c r="M72" s="77"/>
      <c r="N72" s="77"/>
      <c r="O72" s="77">
        <f>4.93*2.85</f>
        <v>14.0505</v>
      </c>
      <c r="P72" s="77">
        <f>4.93*2.85</f>
        <v>14.0505</v>
      </c>
      <c r="Q72" s="77">
        <f>4.62*1.97</f>
        <v>9.1013999999999999</v>
      </c>
      <c r="R72" s="77">
        <f>1.2*1.97</f>
        <v>2.3639999999999999</v>
      </c>
      <c r="S72" s="77">
        <f>3.54*5.82</f>
        <v>20.602800000000002</v>
      </c>
      <c r="T72" s="121">
        <f>5.58*5.82</f>
        <v>32.4756</v>
      </c>
      <c r="U72" s="121">
        <f>5.66*4.59+1.26*2.02</f>
        <v>28.5246</v>
      </c>
      <c r="V72" s="77"/>
      <c r="W72" s="121"/>
      <c r="X72" s="121"/>
      <c r="Y72" s="77">
        <f>4.83*4.69</f>
        <v>22.652700000000003</v>
      </c>
      <c r="Z72" s="121"/>
      <c r="AA72" s="77">
        <f>2.7*4.6</f>
        <v>12.42</v>
      </c>
      <c r="AB72" s="77">
        <f>2.99*4.6</f>
        <v>13.754</v>
      </c>
      <c r="AC72" s="121"/>
      <c r="AD72" s="77">
        <f>12*1</f>
        <v>12</v>
      </c>
      <c r="AE72" s="77"/>
      <c r="AF72" s="72"/>
    </row>
    <row r="73" spans="1:32" ht="31.5">
      <c r="A73" s="113">
        <v>67</v>
      </c>
      <c r="B73" s="88" t="s">
        <v>202</v>
      </c>
      <c r="C73" s="82" t="s">
        <v>0</v>
      </c>
      <c r="D73" s="63">
        <f t="shared" si="0"/>
        <v>32.699000000000005</v>
      </c>
      <c r="E73" s="79"/>
      <c r="F73" s="77"/>
      <c r="G73" s="121"/>
      <c r="H73" s="77">
        <f>5.82*2.75-0.4*0.4</f>
        <v>15.845000000000002</v>
      </c>
      <c r="I73" s="77">
        <f>I68</f>
        <v>5.0730000000000004</v>
      </c>
      <c r="J73" s="77">
        <f>J68</f>
        <v>5.0730000000000004</v>
      </c>
      <c r="K73" s="77"/>
      <c r="L73" s="77"/>
      <c r="M73" s="77">
        <f>M68</f>
        <v>3.3540000000000001</v>
      </c>
      <c r="N73" s="77">
        <f>N68</f>
        <v>3.3540000000000001</v>
      </c>
      <c r="O73" s="77"/>
      <c r="P73" s="77"/>
      <c r="Q73" s="77"/>
      <c r="R73" s="77"/>
      <c r="S73" s="77"/>
      <c r="T73" s="121"/>
      <c r="U73" s="121"/>
      <c r="V73" s="77"/>
      <c r="W73" s="121"/>
      <c r="X73" s="121"/>
      <c r="Y73" s="77"/>
      <c r="Z73" s="121"/>
      <c r="AA73" s="77"/>
      <c r="AB73" s="77"/>
      <c r="AC73" s="121"/>
      <c r="AD73" s="77"/>
      <c r="AE73" s="77"/>
      <c r="AF73" s="72"/>
    </row>
    <row r="74" spans="1:32" ht="31.5">
      <c r="A74" s="113">
        <v>68</v>
      </c>
      <c r="B74" s="88" t="s">
        <v>154</v>
      </c>
      <c r="C74" s="82" t="s">
        <v>0</v>
      </c>
      <c r="D74" s="63">
        <f t="shared" si="0"/>
        <v>183.55609999999999</v>
      </c>
      <c r="E74" s="79" t="s">
        <v>160</v>
      </c>
      <c r="F74" s="77"/>
      <c r="G74" s="121"/>
      <c r="H74" s="77"/>
      <c r="I74" s="77"/>
      <c r="J74" s="77"/>
      <c r="K74" s="77">
        <f>K72</f>
        <v>1.56</v>
      </c>
      <c r="L74" s="77"/>
      <c r="M74" s="77"/>
      <c r="N74" s="77"/>
      <c r="O74" s="77">
        <f t="shared" ref="O74:U74" si="4">O72</f>
        <v>14.0505</v>
      </c>
      <c r="P74" s="77">
        <f t="shared" si="4"/>
        <v>14.0505</v>
      </c>
      <c r="Q74" s="77">
        <f t="shared" si="4"/>
        <v>9.1013999999999999</v>
      </c>
      <c r="R74" s="77">
        <f t="shared" si="4"/>
        <v>2.3639999999999999</v>
      </c>
      <c r="S74" s="77">
        <f t="shared" si="4"/>
        <v>20.602800000000002</v>
      </c>
      <c r="T74" s="121">
        <f t="shared" si="4"/>
        <v>32.4756</v>
      </c>
      <c r="U74" s="121">
        <f t="shared" si="4"/>
        <v>28.5246</v>
      </c>
      <c r="V74" s="77"/>
      <c r="W74" s="121"/>
      <c r="X74" s="121"/>
      <c r="Y74" s="77">
        <f>Y72</f>
        <v>22.652700000000003</v>
      </c>
      <c r="Z74" s="121"/>
      <c r="AA74" s="77">
        <f>AA72</f>
        <v>12.42</v>
      </c>
      <c r="AB74" s="77">
        <f>AB72</f>
        <v>13.754</v>
      </c>
      <c r="AC74" s="121"/>
      <c r="AD74" s="77">
        <f>AD72</f>
        <v>12</v>
      </c>
      <c r="AE74" s="77"/>
      <c r="AF74" s="72"/>
    </row>
    <row r="75" spans="1:32" ht="63">
      <c r="A75" s="113">
        <v>69</v>
      </c>
      <c r="B75" s="110" t="s">
        <v>175</v>
      </c>
      <c r="C75" s="82" t="s">
        <v>0</v>
      </c>
      <c r="D75" s="63">
        <f t="shared" si="0"/>
        <v>112.03810000000001</v>
      </c>
      <c r="E75" s="79" t="s">
        <v>159</v>
      </c>
      <c r="F75" s="77"/>
      <c r="G75" s="121"/>
      <c r="H75" s="77"/>
      <c r="I75" s="77"/>
      <c r="J75" s="77"/>
      <c r="L75" s="77"/>
      <c r="M75" s="77"/>
      <c r="N75" s="77"/>
      <c r="O75" s="77"/>
      <c r="P75" s="77"/>
      <c r="Q75" s="77"/>
      <c r="R75" s="77"/>
      <c r="S75" s="77"/>
      <c r="T75" s="121"/>
      <c r="U75" s="121"/>
      <c r="V75" s="77"/>
      <c r="W75" s="121">
        <f>W69</f>
        <v>34.980000000000004</v>
      </c>
      <c r="X75" s="121">
        <f>X69</f>
        <v>13.887599999999999</v>
      </c>
      <c r="Y75" s="77"/>
      <c r="Z75" s="121">
        <f>Z69</f>
        <v>18.4786</v>
      </c>
      <c r="AA75" s="77"/>
      <c r="AB75" s="77"/>
      <c r="AC75" s="121">
        <f>AC69</f>
        <v>26.6919</v>
      </c>
      <c r="AD75" s="77"/>
      <c r="AE75" s="77">
        <f>AE69</f>
        <v>18</v>
      </c>
      <c r="AF75" s="72"/>
    </row>
    <row r="76" spans="1:32" ht="63">
      <c r="A76" s="113">
        <v>70</v>
      </c>
      <c r="B76" s="88" t="s">
        <v>173</v>
      </c>
      <c r="C76" s="73" t="s">
        <v>60</v>
      </c>
      <c r="D76" s="63">
        <f t="shared" si="0"/>
        <v>42</v>
      </c>
      <c r="E76" s="79" t="s">
        <v>171</v>
      </c>
      <c r="F76" s="77">
        <f>F73</f>
        <v>0</v>
      </c>
      <c r="G76" s="121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121"/>
      <c r="U76" s="121"/>
      <c r="V76" s="77"/>
      <c r="W76" s="121">
        <f>W70</f>
        <v>6</v>
      </c>
      <c r="X76" s="121">
        <f>X70</f>
        <v>6</v>
      </c>
      <c r="Y76" s="77">
        <v>6</v>
      </c>
      <c r="Z76" s="121">
        <f>Z70</f>
        <v>6</v>
      </c>
      <c r="AA76" s="77"/>
      <c r="AB76" s="77">
        <v>6</v>
      </c>
      <c r="AC76" s="121">
        <v>6</v>
      </c>
      <c r="AD76" s="77"/>
      <c r="AE76" s="77">
        <f>AE70</f>
        <v>6</v>
      </c>
      <c r="AF76" s="72"/>
    </row>
    <row r="77" spans="1:32" ht="47.25">
      <c r="A77" s="113">
        <v>71</v>
      </c>
      <c r="B77" s="81" t="s">
        <v>155</v>
      </c>
      <c r="C77" s="82" t="s">
        <v>0</v>
      </c>
      <c r="D77" s="63">
        <f t="shared" ref="D77:D122" si="5">SUM(F77:AE77)</f>
        <v>183.55609999999999</v>
      </c>
      <c r="E77" s="79" t="s">
        <v>160</v>
      </c>
      <c r="F77" s="77"/>
      <c r="G77" s="121"/>
      <c r="H77" s="77"/>
      <c r="I77" s="77"/>
      <c r="J77" s="77"/>
      <c r="K77" s="77">
        <f>K74</f>
        <v>1.56</v>
      </c>
      <c r="L77" s="77"/>
      <c r="M77" s="77"/>
      <c r="N77" s="77"/>
      <c r="O77" s="77">
        <f>O74</f>
        <v>14.0505</v>
      </c>
      <c r="P77" s="77">
        <f>P74</f>
        <v>14.0505</v>
      </c>
      <c r="Q77" s="77">
        <f>Q74</f>
        <v>9.1013999999999999</v>
      </c>
      <c r="R77" s="77">
        <f>R72</f>
        <v>2.3639999999999999</v>
      </c>
      <c r="S77" s="77">
        <f>S72</f>
        <v>20.602800000000002</v>
      </c>
      <c r="T77" s="121">
        <f>T72</f>
        <v>32.4756</v>
      </c>
      <c r="U77" s="121">
        <f>U74</f>
        <v>28.5246</v>
      </c>
      <c r="V77" s="77"/>
      <c r="W77" s="121"/>
      <c r="X77" s="121"/>
      <c r="Y77" s="77">
        <f>Y74</f>
        <v>22.652700000000003</v>
      </c>
      <c r="Z77" s="121"/>
      <c r="AA77" s="77">
        <f>AA74</f>
        <v>12.42</v>
      </c>
      <c r="AB77" s="77">
        <f>AB74</f>
        <v>13.754</v>
      </c>
      <c r="AC77" s="121"/>
      <c r="AD77" s="77">
        <f>AD74</f>
        <v>12</v>
      </c>
      <c r="AE77" s="77"/>
      <c r="AF77" s="72"/>
    </row>
    <row r="78" spans="1:32" ht="63">
      <c r="A78" s="113">
        <v>72</v>
      </c>
      <c r="B78" s="87" t="s">
        <v>155</v>
      </c>
      <c r="C78" s="82" t="s">
        <v>0</v>
      </c>
      <c r="D78" s="63">
        <f t="shared" si="5"/>
        <v>112.03810000000001</v>
      </c>
      <c r="E78" s="79" t="s">
        <v>159</v>
      </c>
      <c r="F78" s="77"/>
      <c r="G78" s="121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121"/>
      <c r="U78" s="121"/>
      <c r="V78" s="77"/>
      <c r="W78" s="121">
        <f>W75</f>
        <v>34.980000000000004</v>
      </c>
      <c r="X78" s="121">
        <f>X75</f>
        <v>13.887599999999999</v>
      </c>
      <c r="Y78" s="77"/>
      <c r="Z78" s="121">
        <f>Z75</f>
        <v>18.4786</v>
      </c>
      <c r="AA78" s="77"/>
      <c r="AB78" s="77"/>
      <c r="AC78" s="121">
        <f>AC75</f>
        <v>26.6919</v>
      </c>
      <c r="AD78" s="77"/>
      <c r="AE78" s="77">
        <f>AE75</f>
        <v>18</v>
      </c>
      <c r="AF78" s="72"/>
    </row>
    <row r="79" spans="1:32" ht="63">
      <c r="A79" s="113">
        <v>73</v>
      </c>
      <c r="B79" s="81" t="s">
        <v>176</v>
      </c>
      <c r="C79" s="73" t="s">
        <v>60</v>
      </c>
      <c r="D79" s="63">
        <f t="shared" si="5"/>
        <v>42</v>
      </c>
      <c r="E79" s="79" t="s">
        <v>171</v>
      </c>
      <c r="F79" s="77">
        <f>F73</f>
        <v>0</v>
      </c>
      <c r="G79" s="121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121"/>
      <c r="U79" s="121"/>
      <c r="V79" s="77"/>
      <c r="W79" s="121">
        <f>W76</f>
        <v>6</v>
      </c>
      <c r="X79" s="121">
        <f>X76</f>
        <v>6</v>
      </c>
      <c r="Y79" s="77">
        <f>Y76</f>
        <v>6</v>
      </c>
      <c r="Z79" s="121">
        <f>Z76</f>
        <v>6</v>
      </c>
      <c r="AA79" s="77"/>
      <c r="AB79" s="77">
        <f>AB76</f>
        <v>6</v>
      </c>
      <c r="AC79" s="121">
        <v>6</v>
      </c>
      <c r="AD79" s="77"/>
      <c r="AE79" s="77">
        <f>AE76</f>
        <v>6</v>
      </c>
      <c r="AF79" s="72"/>
    </row>
    <row r="80" spans="1:32">
      <c r="A80" s="113">
        <v>74</v>
      </c>
      <c r="B80" s="81" t="s">
        <v>197</v>
      </c>
      <c r="C80" s="82" t="s">
        <v>14</v>
      </c>
      <c r="D80" s="63">
        <f t="shared" si="5"/>
        <v>0.21987999999999999</v>
      </c>
      <c r="E80" s="79"/>
      <c r="F80" s="77"/>
      <c r="G80" s="121">
        <f>(8.99*4*3+5.6*4*5)/1000</f>
        <v>0.21987999999999999</v>
      </c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121"/>
      <c r="U80" s="121"/>
      <c r="V80" s="77"/>
      <c r="W80" s="121"/>
      <c r="X80" s="121"/>
      <c r="Y80" s="77"/>
      <c r="Z80" s="121"/>
      <c r="AA80" s="77"/>
      <c r="AB80" s="77"/>
      <c r="AC80" s="121"/>
      <c r="AD80" s="77"/>
      <c r="AE80" s="77"/>
      <c r="AF80" s="72"/>
    </row>
    <row r="81" spans="1:32">
      <c r="A81" s="113">
        <v>75</v>
      </c>
      <c r="B81" s="81" t="s">
        <v>198</v>
      </c>
      <c r="C81" s="82" t="s">
        <v>0</v>
      </c>
      <c r="D81" s="63">
        <f t="shared" si="5"/>
        <v>31.050000000000004</v>
      </c>
      <c r="E81" s="79"/>
      <c r="F81" s="77"/>
      <c r="G81" s="121">
        <f>3.27*5+2.45*3*2</f>
        <v>31.050000000000004</v>
      </c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121"/>
      <c r="U81" s="121"/>
      <c r="V81" s="77"/>
      <c r="W81" s="121"/>
      <c r="X81" s="121"/>
      <c r="Y81" s="77"/>
      <c r="Z81" s="121"/>
      <c r="AA81" s="77"/>
      <c r="AB81" s="77"/>
      <c r="AC81" s="121"/>
      <c r="AD81" s="77"/>
      <c r="AE81" s="77"/>
      <c r="AF81" s="72"/>
    </row>
    <row r="82" spans="1:32">
      <c r="A82" s="113">
        <v>76</v>
      </c>
      <c r="B82" s="81" t="s">
        <v>199</v>
      </c>
      <c r="C82" s="82" t="s">
        <v>0</v>
      </c>
      <c r="D82" s="63">
        <f t="shared" si="5"/>
        <v>31.050000000000004</v>
      </c>
      <c r="E82" s="79"/>
      <c r="F82" s="77"/>
      <c r="G82" s="121">
        <f>G81</f>
        <v>31.050000000000004</v>
      </c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121"/>
      <c r="U82" s="121"/>
      <c r="V82" s="77"/>
      <c r="W82" s="121"/>
      <c r="X82" s="121"/>
      <c r="Y82" s="77"/>
      <c r="Z82" s="121"/>
      <c r="AA82" s="77"/>
      <c r="AB82" s="77"/>
      <c r="AC82" s="121"/>
      <c r="AD82" s="77"/>
      <c r="AE82" s="77"/>
      <c r="AF82" s="72"/>
    </row>
    <row r="83" spans="1:32">
      <c r="A83" s="113">
        <v>77</v>
      </c>
      <c r="B83" s="81" t="s">
        <v>200</v>
      </c>
      <c r="C83" s="82" t="s">
        <v>0</v>
      </c>
      <c r="D83" s="63">
        <f t="shared" si="5"/>
        <v>23.700000000000003</v>
      </c>
      <c r="E83" s="79"/>
      <c r="F83" s="77"/>
      <c r="G83" s="121">
        <f>3.27*5+2.45*3</f>
        <v>23.700000000000003</v>
      </c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121"/>
      <c r="U83" s="121"/>
      <c r="V83" s="77"/>
      <c r="W83" s="121"/>
      <c r="X83" s="121"/>
      <c r="Y83" s="77"/>
      <c r="Z83" s="121"/>
      <c r="AA83" s="77"/>
      <c r="AB83" s="77"/>
      <c r="AC83" s="121"/>
      <c r="AD83" s="77"/>
      <c r="AE83" s="77"/>
      <c r="AF83" s="72"/>
    </row>
    <row r="84" spans="1:32">
      <c r="A84" s="113">
        <v>78</v>
      </c>
      <c r="B84" s="81" t="s">
        <v>196</v>
      </c>
      <c r="C84" s="82" t="s">
        <v>60</v>
      </c>
      <c r="D84" s="63">
        <f t="shared" si="5"/>
        <v>10</v>
      </c>
      <c r="E84" s="79"/>
      <c r="F84" s="77"/>
      <c r="G84" s="121">
        <v>10</v>
      </c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121"/>
      <c r="U84" s="121"/>
      <c r="V84" s="77"/>
      <c r="W84" s="121"/>
      <c r="X84" s="121"/>
      <c r="Y84" s="77"/>
      <c r="Z84" s="121"/>
      <c r="AA84" s="77"/>
      <c r="AB84" s="77"/>
      <c r="AC84" s="121"/>
      <c r="AD84" s="77"/>
      <c r="AE84" s="77"/>
      <c r="AF84" s="72"/>
    </row>
    <row r="85" spans="1:32" s="78" customFormat="1" ht="47.25">
      <c r="A85" s="113">
        <v>79</v>
      </c>
      <c r="B85" s="74" t="s">
        <v>165</v>
      </c>
      <c r="C85" s="75"/>
      <c r="D85" s="63">
        <f t="shared" si="5"/>
        <v>0</v>
      </c>
      <c r="E85" s="76" t="s">
        <v>187</v>
      </c>
      <c r="F85" s="77"/>
      <c r="G85" s="121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121"/>
      <c r="U85" s="121"/>
      <c r="V85" s="77"/>
      <c r="W85" s="121"/>
      <c r="X85" s="121"/>
      <c r="Y85" s="77"/>
      <c r="Z85" s="121"/>
      <c r="AA85" s="77"/>
      <c r="AB85" s="77"/>
      <c r="AC85" s="121"/>
      <c r="AD85" s="77"/>
      <c r="AE85" s="77"/>
      <c r="AF85" s="72"/>
    </row>
    <row r="86" spans="1:32" s="78" customFormat="1" ht="18.75">
      <c r="A86" s="113">
        <v>80</v>
      </c>
      <c r="B86" s="74" t="s">
        <v>56</v>
      </c>
      <c r="C86" s="75"/>
      <c r="D86" s="63">
        <f t="shared" si="5"/>
        <v>0</v>
      </c>
      <c r="E86" s="79"/>
      <c r="F86" s="77"/>
      <c r="G86" s="119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119"/>
      <c r="U86" s="119"/>
      <c r="V86" s="80"/>
      <c r="W86" s="119"/>
      <c r="X86" s="119"/>
      <c r="Y86" s="80"/>
      <c r="Z86" s="119"/>
      <c r="AA86" s="80"/>
      <c r="AB86" s="80"/>
      <c r="AC86" s="119"/>
      <c r="AD86" s="80"/>
      <c r="AE86" s="80"/>
      <c r="AF86" s="72"/>
    </row>
    <row r="87" spans="1:32" ht="31.5">
      <c r="A87" s="113">
        <v>81</v>
      </c>
      <c r="B87" s="81" t="s">
        <v>63</v>
      </c>
      <c r="C87" s="82" t="s">
        <v>0</v>
      </c>
      <c r="D87" s="63">
        <f t="shared" si="5"/>
        <v>293.65800000000002</v>
      </c>
      <c r="E87" s="79"/>
      <c r="F87" s="77">
        <f>2*5.3*(6.22+20.71)+5.1*(0.42*4+2*0.42*3+2*0.1*6)-4*1.1-2.48*3-2.5*3</f>
        <v>293.65800000000002</v>
      </c>
      <c r="G87" s="120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120"/>
      <c r="U87" s="120"/>
      <c r="V87" s="83"/>
      <c r="W87" s="120"/>
      <c r="X87" s="120"/>
      <c r="Y87" s="83"/>
      <c r="Z87" s="120"/>
      <c r="AA87" s="83"/>
      <c r="AB87" s="83"/>
      <c r="AC87" s="120"/>
      <c r="AD87" s="83"/>
      <c r="AE87" s="83"/>
      <c r="AF87" s="72"/>
    </row>
    <row r="88" spans="1:32" ht="31.5">
      <c r="A88" s="113">
        <v>82</v>
      </c>
      <c r="B88" s="81" t="s">
        <v>180</v>
      </c>
      <c r="C88" s="82" t="s">
        <v>66</v>
      </c>
      <c r="D88" s="63">
        <f t="shared" si="5"/>
        <v>20</v>
      </c>
      <c r="E88" s="79" t="s">
        <v>181</v>
      </c>
      <c r="F88" s="77">
        <v>20</v>
      </c>
      <c r="G88" s="121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121"/>
      <c r="U88" s="121"/>
      <c r="V88" s="77"/>
      <c r="W88" s="121"/>
      <c r="X88" s="121"/>
      <c r="Y88" s="77"/>
      <c r="Z88" s="121"/>
      <c r="AA88" s="77"/>
      <c r="AB88" s="77"/>
      <c r="AC88" s="121"/>
      <c r="AD88" s="77"/>
      <c r="AE88" s="77"/>
      <c r="AF88" s="72"/>
    </row>
    <row r="89" spans="1:32" ht="31.5">
      <c r="A89" s="113">
        <v>83</v>
      </c>
      <c r="B89" s="81" t="s">
        <v>131</v>
      </c>
      <c r="C89" s="82" t="s">
        <v>0</v>
      </c>
      <c r="D89" s="63">
        <f t="shared" si="5"/>
        <v>0</v>
      </c>
      <c r="E89" s="79" t="s">
        <v>130</v>
      </c>
      <c r="F89" s="77"/>
      <c r="G89" s="121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121"/>
      <c r="U89" s="121"/>
      <c r="V89" s="77"/>
      <c r="W89" s="121"/>
      <c r="X89" s="121"/>
      <c r="Y89" s="77"/>
      <c r="Z89" s="121"/>
      <c r="AA89" s="77"/>
      <c r="AB89" s="77"/>
      <c r="AC89" s="121"/>
      <c r="AD89" s="77"/>
      <c r="AE89" s="77"/>
      <c r="AF89" s="72"/>
    </row>
    <row r="90" spans="1:32" ht="47.25">
      <c r="A90" s="113">
        <v>84</v>
      </c>
      <c r="B90" s="88" t="s">
        <v>188</v>
      </c>
      <c r="C90" s="82" t="s">
        <v>0</v>
      </c>
      <c r="D90" s="63">
        <f t="shared" si="5"/>
        <v>70.640000000000015</v>
      </c>
      <c r="E90" s="79" t="s">
        <v>166</v>
      </c>
      <c r="F90" s="77">
        <f>2*((6.22+20.71+(20.71-2.45)+1.5)-3.01-2.48-1.98-0.4*9-0.1*3)</f>
        <v>70.640000000000015</v>
      </c>
      <c r="G90" s="121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121"/>
      <c r="U90" s="121"/>
      <c r="V90" s="77"/>
      <c r="W90" s="121"/>
      <c r="X90" s="121"/>
      <c r="Y90" s="77"/>
      <c r="Z90" s="121"/>
      <c r="AA90" s="77"/>
      <c r="AB90" s="77"/>
      <c r="AC90" s="121"/>
      <c r="AD90" s="77"/>
      <c r="AE90" s="77"/>
      <c r="AF90" s="72"/>
    </row>
    <row r="91" spans="1:32" ht="47.25">
      <c r="A91" s="113">
        <v>85</v>
      </c>
      <c r="B91" s="88" t="s">
        <v>189</v>
      </c>
      <c r="C91" s="82" t="s">
        <v>0</v>
      </c>
      <c r="D91" s="63">
        <f t="shared" si="5"/>
        <v>192.804</v>
      </c>
      <c r="E91" s="79" t="s">
        <v>167</v>
      </c>
      <c r="F91" s="77">
        <f>(5.3-2)*2*20.71+6.22*(6.4-2+3.5)-((5.3-2)*(0.4*9+0.1*2)+3.01*(3-2)+1.98*(2.5-2)+2.48*(3-2)-4*1-1*2)+20</f>
        <v>192.804</v>
      </c>
      <c r="G91" s="121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121"/>
      <c r="U91" s="121"/>
      <c r="V91" s="77"/>
      <c r="W91" s="121"/>
      <c r="X91" s="121"/>
      <c r="Y91" s="77"/>
      <c r="Z91" s="121"/>
      <c r="AA91" s="77"/>
      <c r="AB91" s="77"/>
      <c r="AC91" s="121"/>
      <c r="AD91" s="77"/>
      <c r="AE91" s="77"/>
      <c r="AF91" s="72"/>
    </row>
    <row r="92" spans="1:32" ht="47.25">
      <c r="A92" s="113">
        <v>86</v>
      </c>
      <c r="B92" s="88" t="s">
        <v>190</v>
      </c>
      <c r="C92" s="82" t="s">
        <v>0</v>
      </c>
      <c r="D92" s="63">
        <f t="shared" si="5"/>
        <v>18.8</v>
      </c>
      <c r="E92" s="79" t="s">
        <v>166</v>
      </c>
      <c r="F92" s="77">
        <f>2*(0.45*(4+2*3+1*8)+0.1*13)</f>
        <v>18.8</v>
      </c>
      <c r="G92" s="121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121"/>
      <c r="U92" s="121"/>
      <c r="V92" s="77"/>
      <c r="W92" s="121"/>
      <c r="X92" s="121"/>
      <c r="Y92" s="77"/>
      <c r="Z92" s="121"/>
      <c r="AA92" s="77"/>
      <c r="AB92" s="77"/>
      <c r="AC92" s="121"/>
      <c r="AD92" s="77"/>
      <c r="AE92" s="77"/>
      <c r="AF92" s="72"/>
    </row>
    <row r="93" spans="1:32" ht="52.5" customHeight="1">
      <c r="A93" s="113">
        <v>87</v>
      </c>
      <c r="B93" s="88" t="s">
        <v>191</v>
      </c>
      <c r="C93" s="82" t="s">
        <v>0</v>
      </c>
      <c r="D93" s="63">
        <f t="shared" si="5"/>
        <v>32.505000000000003</v>
      </c>
      <c r="E93" s="79" t="s">
        <v>167</v>
      </c>
      <c r="F93" s="77">
        <f>(5.3-2)*(0.45*(4*2+3*1+1*8)+0.1*13)</f>
        <v>32.505000000000003</v>
      </c>
      <c r="G93" s="121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121"/>
      <c r="U93" s="121"/>
      <c r="V93" s="77"/>
      <c r="W93" s="121"/>
      <c r="X93" s="121"/>
      <c r="Y93" s="77"/>
      <c r="Z93" s="121"/>
      <c r="AA93" s="77"/>
      <c r="AB93" s="77"/>
      <c r="AC93" s="121"/>
      <c r="AD93" s="77"/>
      <c r="AE93" s="77"/>
      <c r="AF93" s="72"/>
    </row>
    <row r="94" spans="1:32" ht="63">
      <c r="A94" s="113">
        <v>88</v>
      </c>
      <c r="B94" s="81" t="s">
        <v>134</v>
      </c>
      <c r="C94" s="73" t="s">
        <v>60</v>
      </c>
      <c r="D94" s="63">
        <f t="shared" si="5"/>
        <v>19.600000000000001</v>
      </c>
      <c r="E94" s="79" t="s">
        <v>168</v>
      </c>
      <c r="F94" s="77">
        <f>2*((4+1.3)+(3+1.5))</f>
        <v>19.600000000000001</v>
      </c>
      <c r="G94" s="121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121"/>
      <c r="U94" s="121"/>
      <c r="V94" s="77"/>
      <c r="W94" s="121"/>
      <c r="X94" s="121"/>
      <c r="Y94" s="77"/>
      <c r="Z94" s="121"/>
      <c r="AA94" s="77"/>
      <c r="AB94" s="77"/>
      <c r="AC94" s="121"/>
      <c r="AD94" s="77"/>
      <c r="AE94" s="77"/>
      <c r="AF94" s="72"/>
    </row>
    <row r="95" spans="1:32" ht="63">
      <c r="A95" s="113">
        <v>89</v>
      </c>
      <c r="B95" s="81" t="s">
        <v>169</v>
      </c>
      <c r="C95" s="73" t="s">
        <v>60</v>
      </c>
      <c r="D95" s="63">
        <f t="shared" si="5"/>
        <v>24.96</v>
      </c>
      <c r="E95" s="79"/>
      <c r="F95" s="77">
        <f>(3*2+3.5)+(3*2+2.48)+(2.5*2+1.98)</f>
        <v>24.96</v>
      </c>
      <c r="G95" s="121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121"/>
      <c r="U95" s="121"/>
      <c r="V95" s="77"/>
      <c r="W95" s="121"/>
      <c r="X95" s="121"/>
      <c r="Y95" s="77"/>
      <c r="Z95" s="121"/>
      <c r="AA95" s="77"/>
      <c r="AB95" s="77"/>
      <c r="AC95" s="121"/>
      <c r="AD95" s="77"/>
      <c r="AE95" s="77"/>
      <c r="AF95" s="72"/>
    </row>
    <row r="96" spans="1:32" ht="31.5">
      <c r="A96" s="113">
        <v>90</v>
      </c>
      <c r="B96" s="88" t="s">
        <v>151</v>
      </c>
      <c r="C96" s="82" t="s">
        <v>0</v>
      </c>
      <c r="D96" s="63">
        <f t="shared" si="5"/>
        <v>192.804</v>
      </c>
      <c r="E96" s="79" t="s">
        <v>167</v>
      </c>
      <c r="F96" s="77">
        <f>F91</f>
        <v>192.804</v>
      </c>
      <c r="G96" s="121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121"/>
      <c r="U96" s="121"/>
      <c r="V96" s="77"/>
      <c r="W96" s="121"/>
      <c r="X96" s="121"/>
      <c r="Y96" s="77"/>
      <c r="Z96" s="121"/>
      <c r="AA96" s="77"/>
      <c r="AB96" s="77"/>
      <c r="AC96" s="121"/>
      <c r="AD96" s="77"/>
      <c r="AE96" s="77"/>
    </row>
    <row r="97" spans="1:32" ht="31.5">
      <c r="A97" s="113">
        <v>91</v>
      </c>
      <c r="B97" s="88" t="s">
        <v>152</v>
      </c>
      <c r="C97" s="82" t="s">
        <v>0</v>
      </c>
      <c r="D97" s="63">
        <f t="shared" si="5"/>
        <v>32.505000000000003</v>
      </c>
      <c r="E97" s="79" t="s">
        <v>167</v>
      </c>
      <c r="F97" s="77">
        <f>F93</f>
        <v>32.505000000000003</v>
      </c>
      <c r="G97" s="121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121"/>
      <c r="U97" s="121"/>
      <c r="V97" s="77"/>
      <c r="W97" s="121"/>
      <c r="X97" s="121"/>
      <c r="Y97" s="77"/>
      <c r="Z97" s="121"/>
      <c r="AA97" s="77"/>
      <c r="AB97" s="77"/>
      <c r="AC97" s="121"/>
      <c r="AD97" s="77"/>
      <c r="AE97" s="77"/>
    </row>
    <row r="98" spans="1:32" ht="47.25">
      <c r="A98" s="113">
        <v>92</v>
      </c>
      <c r="B98" s="81" t="s">
        <v>153</v>
      </c>
      <c r="C98" s="82" t="s">
        <v>0</v>
      </c>
      <c r="D98" s="63">
        <f t="shared" si="5"/>
        <v>225.309</v>
      </c>
      <c r="E98" s="79" t="s">
        <v>167</v>
      </c>
      <c r="F98" s="77">
        <f>F96+F97</f>
        <v>225.309</v>
      </c>
      <c r="G98" s="121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121"/>
      <c r="U98" s="121"/>
      <c r="V98" s="77"/>
      <c r="W98" s="121"/>
      <c r="X98" s="121"/>
      <c r="Y98" s="77"/>
      <c r="Z98" s="121"/>
      <c r="AA98" s="77"/>
      <c r="AB98" s="77"/>
      <c r="AC98" s="121"/>
      <c r="AD98" s="77"/>
      <c r="AE98" s="77"/>
    </row>
    <row r="99" spans="1:32" ht="63">
      <c r="A99" s="113">
        <v>93</v>
      </c>
      <c r="B99" s="88" t="s">
        <v>71</v>
      </c>
      <c r="C99" s="73" t="s">
        <v>0</v>
      </c>
      <c r="D99" s="63">
        <f t="shared" si="5"/>
        <v>70.640000000000015</v>
      </c>
      <c r="E99" s="79" t="s">
        <v>166</v>
      </c>
      <c r="F99" s="77">
        <f>F90</f>
        <v>70.640000000000015</v>
      </c>
      <c r="G99" s="121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121"/>
      <c r="U99" s="121"/>
      <c r="V99" s="77"/>
      <c r="W99" s="121"/>
      <c r="X99" s="121"/>
      <c r="Y99" s="77"/>
      <c r="Z99" s="121"/>
      <c r="AA99" s="77"/>
      <c r="AB99" s="77"/>
      <c r="AC99" s="121"/>
      <c r="AD99" s="77"/>
      <c r="AE99" s="77"/>
    </row>
    <row r="100" spans="1:32" ht="63">
      <c r="A100" s="113">
        <v>94</v>
      </c>
      <c r="B100" s="88" t="s">
        <v>70</v>
      </c>
      <c r="C100" s="73" t="s">
        <v>0</v>
      </c>
      <c r="D100" s="63">
        <f t="shared" si="5"/>
        <v>32.505000000000003</v>
      </c>
      <c r="E100" s="79" t="s">
        <v>166</v>
      </c>
      <c r="F100" s="77">
        <f>F93</f>
        <v>32.505000000000003</v>
      </c>
      <c r="G100" s="121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121"/>
      <c r="U100" s="121"/>
      <c r="V100" s="77"/>
      <c r="W100" s="121"/>
      <c r="X100" s="121"/>
      <c r="Y100" s="77"/>
      <c r="Z100" s="121"/>
      <c r="AA100" s="77"/>
      <c r="AB100" s="77"/>
      <c r="AC100" s="121"/>
      <c r="AD100" s="77"/>
      <c r="AE100" s="77"/>
    </row>
    <row r="101" spans="1:32" ht="31.5">
      <c r="A101" s="113">
        <v>95</v>
      </c>
      <c r="B101" s="88" t="s">
        <v>67</v>
      </c>
      <c r="C101" s="73" t="s">
        <v>60</v>
      </c>
      <c r="D101" s="63">
        <f t="shared" si="5"/>
        <v>42</v>
      </c>
      <c r="E101" s="79"/>
      <c r="F101" s="77">
        <f>2*21</f>
        <v>42</v>
      </c>
      <c r="G101" s="121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121"/>
      <c r="U101" s="121"/>
      <c r="V101" s="77"/>
      <c r="W101" s="121"/>
      <c r="X101" s="121"/>
      <c r="Y101" s="77"/>
      <c r="Z101" s="121"/>
      <c r="AA101" s="77"/>
      <c r="AB101" s="77"/>
      <c r="AC101" s="121"/>
      <c r="AD101" s="77"/>
      <c r="AE101" s="77"/>
      <c r="AF101" s="72"/>
    </row>
    <row r="102" spans="1:32" ht="18.75">
      <c r="A102" s="113">
        <v>96</v>
      </c>
      <c r="B102" s="74" t="s">
        <v>147</v>
      </c>
      <c r="C102" s="82"/>
      <c r="D102" s="63">
        <f t="shared" si="5"/>
        <v>0</v>
      </c>
      <c r="E102" s="79"/>
      <c r="F102" s="77"/>
      <c r="G102" s="121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121"/>
      <c r="U102" s="121"/>
      <c r="V102" s="77"/>
      <c r="W102" s="121"/>
      <c r="X102" s="121"/>
      <c r="Y102" s="77"/>
      <c r="Z102" s="121"/>
      <c r="AA102" s="77"/>
      <c r="AB102" s="77"/>
      <c r="AC102" s="121"/>
      <c r="AD102" s="77"/>
      <c r="AE102" s="77"/>
      <c r="AF102" s="72"/>
    </row>
    <row r="103" spans="1:32" ht="63">
      <c r="A103" s="113">
        <v>97</v>
      </c>
      <c r="B103" s="81" t="s">
        <v>148</v>
      </c>
      <c r="C103" s="82" t="s">
        <v>0</v>
      </c>
      <c r="D103" s="63">
        <f t="shared" si="5"/>
        <v>126</v>
      </c>
      <c r="E103" s="79" t="s">
        <v>159</v>
      </c>
      <c r="F103" s="77">
        <f>6*21</f>
        <v>126</v>
      </c>
      <c r="G103" s="121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121"/>
      <c r="U103" s="121"/>
      <c r="V103" s="77"/>
      <c r="W103" s="121"/>
      <c r="X103" s="121"/>
      <c r="Y103" s="77"/>
      <c r="Z103" s="121"/>
      <c r="AA103" s="77"/>
      <c r="AB103" s="77"/>
      <c r="AC103" s="121"/>
      <c r="AD103" s="77"/>
      <c r="AE103" s="77"/>
      <c r="AF103" s="72"/>
    </row>
    <row r="104" spans="1:32" ht="110.25">
      <c r="A104" s="113">
        <v>98</v>
      </c>
      <c r="B104" s="81" t="s">
        <v>170</v>
      </c>
      <c r="C104" s="82" t="s">
        <v>60</v>
      </c>
      <c r="D104" s="63">
        <f t="shared" si="5"/>
        <v>42</v>
      </c>
      <c r="E104" s="79" t="s">
        <v>192</v>
      </c>
      <c r="F104" s="77">
        <f>2*21</f>
        <v>42</v>
      </c>
      <c r="G104" s="121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121"/>
      <c r="U104" s="121"/>
      <c r="V104" s="77"/>
      <c r="W104" s="121"/>
      <c r="X104" s="121"/>
      <c r="Y104" s="77"/>
      <c r="Z104" s="121"/>
      <c r="AA104" s="77"/>
      <c r="AB104" s="77"/>
      <c r="AC104" s="121"/>
      <c r="AD104" s="77"/>
      <c r="AE104" s="77"/>
      <c r="AF104" s="72"/>
    </row>
    <row r="105" spans="1:32" ht="31.5">
      <c r="A105" s="113">
        <v>99</v>
      </c>
      <c r="B105" s="88" t="s">
        <v>149</v>
      </c>
      <c r="C105" s="73" t="s">
        <v>60</v>
      </c>
      <c r="D105" s="63">
        <f t="shared" si="5"/>
        <v>93</v>
      </c>
      <c r="E105" s="79" t="s">
        <v>150</v>
      </c>
      <c r="F105" s="77">
        <f>6.2*15</f>
        <v>93</v>
      </c>
      <c r="G105" s="121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121"/>
      <c r="U105" s="121"/>
      <c r="V105" s="77"/>
      <c r="W105" s="121"/>
      <c r="X105" s="121"/>
      <c r="Y105" s="77"/>
      <c r="Z105" s="121"/>
      <c r="AA105" s="77"/>
      <c r="AB105" s="77"/>
      <c r="AC105" s="121"/>
      <c r="AD105" s="77"/>
      <c r="AE105" s="77"/>
      <c r="AF105" s="72"/>
    </row>
    <row r="106" spans="1:32" ht="63">
      <c r="A106" s="113">
        <v>100</v>
      </c>
      <c r="B106" s="88" t="s">
        <v>174</v>
      </c>
      <c r="C106" s="82" t="s">
        <v>0</v>
      </c>
      <c r="D106" s="63">
        <f t="shared" si="5"/>
        <v>126</v>
      </c>
      <c r="E106" s="79" t="s">
        <v>159</v>
      </c>
      <c r="F106" s="77">
        <f>F103</f>
        <v>126</v>
      </c>
      <c r="G106" s="121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121"/>
      <c r="U106" s="121"/>
      <c r="V106" s="77"/>
      <c r="W106" s="121"/>
      <c r="X106" s="121"/>
      <c r="Y106" s="77"/>
      <c r="Z106" s="121"/>
      <c r="AA106" s="77"/>
      <c r="AB106" s="77"/>
      <c r="AC106" s="121"/>
      <c r="AD106" s="77"/>
      <c r="AE106" s="77"/>
      <c r="AF106" s="72"/>
    </row>
    <row r="107" spans="1:32" ht="63">
      <c r="A107" s="113">
        <v>101</v>
      </c>
      <c r="B107" s="88" t="s">
        <v>173</v>
      </c>
      <c r="C107" s="73" t="s">
        <v>60</v>
      </c>
      <c r="D107" s="63">
        <f t="shared" si="5"/>
        <v>42</v>
      </c>
      <c r="E107" s="79" t="s">
        <v>171</v>
      </c>
      <c r="F107" s="77">
        <f>F104</f>
        <v>42</v>
      </c>
      <c r="G107" s="121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121"/>
      <c r="U107" s="121"/>
      <c r="V107" s="77"/>
      <c r="W107" s="121"/>
      <c r="X107" s="121"/>
      <c r="Y107" s="77"/>
      <c r="Z107" s="121"/>
      <c r="AA107" s="77"/>
      <c r="AB107" s="77"/>
      <c r="AC107" s="121"/>
      <c r="AD107" s="77"/>
      <c r="AE107" s="77"/>
      <c r="AF107" s="72"/>
    </row>
    <row r="108" spans="1:32" ht="63">
      <c r="A108" s="113">
        <v>102</v>
      </c>
      <c r="B108" s="81" t="s">
        <v>155</v>
      </c>
      <c r="C108" s="82" t="s">
        <v>0</v>
      </c>
      <c r="D108" s="63">
        <f t="shared" si="5"/>
        <v>126</v>
      </c>
      <c r="E108" s="79" t="s">
        <v>159</v>
      </c>
      <c r="F108" s="77">
        <f>F106</f>
        <v>126</v>
      </c>
      <c r="G108" s="121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121"/>
      <c r="U108" s="121"/>
      <c r="V108" s="77"/>
      <c r="W108" s="121"/>
      <c r="X108" s="121"/>
      <c r="Y108" s="77"/>
      <c r="Z108" s="121"/>
      <c r="AA108" s="77"/>
      <c r="AB108" s="77"/>
      <c r="AC108" s="121"/>
      <c r="AD108" s="77"/>
      <c r="AE108" s="77"/>
      <c r="AF108" s="72"/>
    </row>
    <row r="109" spans="1:32" ht="63">
      <c r="A109" s="113">
        <v>103</v>
      </c>
      <c r="B109" s="81" t="s">
        <v>176</v>
      </c>
      <c r="C109" s="73" t="s">
        <v>60</v>
      </c>
      <c r="D109" s="63">
        <f t="shared" si="5"/>
        <v>42</v>
      </c>
      <c r="E109" s="79" t="s">
        <v>171</v>
      </c>
      <c r="F109" s="77">
        <f>F104</f>
        <v>42</v>
      </c>
      <c r="G109" s="121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121"/>
      <c r="U109" s="121"/>
      <c r="V109" s="77"/>
      <c r="W109" s="121"/>
      <c r="X109" s="121"/>
      <c r="Y109" s="77"/>
      <c r="Z109" s="121"/>
      <c r="AA109" s="77"/>
      <c r="AB109" s="77"/>
      <c r="AC109" s="121"/>
      <c r="AD109" s="77"/>
      <c r="AE109" s="77"/>
      <c r="AF109" s="72"/>
    </row>
    <row r="110" spans="1:32" ht="18.75">
      <c r="A110" s="113">
        <v>104</v>
      </c>
      <c r="B110" s="74" t="s">
        <v>57</v>
      </c>
      <c r="C110" s="82"/>
      <c r="D110" s="63">
        <f t="shared" si="5"/>
        <v>0</v>
      </c>
      <c r="E110" s="79"/>
      <c r="F110" s="77"/>
      <c r="G110" s="121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121"/>
      <c r="U110" s="121"/>
      <c r="V110" s="77"/>
      <c r="W110" s="121"/>
      <c r="X110" s="121"/>
      <c r="Y110" s="77"/>
      <c r="Z110" s="121"/>
      <c r="AA110" s="77"/>
      <c r="AB110" s="77"/>
      <c r="AC110" s="121"/>
      <c r="AD110" s="77"/>
      <c r="AE110" s="77"/>
      <c r="AF110" s="72"/>
    </row>
    <row r="111" spans="1:32">
      <c r="A111" s="113">
        <v>105</v>
      </c>
      <c r="B111" s="88" t="s">
        <v>144</v>
      </c>
      <c r="C111" s="82" t="s">
        <v>14</v>
      </c>
      <c r="D111" s="63">
        <f t="shared" si="5"/>
        <v>0.35613</v>
      </c>
      <c r="E111" s="79" t="s">
        <v>164</v>
      </c>
      <c r="F111" s="77">
        <f>(4*3+7.2+2*2.3+2.2+4*0.3)/1000</f>
        <v>2.7199999999999995E-2</v>
      </c>
      <c r="G111" s="121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>
        <f>(5.7*3+3.68+4*1.7+3*0.3+3*0.15)/1000</f>
        <v>2.8930000000000001E-2</v>
      </c>
      <c r="S111" s="77"/>
      <c r="T111" s="121"/>
      <c r="U111" s="121"/>
      <c r="V111" s="77">
        <v>0.3</v>
      </c>
      <c r="W111" s="121"/>
      <c r="X111" s="121"/>
      <c r="Y111" s="77"/>
      <c r="Z111" s="121"/>
      <c r="AA111" s="77"/>
      <c r="AB111" s="77"/>
      <c r="AC111" s="121"/>
      <c r="AD111" s="77"/>
      <c r="AE111" s="77"/>
      <c r="AF111" s="72"/>
    </row>
    <row r="112" spans="1:32">
      <c r="A112" s="113">
        <v>106</v>
      </c>
      <c r="B112" s="88" t="s">
        <v>144</v>
      </c>
      <c r="C112" s="82" t="s">
        <v>0</v>
      </c>
      <c r="D112" s="63">
        <f t="shared" si="5"/>
        <v>2.3100000000000005</v>
      </c>
      <c r="E112" s="79" t="s">
        <v>182</v>
      </c>
      <c r="F112" s="77"/>
      <c r="G112" s="121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>
        <f>2.1*1.1</f>
        <v>2.3100000000000005</v>
      </c>
      <c r="S112" s="77"/>
      <c r="T112" s="121"/>
      <c r="U112" s="121"/>
      <c r="V112" s="77"/>
      <c r="W112" s="121"/>
      <c r="X112" s="121"/>
      <c r="Y112" s="77"/>
      <c r="Z112" s="121"/>
      <c r="AA112" s="77"/>
      <c r="AB112" s="77"/>
      <c r="AC112" s="121"/>
      <c r="AD112" s="77"/>
      <c r="AE112" s="77"/>
      <c r="AF112" s="72"/>
    </row>
    <row r="113" spans="1:32">
      <c r="A113" s="113">
        <v>107</v>
      </c>
      <c r="B113" s="88" t="s">
        <v>223</v>
      </c>
      <c r="C113" s="82" t="s">
        <v>14</v>
      </c>
      <c r="D113" s="63">
        <f t="shared" si="5"/>
        <v>0.3</v>
      </c>
      <c r="E113" s="79" t="s">
        <v>224</v>
      </c>
      <c r="F113" s="77">
        <v>0.3</v>
      </c>
      <c r="G113" s="121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121"/>
      <c r="U113" s="121"/>
      <c r="V113" s="77"/>
      <c r="W113" s="121"/>
      <c r="X113" s="121"/>
      <c r="Y113" s="77"/>
      <c r="Z113" s="121"/>
      <c r="AA113" s="77"/>
      <c r="AB113" s="77"/>
      <c r="AC113" s="121"/>
      <c r="AD113" s="77"/>
      <c r="AE113" s="77"/>
      <c r="AF113" s="72"/>
    </row>
    <row r="114" spans="1:32">
      <c r="A114" s="113">
        <v>108</v>
      </c>
      <c r="B114" s="88" t="s">
        <v>162</v>
      </c>
      <c r="C114" s="82" t="s">
        <v>0</v>
      </c>
      <c r="D114" s="63">
        <f t="shared" si="5"/>
        <v>7.75</v>
      </c>
      <c r="E114" s="79" t="s">
        <v>161</v>
      </c>
      <c r="F114" s="77">
        <f>0.7*3.2+0.5*0.3+0.5*3.2</f>
        <v>3.9899999999999998</v>
      </c>
      <c r="G114" s="121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>
        <f>1.55*1.2+1*0.4+1*1.5</f>
        <v>3.76</v>
      </c>
      <c r="S114" s="77"/>
      <c r="T114" s="121"/>
      <c r="U114" s="121"/>
      <c r="V114" s="77"/>
      <c r="W114" s="121"/>
      <c r="X114" s="121"/>
      <c r="Y114" s="77"/>
      <c r="Z114" s="121"/>
      <c r="AA114" s="77"/>
      <c r="AB114" s="77"/>
      <c r="AC114" s="121"/>
      <c r="AD114" s="77"/>
      <c r="AE114" s="77"/>
      <c r="AF114" s="72"/>
    </row>
    <row r="115" spans="1:32">
      <c r="A115" s="113">
        <v>109</v>
      </c>
      <c r="B115" s="88" t="s">
        <v>196</v>
      </c>
      <c r="C115" s="82" t="s">
        <v>60</v>
      </c>
      <c r="D115" s="63">
        <f t="shared" si="5"/>
        <v>20.7</v>
      </c>
      <c r="E115" s="79"/>
      <c r="F115" s="77">
        <f>2*(3.2+0.3+0.5+0.6)+3.2</f>
        <v>12.399999999999999</v>
      </c>
      <c r="G115" s="121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>
        <f>2*(1.55+0.5+1+1.1)</f>
        <v>8.3000000000000007</v>
      </c>
      <c r="S115" s="77"/>
      <c r="T115" s="121"/>
      <c r="U115" s="121"/>
      <c r="V115" s="77"/>
      <c r="W115" s="121"/>
      <c r="X115" s="121"/>
      <c r="Y115" s="77"/>
      <c r="Z115" s="121"/>
      <c r="AA115" s="77"/>
      <c r="AB115" s="77"/>
      <c r="AC115" s="121"/>
      <c r="AD115" s="77"/>
      <c r="AE115" s="77"/>
      <c r="AF115" s="72"/>
    </row>
    <row r="116" spans="1:32" s="91" customFormat="1">
      <c r="A116" s="113">
        <v>110</v>
      </c>
      <c r="B116" s="81" t="s">
        <v>183</v>
      </c>
      <c r="C116" s="73" t="s">
        <v>0</v>
      </c>
      <c r="D116" s="63">
        <f t="shared" si="5"/>
        <v>9.2474999999999987</v>
      </c>
      <c r="E116" s="79" t="s">
        <v>184</v>
      </c>
      <c r="F116" s="89">
        <f>3.05*2.55</f>
        <v>7.777499999999999</v>
      </c>
      <c r="G116" s="123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>
        <f>1.4*1.05</f>
        <v>1.47</v>
      </c>
      <c r="S116" s="89"/>
      <c r="T116" s="123"/>
      <c r="U116" s="123"/>
      <c r="V116" s="89"/>
      <c r="W116" s="123"/>
      <c r="X116" s="123"/>
      <c r="Y116" s="89"/>
      <c r="Z116" s="123"/>
      <c r="AA116" s="89"/>
      <c r="AB116" s="89"/>
      <c r="AC116" s="123"/>
      <c r="AD116" s="89"/>
      <c r="AE116" s="89"/>
      <c r="AF116" s="90"/>
    </row>
    <row r="117" spans="1:32" s="91" customFormat="1" ht="31.5">
      <c r="A117" s="113">
        <v>111</v>
      </c>
      <c r="B117" s="81" t="s">
        <v>185</v>
      </c>
      <c r="C117" s="73" t="s">
        <v>0</v>
      </c>
      <c r="D117" s="63">
        <f t="shared" si="5"/>
        <v>9.2474999999999987</v>
      </c>
      <c r="E117" s="79" t="s">
        <v>184</v>
      </c>
      <c r="F117" s="89">
        <f>F116</f>
        <v>7.777499999999999</v>
      </c>
      <c r="G117" s="123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>
        <f>1.4*1.05</f>
        <v>1.47</v>
      </c>
      <c r="S117" s="89"/>
      <c r="T117" s="123"/>
      <c r="U117" s="123"/>
      <c r="V117" s="89"/>
      <c r="W117" s="123"/>
      <c r="X117" s="123"/>
      <c r="Y117" s="89"/>
      <c r="Z117" s="123"/>
      <c r="AA117" s="89"/>
      <c r="AB117" s="89"/>
      <c r="AC117" s="123"/>
      <c r="AD117" s="89"/>
      <c r="AE117" s="89"/>
      <c r="AF117" s="90"/>
    </row>
    <row r="118" spans="1:32" s="91" customFormat="1">
      <c r="A118" s="113">
        <v>112</v>
      </c>
      <c r="B118" s="81" t="s">
        <v>229</v>
      </c>
      <c r="C118" s="73" t="s">
        <v>0</v>
      </c>
      <c r="D118" s="63">
        <f t="shared" si="5"/>
        <v>28.78</v>
      </c>
      <c r="E118" s="79" t="s">
        <v>235</v>
      </c>
      <c r="F118" s="89"/>
      <c r="G118" s="123">
        <v>25</v>
      </c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123"/>
      <c r="U118" s="123"/>
      <c r="V118" s="89"/>
      <c r="W118" s="123"/>
      <c r="X118" s="123"/>
      <c r="Y118" s="89"/>
      <c r="Z118" s="123"/>
      <c r="AA118" s="89"/>
      <c r="AB118" s="89"/>
      <c r="AC118" s="123"/>
      <c r="AD118" s="89"/>
      <c r="AE118" s="89">
        <f>2*2.1*0.9</f>
        <v>3.7800000000000002</v>
      </c>
      <c r="AF118" s="90"/>
    </row>
    <row r="119" spans="1:32" s="91" customFormat="1" ht="31.5">
      <c r="A119" s="113">
        <v>113</v>
      </c>
      <c r="B119" s="81" t="s">
        <v>231</v>
      </c>
      <c r="C119" s="73" t="s">
        <v>0</v>
      </c>
      <c r="D119" s="63">
        <f t="shared" si="5"/>
        <v>24</v>
      </c>
      <c r="E119" s="79" t="s">
        <v>232</v>
      </c>
      <c r="F119" s="89"/>
      <c r="G119" s="123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123"/>
      <c r="U119" s="123"/>
      <c r="V119" s="89"/>
      <c r="W119" s="123"/>
      <c r="X119" s="123"/>
      <c r="Y119" s="89"/>
      <c r="Z119" s="123"/>
      <c r="AA119" s="89"/>
      <c r="AB119" s="89"/>
      <c r="AC119" s="123"/>
      <c r="AD119" s="89"/>
      <c r="AE119" s="89">
        <f>2*6*2</f>
        <v>24</v>
      </c>
      <c r="AF119" s="90"/>
    </row>
    <row r="120" spans="1:32" s="91" customFormat="1">
      <c r="A120" s="113">
        <v>114</v>
      </c>
      <c r="B120" s="81" t="s">
        <v>233</v>
      </c>
      <c r="C120" s="73" t="s">
        <v>0</v>
      </c>
      <c r="D120" s="63">
        <f t="shared" si="5"/>
        <v>8</v>
      </c>
      <c r="E120" s="79" t="s">
        <v>234</v>
      </c>
      <c r="F120" s="89"/>
      <c r="G120" s="123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123"/>
      <c r="U120" s="123"/>
      <c r="V120" s="89"/>
      <c r="W120" s="123"/>
      <c r="X120" s="123"/>
      <c r="Y120" s="89"/>
      <c r="Z120" s="123"/>
      <c r="AA120" s="89"/>
      <c r="AB120" s="89"/>
      <c r="AC120" s="123"/>
      <c r="AD120" s="89"/>
      <c r="AE120" s="89">
        <v>8</v>
      </c>
      <c r="AF120" s="90"/>
    </row>
    <row r="121" spans="1:32">
      <c r="A121" s="113">
        <v>115</v>
      </c>
      <c r="B121" s="88" t="s">
        <v>15</v>
      </c>
      <c r="C121" s="82" t="s">
        <v>14</v>
      </c>
      <c r="D121" s="63">
        <f t="shared" si="5"/>
        <v>147.03026589999999</v>
      </c>
      <c r="E121" s="79" t="s">
        <v>136</v>
      </c>
      <c r="F121" s="77">
        <f t="shared" ref="F121:R121" si="6">(F10+F12*0.03*2000+F13*0.02*2000+F14*270+F14*2*0.02*2000+F16*(0.25+0.02+0.02)*2000+F17*(0.125+0.02+0.02)*2000+F51*3+F52*0.03*2000+F53*0.05*2000+F55*2000+F88+F89*0.03*2000+F116*2000+F18*50)/1000</f>
        <v>15.574999999999998</v>
      </c>
      <c r="G121" s="121">
        <f t="shared" si="6"/>
        <v>0.11</v>
      </c>
      <c r="H121" s="77">
        <f t="shared" si="6"/>
        <v>10.195175000000003</v>
      </c>
      <c r="I121" s="77">
        <f t="shared" si="6"/>
        <v>5.4326300000000005</v>
      </c>
      <c r="J121" s="77">
        <f t="shared" si="6"/>
        <v>4.6486299999999998</v>
      </c>
      <c r="K121" s="77">
        <f t="shared" si="6"/>
        <v>5.0210799999999995</v>
      </c>
      <c r="L121" s="77">
        <f t="shared" si="6"/>
        <v>4.8634899999999996</v>
      </c>
      <c r="M121" s="77">
        <f t="shared" si="6"/>
        <v>1.9234899999999999</v>
      </c>
      <c r="N121" s="77">
        <f t="shared" si="6"/>
        <v>1.9234899999999999</v>
      </c>
      <c r="O121" s="77">
        <f t="shared" si="6"/>
        <v>4.1486014999999998</v>
      </c>
      <c r="P121" s="77">
        <f t="shared" si="6"/>
        <v>3.9650015000000001</v>
      </c>
      <c r="Q121" s="77">
        <f t="shared" si="6"/>
        <v>3.334794</v>
      </c>
      <c r="R121" s="77">
        <f t="shared" si="6"/>
        <v>3.7217399999999996</v>
      </c>
      <c r="S121" s="77">
        <f>(S54*2.5+S10+S12*0.03*2000+S13*0.02*2000+S14*270+S14*2*0.02*2000+S16*(0.25+0.02+0.02)*2000+S17*(0.125+0.02+0.02)*2000+S51*3+S52*0.03*2000+S53*0.05*2000+S55*2000+S88+S89*0.03*2000+S116*2000+S18*50)/1000</f>
        <v>4.5005840000000008</v>
      </c>
      <c r="T121" s="121">
        <f t="shared" ref="T121:AE121" si="7">(T10+T12*0.03*2000+T13*0.02*2000+T14*270+T14*2*0.02*2000+T16*(0.25+0.02+0.02)*2000+T17*(0.125+0.02+0.02)*2000+T51*3+T52*0.03*2000+T53*0.05*2000+T55*2000+T88+T89*0.03*2000+T116*2000+T18*50)/1000</f>
        <v>8.7438259999999985</v>
      </c>
      <c r="U121" s="121">
        <f t="shared" si="7"/>
        <v>9.6513760000000008</v>
      </c>
      <c r="V121" s="77">
        <f>(V10+V12*0.03*2000+V13*0.02*2000+V14*270+V14*2*0.02*2000+V16*(0.25+0.02+0.02)*2000+V17*(0.125+0.02+0.02)*2000+V51*3+V52*0.03*2000+V53*0.05*2000+V55*2000+V88+V89*0.03*2000+V116*2000+V18*50)/1000</f>
        <v>0</v>
      </c>
      <c r="W121" s="121">
        <f t="shared" si="7"/>
        <v>20.513539999999999</v>
      </c>
      <c r="X121" s="121">
        <f t="shared" si="7"/>
        <v>4.2503660000000005</v>
      </c>
      <c r="Y121" s="77">
        <f t="shared" si="7"/>
        <v>5.4938301000000012</v>
      </c>
      <c r="Z121" s="121">
        <f t="shared" si="7"/>
        <v>4.4889717999999998</v>
      </c>
      <c r="AA121" s="77">
        <f t="shared" si="7"/>
        <v>4.2341259999999998</v>
      </c>
      <c r="AB121" s="77">
        <f>(AB10+AC12*0.03*2000+AB13*0.02*2000+AB14*270+AB14*2*0.02*2000+AB16*(0.25+0.02+0.02)*2000+AB17*(0.125+0.02+0.02)*2000+AB51*3+AB52*0.03*2000+AB53*0.05*2000+AB55*2000+AB88+AB89*0.03*2000+AB116*2000+AB18*50)/1000</f>
        <v>5.8786519999999998</v>
      </c>
      <c r="AC121" s="121">
        <f>(AC10+AD12*0.03*2000+AC13*0.02*2000+AC14*270+AC14*2*0.02*2000+AC16*(0.25+0.02+0.02)*2000+AC17*(0.125+0.02+0.02)*2000+AC51*3+AC52*0.03*2000+AC53*0.05*2000+AC55*2000+AC88+AC89*0.03*2000+AC116*2000+AC18*50)/1000</f>
        <v>6.6253019999999996</v>
      </c>
      <c r="AD121" s="77">
        <f t="shared" si="7"/>
        <v>4.2105699999999997</v>
      </c>
      <c r="AE121" s="77">
        <f t="shared" si="7"/>
        <v>3.5759999999999996</v>
      </c>
      <c r="AF121" s="72"/>
    </row>
    <row r="122" spans="1:32" ht="31.5">
      <c r="A122" s="113">
        <v>116</v>
      </c>
      <c r="B122" s="88" t="s">
        <v>16</v>
      </c>
      <c r="C122" s="82" t="s">
        <v>14</v>
      </c>
      <c r="D122" s="63">
        <f t="shared" si="5"/>
        <v>147.03026589999999</v>
      </c>
      <c r="E122" s="79"/>
      <c r="F122" s="77">
        <f t="shared" ref="F122:G122" si="8">F121</f>
        <v>15.574999999999998</v>
      </c>
      <c r="G122" s="121">
        <f t="shared" si="8"/>
        <v>0.11</v>
      </c>
      <c r="H122" s="77">
        <f>H121</f>
        <v>10.195175000000003</v>
      </c>
      <c r="I122" s="77">
        <f t="shared" ref="I122:AE122" si="9">I121</f>
        <v>5.4326300000000005</v>
      </c>
      <c r="J122" s="77">
        <f t="shared" si="9"/>
        <v>4.6486299999999998</v>
      </c>
      <c r="K122" s="77">
        <f t="shared" si="9"/>
        <v>5.0210799999999995</v>
      </c>
      <c r="L122" s="77">
        <f t="shared" si="9"/>
        <v>4.8634899999999996</v>
      </c>
      <c r="M122" s="77">
        <f t="shared" si="9"/>
        <v>1.9234899999999999</v>
      </c>
      <c r="N122" s="77">
        <f t="shared" si="9"/>
        <v>1.9234899999999999</v>
      </c>
      <c r="O122" s="77">
        <f t="shared" si="9"/>
        <v>4.1486014999999998</v>
      </c>
      <c r="P122" s="77">
        <f t="shared" si="9"/>
        <v>3.9650015000000001</v>
      </c>
      <c r="Q122" s="77">
        <f t="shared" si="9"/>
        <v>3.334794</v>
      </c>
      <c r="R122" s="77">
        <f t="shared" si="9"/>
        <v>3.7217399999999996</v>
      </c>
      <c r="S122" s="77">
        <f t="shared" si="9"/>
        <v>4.5005840000000008</v>
      </c>
      <c r="T122" s="121">
        <f t="shared" si="9"/>
        <v>8.7438259999999985</v>
      </c>
      <c r="U122" s="121">
        <f t="shared" si="9"/>
        <v>9.6513760000000008</v>
      </c>
      <c r="V122" s="77">
        <f t="shared" si="9"/>
        <v>0</v>
      </c>
      <c r="W122" s="121">
        <f t="shared" si="9"/>
        <v>20.513539999999999</v>
      </c>
      <c r="X122" s="121">
        <f t="shared" si="9"/>
        <v>4.2503660000000005</v>
      </c>
      <c r="Y122" s="77">
        <f t="shared" si="9"/>
        <v>5.4938301000000012</v>
      </c>
      <c r="Z122" s="121">
        <f t="shared" si="9"/>
        <v>4.4889717999999998</v>
      </c>
      <c r="AA122" s="77">
        <f t="shared" si="9"/>
        <v>4.2341259999999998</v>
      </c>
      <c r="AB122" s="77">
        <f t="shared" si="9"/>
        <v>5.8786519999999998</v>
      </c>
      <c r="AC122" s="121">
        <f t="shared" si="9"/>
        <v>6.6253019999999996</v>
      </c>
      <c r="AD122" s="77">
        <f t="shared" si="9"/>
        <v>4.2105699999999997</v>
      </c>
      <c r="AE122" s="77">
        <f t="shared" si="9"/>
        <v>3.5759999999999996</v>
      </c>
      <c r="AF122" s="72"/>
    </row>
    <row r="123" spans="1:32" s="96" customFormat="1">
      <c r="A123" s="114"/>
      <c r="B123" s="92"/>
      <c r="C123" s="93"/>
      <c r="D123" s="94"/>
      <c r="E123" s="95"/>
      <c r="F123" s="67"/>
      <c r="G123" s="116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116"/>
      <c r="U123" s="116"/>
      <c r="V123" s="67"/>
      <c r="W123" s="116"/>
      <c r="X123" s="116"/>
      <c r="Y123" s="67"/>
      <c r="Z123" s="116"/>
      <c r="AA123" s="67"/>
      <c r="AB123" s="67"/>
      <c r="AC123" s="116"/>
      <c r="AD123" s="67"/>
      <c r="AE123" s="67"/>
    </row>
    <row r="124" spans="1:32" s="96" customFormat="1">
      <c r="A124" s="115" t="s">
        <v>8</v>
      </c>
      <c r="B124" s="64"/>
      <c r="C124" s="65"/>
      <c r="D124" s="62" t="s">
        <v>9</v>
      </c>
      <c r="E124" s="66"/>
      <c r="F124" s="67"/>
      <c r="G124" s="116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116"/>
      <c r="U124" s="116"/>
      <c r="V124" s="67"/>
      <c r="W124" s="116"/>
      <c r="X124" s="116"/>
      <c r="Y124" s="67"/>
      <c r="Z124" s="116"/>
      <c r="AA124" s="67"/>
      <c r="AB124" s="67"/>
      <c r="AC124" s="116"/>
      <c r="AD124" s="67"/>
      <c r="AE124" s="67"/>
    </row>
    <row r="125" spans="1:32" s="96" customFormat="1">
      <c r="A125" s="111"/>
      <c r="B125" s="64"/>
      <c r="C125" s="65"/>
      <c r="D125" s="62"/>
      <c r="E125" s="66"/>
      <c r="F125" s="67"/>
      <c r="G125" s="116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116"/>
      <c r="U125" s="116"/>
      <c r="V125" s="67"/>
      <c r="W125" s="116"/>
      <c r="X125" s="116"/>
      <c r="Y125" s="67"/>
      <c r="Z125" s="116"/>
      <c r="AA125" s="67"/>
      <c r="AB125" s="67"/>
      <c r="AC125" s="116"/>
      <c r="AD125" s="67"/>
      <c r="AE125" s="67"/>
    </row>
    <row r="126" spans="1:32" s="96" customFormat="1">
      <c r="A126" s="111"/>
      <c r="B126" s="64"/>
      <c r="C126" s="65"/>
      <c r="D126" s="62"/>
      <c r="E126" s="66"/>
      <c r="F126" s="67"/>
      <c r="G126" s="116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116"/>
      <c r="U126" s="116"/>
      <c r="V126" s="67"/>
      <c r="W126" s="116"/>
      <c r="X126" s="116"/>
      <c r="Y126" s="67"/>
      <c r="Z126" s="116"/>
      <c r="AA126" s="67"/>
      <c r="AB126" s="67"/>
      <c r="AC126" s="116"/>
      <c r="AD126" s="67"/>
      <c r="AE126" s="67"/>
    </row>
    <row r="127" spans="1:32" s="96" customFormat="1">
      <c r="A127" s="111"/>
      <c r="B127" s="64"/>
      <c r="C127" s="65"/>
      <c r="D127" s="62"/>
      <c r="E127" s="66"/>
      <c r="F127" s="67"/>
      <c r="G127" s="116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116"/>
      <c r="U127" s="116"/>
      <c r="V127" s="67"/>
      <c r="W127" s="116"/>
      <c r="X127" s="116"/>
      <c r="Y127" s="67"/>
      <c r="Z127" s="116"/>
      <c r="AA127" s="67"/>
      <c r="AB127" s="67"/>
      <c r="AC127" s="116"/>
      <c r="AD127" s="67"/>
      <c r="AE127" s="67"/>
    </row>
    <row r="128" spans="1:32" s="96" customFormat="1">
      <c r="A128" s="111"/>
      <c r="B128" s="64"/>
      <c r="C128" s="65"/>
      <c r="D128" s="62"/>
      <c r="E128" s="66"/>
      <c r="F128" s="67"/>
      <c r="G128" s="116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116"/>
      <c r="U128" s="116"/>
      <c r="V128" s="67"/>
      <c r="W128" s="116"/>
      <c r="X128" s="116"/>
      <c r="Y128" s="67"/>
      <c r="Z128" s="116"/>
      <c r="AA128" s="67"/>
      <c r="AB128" s="67"/>
      <c r="AC128" s="116"/>
      <c r="AD128" s="67"/>
      <c r="AE128" s="67"/>
    </row>
  </sheetData>
  <mergeCells count="4">
    <mergeCell ref="A4:E4"/>
    <mergeCell ref="A5:E5"/>
    <mergeCell ref="F5:V5"/>
    <mergeCell ref="W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Тех. задание</vt:lpstr>
      <vt:lpstr>Транспорнтный цех</vt:lpstr>
      <vt:lpstr>Тех. задание (упрощенное)</vt:lpstr>
    </vt:vector>
  </TitlesOfParts>
  <Company>ZAO DKPK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Builder</dc:creator>
  <cp:lastModifiedBy>BUILDER</cp:lastModifiedBy>
  <cp:lastPrinted>2025-03-05T09:32:16Z</cp:lastPrinted>
  <dcterms:created xsi:type="dcterms:W3CDTF">2023-07-20T12:28:17Z</dcterms:created>
  <dcterms:modified xsi:type="dcterms:W3CDTF">2026-09-23T08:10:08Z</dcterms:modified>
</cp:coreProperties>
</file>