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ользователь\Desktop\В.Димерка\Підрядник\"/>
    </mc:Choice>
  </mc:AlternateContent>
  <xr:revisionPtr revIDLastSave="0" documentId="13_ncr:1_{45FF9763-42E6-4140-B330-81AE1C862B77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ОБСЯГИ" sheetId="1" r:id="rId1"/>
    <sheet name="РОБОТИ" sheetId="2" r:id="rId2"/>
  </sheets>
  <definedNames>
    <definedName name="_xlnm._FilterDatabase" localSheetId="1" hidden="1">РОБОТИ!$C$3:$C$300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3" i="2" l="1"/>
  <c r="G281" i="2"/>
  <c r="G276" i="2"/>
  <c r="G277" i="2"/>
  <c r="G278" i="2"/>
  <c r="G275" i="2"/>
  <c r="G269" i="2"/>
  <c r="G261" i="2"/>
  <c r="G257" i="2"/>
  <c r="G256" i="2"/>
  <c r="G249" i="2"/>
  <c r="G248" i="2"/>
  <c r="G247" i="2"/>
  <c r="G243" i="2"/>
  <c r="G237" i="2"/>
  <c r="G234" i="2"/>
  <c r="G233" i="2"/>
  <c r="G232" i="2"/>
  <c r="G231" i="2"/>
  <c r="G227" i="2"/>
  <c r="G225" i="2"/>
  <c r="G224" i="2"/>
  <c r="G219" i="2"/>
  <c r="G215" i="2"/>
  <c r="G214" i="2"/>
  <c r="G189" i="2"/>
  <c r="G188" i="2"/>
  <c r="G187" i="2"/>
  <c r="G186" i="2"/>
  <c r="G170" i="2"/>
  <c r="G160" i="2"/>
  <c r="G159" i="2"/>
  <c r="G155" i="2"/>
  <c r="G149" i="2"/>
  <c r="G146" i="2"/>
  <c r="G145" i="2"/>
  <c r="G144" i="2"/>
  <c r="G143" i="2"/>
  <c r="G139" i="2"/>
  <c r="G137" i="2"/>
  <c r="G136" i="2"/>
  <c r="G131" i="2"/>
  <c r="G132" i="2"/>
  <c r="G133" i="2"/>
  <c r="G130" i="2"/>
  <c r="G121" i="2"/>
  <c r="G114" i="2"/>
  <c r="G104" i="2"/>
  <c r="G103" i="2"/>
  <c r="G99" i="2"/>
  <c r="G93" i="2"/>
  <c r="G90" i="2"/>
  <c r="G89" i="2"/>
  <c r="G88" i="2"/>
  <c r="G87" i="2"/>
  <c r="G83" i="2"/>
  <c r="G81" i="2"/>
  <c r="G80" i="2"/>
  <c r="G76" i="2"/>
  <c r="G75" i="2"/>
  <c r="G74" i="2"/>
  <c r="G64" i="2"/>
  <c r="G61" i="2"/>
  <c r="G60" i="2"/>
  <c r="G52" i="2"/>
  <c r="G41" i="2"/>
  <c r="G38" i="2"/>
  <c r="G36" i="2"/>
  <c r="G26" i="2"/>
  <c r="G23" i="2"/>
  <c r="G22" i="2"/>
  <c r="G21" i="2"/>
  <c r="G20" i="2"/>
  <c r="G16" i="2"/>
  <c r="G13" i="2"/>
  <c r="G11" i="2"/>
  <c r="G9" i="2"/>
  <c r="G7" i="2"/>
  <c r="G6" i="2"/>
  <c r="E73" i="2"/>
  <c r="G73" i="2" s="1"/>
  <c r="E60" i="2"/>
  <c r="E53" i="2"/>
  <c r="G53" i="2" s="1"/>
  <c r="J286" i="2"/>
  <c r="J289" i="2"/>
  <c r="G289" i="2"/>
  <c r="J288" i="2"/>
  <c r="G288" i="2"/>
  <c r="J287" i="2"/>
  <c r="G287" i="2"/>
  <c r="G286" i="2"/>
  <c r="J285" i="2"/>
  <c r="G285" i="2"/>
  <c r="J276" i="2"/>
  <c r="J279" i="2"/>
  <c r="J278" i="2"/>
  <c r="J255" i="2" l="1"/>
  <c r="J254" i="2"/>
  <c r="J244" i="2"/>
  <c r="J243" i="2"/>
  <c r="J242" i="2"/>
  <c r="J241" i="2"/>
  <c r="J240" i="2"/>
  <c r="J235" i="2"/>
  <c r="J233" i="2"/>
  <c r="J232" i="2"/>
  <c r="J231" i="2"/>
  <c r="J229" i="2"/>
  <c r="J228" i="2"/>
  <c r="J227" i="2"/>
  <c r="J225" i="2"/>
  <c r="J224" i="2"/>
  <c r="E222" i="2"/>
  <c r="J218" i="2"/>
  <c r="J217" i="2"/>
  <c r="J216" i="2"/>
  <c r="J214" i="2"/>
  <c r="G212" i="2"/>
  <c r="J211" i="2"/>
  <c r="J210" i="2"/>
  <c r="J209" i="2"/>
  <c r="J208" i="2"/>
  <c r="J207" i="2"/>
  <c r="J206" i="2"/>
  <c r="G206" i="2"/>
  <c r="J205" i="2"/>
  <c r="J204" i="2"/>
  <c r="J202" i="2"/>
  <c r="G202" i="2"/>
  <c r="J201" i="2"/>
  <c r="J200" i="2"/>
  <c r="J198" i="2"/>
  <c r="G198" i="2"/>
  <c r="J197" i="2"/>
  <c r="G197" i="2"/>
  <c r="J195" i="2"/>
  <c r="E195" i="2"/>
  <c r="G195" i="2" s="1"/>
  <c r="J194" i="2"/>
  <c r="G194" i="2"/>
  <c r="J193" i="2"/>
  <c r="G193" i="2"/>
  <c r="J192" i="2"/>
  <c r="E192" i="2"/>
  <c r="G192" i="2" s="1"/>
  <c r="J222" i="2" l="1"/>
  <c r="G222" i="2"/>
  <c r="J219" i="2"/>
  <c r="E220" i="2"/>
  <c r="E221" i="2"/>
  <c r="J221" i="2" l="1"/>
  <c r="G221" i="2"/>
  <c r="J220" i="2"/>
  <c r="G220" i="2"/>
  <c r="E177" i="2"/>
  <c r="E165" i="2"/>
  <c r="J189" i="2"/>
  <c r="J188" i="2"/>
  <c r="J187" i="2"/>
  <c r="J186" i="2"/>
  <c r="J176" i="2"/>
  <c r="J175" i="2"/>
  <c r="J174" i="2"/>
  <c r="J173" i="2"/>
  <c r="J172" i="2"/>
  <c r="J171" i="2"/>
  <c r="J170" i="2"/>
  <c r="J164" i="2"/>
  <c r="J163" i="2"/>
  <c r="J162" i="2"/>
  <c r="J159" i="2"/>
  <c r="J156" i="2"/>
  <c r="J155" i="2"/>
  <c r="J154" i="2"/>
  <c r="J153" i="2"/>
  <c r="J152" i="2"/>
  <c r="J147" i="2"/>
  <c r="J145" i="2"/>
  <c r="J144" i="2"/>
  <c r="J143" i="2"/>
  <c r="J141" i="2"/>
  <c r="J140" i="2"/>
  <c r="J139" i="2"/>
  <c r="J137" i="2"/>
  <c r="J136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72" i="2"/>
  <c r="J71" i="2"/>
  <c r="J70" i="2"/>
  <c r="J69" i="2"/>
  <c r="J68" i="2"/>
  <c r="J67" i="2"/>
  <c r="J66" i="2"/>
  <c r="J65" i="2"/>
  <c r="J64" i="2"/>
  <c r="J185" i="2" l="1"/>
  <c r="G177" i="2"/>
  <c r="E168" i="2"/>
  <c r="G165" i="2"/>
  <c r="J177" i="2"/>
  <c r="J178" i="2"/>
  <c r="J179" i="2"/>
  <c r="J180" i="2"/>
  <c r="J181" i="2"/>
  <c r="J182" i="2"/>
  <c r="J183" i="2"/>
  <c r="J184" i="2"/>
  <c r="J165" i="2"/>
  <c r="E166" i="2"/>
  <c r="E167" i="2"/>
  <c r="J120" i="2"/>
  <c r="J119" i="2"/>
  <c r="J118" i="2"/>
  <c r="J117" i="2"/>
  <c r="J116" i="2"/>
  <c r="J115" i="2"/>
  <c r="J114" i="2"/>
  <c r="E109" i="2"/>
  <c r="J103" i="2"/>
  <c r="J108" i="2"/>
  <c r="J107" i="2"/>
  <c r="J106" i="2"/>
  <c r="J269" i="2"/>
  <c r="J272" i="2" s="1"/>
  <c r="J100" i="2"/>
  <c r="J98" i="2"/>
  <c r="J97" i="2"/>
  <c r="J96" i="2"/>
  <c r="J91" i="2"/>
  <c r="J89" i="2"/>
  <c r="J88" i="2"/>
  <c r="J87" i="2"/>
  <c r="J85" i="2"/>
  <c r="J84" i="2"/>
  <c r="J83" i="2"/>
  <c r="J81" i="2"/>
  <c r="J80" i="2"/>
  <c r="J267" i="2"/>
  <c r="J266" i="2"/>
  <c r="J265" i="2"/>
  <c r="J261" i="2"/>
  <c r="J264" i="2"/>
  <c r="J263" i="2"/>
  <c r="J262" i="2"/>
  <c r="E63" i="2"/>
  <c r="E62" i="2"/>
  <c r="J61" i="2"/>
  <c r="J60" i="2"/>
  <c r="J53" i="2"/>
  <c r="J58" i="2"/>
  <c r="J56" i="2"/>
  <c r="J55" i="2"/>
  <c r="J54" i="2"/>
  <c r="J57" i="2"/>
  <c r="J59" i="2"/>
  <c r="J45" i="2"/>
  <c r="J44" i="2"/>
  <c r="J43" i="2"/>
  <c r="E40" i="2"/>
  <c r="J38" i="2"/>
  <c r="J37" i="2"/>
  <c r="J36" i="2"/>
  <c r="J31" i="2"/>
  <c r="E32" i="2"/>
  <c r="J10" i="2"/>
  <c r="J30" i="2"/>
  <c r="J29" i="2"/>
  <c r="J22" i="2"/>
  <c r="J24" i="2"/>
  <c r="J21" i="2"/>
  <c r="J20" i="2"/>
  <c r="J18" i="2"/>
  <c r="J8" i="2"/>
  <c r="J7" i="2"/>
  <c r="J17" i="2"/>
  <c r="J16" i="2"/>
  <c r="J15" i="2"/>
  <c r="J13" i="2"/>
  <c r="J11" i="2"/>
  <c r="J9" i="2"/>
  <c r="J6" i="2"/>
  <c r="J40" i="2" l="1"/>
  <c r="G40" i="2"/>
  <c r="J167" i="2"/>
  <c r="G167" i="2"/>
  <c r="J168" i="2"/>
  <c r="G168" i="2"/>
  <c r="J32" i="2"/>
  <c r="G32" i="2"/>
  <c r="J62" i="2"/>
  <c r="G62" i="2"/>
  <c r="J166" i="2"/>
  <c r="G166" i="2"/>
  <c r="J109" i="2"/>
  <c r="G109" i="2"/>
  <c r="J75" i="2"/>
  <c r="G63" i="2"/>
  <c r="E110" i="2"/>
  <c r="E111" i="2"/>
  <c r="E112" i="2"/>
  <c r="J271" i="2"/>
  <c r="J270" i="2"/>
  <c r="J99" i="2"/>
  <c r="J73" i="2"/>
  <c r="J74" i="2"/>
  <c r="J76" i="2"/>
  <c r="J63" i="2"/>
  <c r="G46" i="2"/>
  <c r="J33" i="2"/>
  <c r="F36" i="1"/>
  <c r="F27" i="1"/>
  <c r="F17" i="1"/>
  <c r="J111" i="2" l="1"/>
  <c r="G111" i="2"/>
  <c r="J110" i="2"/>
  <c r="G110" i="2"/>
  <c r="J112" i="2"/>
  <c r="G112" i="2"/>
  <c r="E50" i="2"/>
  <c r="E49" i="2"/>
  <c r="E48" i="2"/>
  <c r="E47" i="2"/>
  <c r="J46" i="2"/>
  <c r="D27" i="1"/>
  <c r="D36" i="1"/>
  <c r="D17" i="1"/>
  <c r="J49" i="2" l="1"/>
  <c r="G49" i="2"/>
  <c r="J47" i="2"/>
  <c r="G47" i="2"/>
  <c r="J48" i="2"/>
  <c r="G48" i="2"/>
  <c r="J50" i="2"/>
  <c r="G50" i="2"/>
  <c r="G291" i="2" l="1"/>
</calcChain>
</file>

<file path=xl/sharedStrings.xml><?xml version="1.0" encoding="utf-8"?>
<sst xmlns="http://schemas.openxmlformats.org/spreadsheetml/2006/main" count="850" uniqueCount="221">
  <si>
    <t>№ приміщення</t>
  </si>
  <si>
    <t>Назва</t>
  </si>
  <si>
    <t>Підлоги</t>
  </si>
  <si>
    <t>Стіни</t>
  </si>
  <si>
    <t>Стелі</t>
  </si>
  <si>
    <t>Примітка</t>
  </si>
  <si>
    <t>Цоколь</t>
  </si>
  <si>
    <t>Перегородки</t>
  </si>
  <si>
    <t>Котельня</t>
  </si>
  <si>
    <t>кімната для продуктів</t>
  </si>
  <si>
    <t>коридор +інвентарна</t>
  </si>
  <si>
    <t>С/В для МГН</t>
  </si>
  <si>
    <t>Кімната</t>
  </si>
  <si>
    <t xml:space="preserve">Кімната для пацієнтів </t>
  </si>
  <si>
    <t>тип</t>
  </si>
  <si>
    <t>І поверх</t>
  </si>
  <si>
    <t>Тамбур</t>
  </si>
  <si>
    <t>С/В</t>
  </si>
  <si>
    <t>Коридор +сходи</t>
  </si>
  <si>
    <t>ІІ поверх</t>
  </si>
  <si>
    <t>Коридор</t>
  </si>
  <si>
    <t>Кімната для пацієнтів (висота2,7)</t>
  </si>
  <si>
    <t>ІІІ поверх</t>
  </si>
  <si>
    <t>Підпокрівельний</t>
  </si>
  <si>
    <t>91,95+18,4 ЕППС</t>
  </si>
  <si>
    <t>штукатурка цементна</t>
  </si>
  <si>
    <t>Натяжна</t>
  </si>
  <si>
    <t>Штукатурна</t>
  </si>
  <si>
    <t>Армстронг</t>
  </si>
  <si>
    <t>Шпаклівка, Склохолст, Шпаклівка, Фарбування</t>
  </si>
  <si>
    <t>ЕППС 50, Стяжка 50, Плитка</t>
  </si>
  <si>
    <t>ЕППС 50, Стяжка 50, Лінолеум</t>
  </si>
  <si>
    <t>ЕППС 100, Стяжка 50, Лінолеум</t>
  </si>
  <si>
    <t>Стяжка 50, Плитка</t>
  </si>
  <si>
    <t>Стяжка 50, Лінолеум</t>
  </si>
  <si>
    <t>№п/п</t>
  </si>
  <si>
    <t>Найменування робіт</t>
  </si>
  <si>
    <t>Одиниці виміру</t>
  </si>
  <si>
    <t xml:space="preserve">Кількість </t>
  </si>
  <si>
    <t xml:space="preserve">Ціна </t>
  </si>
  <si>
    <t>Вартість</t>
  </si>
  <si>
    <t>Найменування матеріалів</t>
  </si>
  <si>
    <t>Кількість  *Уочнити по факту</t>
  </si>
  <si>
    <t>м3</t>
  </si>
  <si>
    <t>шт</t>
  </si>
  <si>
    <t>м2</t>
  </si>
  <si>
    <t>л</t>
  </si>
  <si>
    <t>м</t>
  </si>
  <si>
    <t>ПІДЛОГИ</t>
  </si>
  <si>
    <t>Підготовка основи (прибирання сміття, знепилення, грунтування підлоги)</t>
  </si>
  <si>
    <r>
      <t>Суцільне вирівнювання підлог (демонтаж напливів, підливання ям)</t>
    </r>
    <r>
      <rPr>
        <b/>
        <sz val="11"/>
        <color rgb="FFFF0000"/>
        <rFont val="Calibri"/>
        <family val="2"/>
        <charset val="204"/>
        <scheme val="minor"/>
      </rPr>
      <t xml:space="preserve"> (матеріали пораховані на шар 3 см на всю площу - кількість уточнити по факту)</t>
    </r>
  </si>
  <si>
    <t>Пісок (кількість уточнити по факту)</t>
  </si>
  <si>
    <t>т</t>
  </si>
  <si>
    <t>Цемент М500 ПЦ ІІ</t>
  </si>
  <si>
    <t>Плити ЕППС 50мм</t>
  </si>
  <si>
    <t>Улаштування шару з плівки</t>
  </si>
  <si>
    <t>Плівка поліетиленова 200мкм</t>
  </si>
  <si>
    <t xml:space="preserve">Стрічка липка (скотч) </t>
  </si>
  <si>
    <t xml:space="preserve">Армування стяжки сіткою </t>
  </si>
  <si>
    <t>Сітка зварна кладочна 100х100 3мм</t>
  </si>
  <si>
    <t xml:space="preserve">Проволка вязальна </t>
  </si>
  <si>
    <t>кг</t>
  </si>
  <si>
    <t>Підставки під сітку</t>
  </si>
  <si>
    <r>
      <t xml:space="preserve">Утеплення підлоги плитами ЕППС 50мм </t>
    </r>
    <r>
      <rPr>
        <b/>
        <sz val="11"/>
        <color rgb="FFFF0000"/>
        <rFont val="Calibri"/>
        <family val="2"/>
        <charset val="204"/>
        <scheme val="minor"/>
      </rPr>
      <t>(товщину ЕППС 50 мм принято умовну на всю площу з урахуванням попереднього вирівнювання підлоги - уточнити по факту)</t>
    </r>
  </si>
  <si>
    <t>Фібра поліпропіленова</t>
  </si>
  <si>
    <t>Стяжка самовирівнююча</t>
  </si>
  <si>
    <t>Улаштування самовирівнюючої стяжки під лінолеум (шар 5мм)</t>
  </si>
  <si>
    <t>Укладання лінолеуму на клею з пропаюванням у стиках</t>
  </si>
  <si>
    <t>Клей для укладаня лінолеуму</t>
  </si>
  <si>
    <t>Грунтування підлоги під лінолеум</t>
  </si>
  <si>
    <t>Грунтування підлоги по стяжці</t>
  </si>
  <si>
    <t>Шнур для пропаювання стиків (кількість по факту)</t>
  </si>
  <si>
    <t>Облицюваня підлог плиткою</t>
  </si>
  <si>
    <t>Клей для плитки (Ceresit CM 12)</t>
  </si>
  <si>
    <t>Затирка для швів (Ceresit CE 40)</t>
  </si>
  <si>
    <t>м.п.</t>
  </si>
  <si>
    <t>Плити ЕППС 100мм</t>
  </si>
  <si>
    <r>
      <t xml:space="preserve">Монтаж плінтусів ПВХ </t>
    </r>
    <r>
      <rPr>
        <b/>
        <sz val="11"/>
        <color rgb="FFFF0000"/>
        <rFont val="Calibri"/>
        <family val="2"/>
        <charset val="204"/>
        <scheme val="minor"/>
      </rPr>
      <t>(розмір уточнити по факту)</t>
    </r>
  </si>
  <si>
    <t>Плінтус ПВХ</t>
  </si>
  <si>
    <t>м.п</t>
  </si>
  <si>
    <t>З'єднувальні елементи плінтусу (кількість визначити по місцю)</t>
  </si>
  <si>
    <t>Дюбель 6х40 швидкий монтаж</t>
  </si>
  <si>
    <t>СВП</t>
  </si>
  <si>
    <t>Укладання стяжки шаром 50мм( в т.ч монтаж демпферної стрічки) (5,5м3)</t>
  </si>
  <si>
    <r>
      <t xml:space="preserve">Стрічка демпферна </t>
    </r>
    <r>
      <rPr>
        <b/>
        <sz val="11"/>
        <color rgb="FFFF0000"/>
        <rFont val="Calibri"/>
        <family val="2"/>
        <charset val="204"/>
        <scheme val="minor"/>
      </rPr>
      <t>(уточнити по факту)</t>
    </r>
  </si>
  <si>
    <t>СТІНИ</t>
  </si>
  <si>
    <t xml:space="preserve">Набивання сітки штукатурної </t>
  </si>
  <si>
    <t>Сітка штукатурна оцинкована</t>
  </si>
  <si>
    <t>Штукатурення стіни цементною штукатурою по маяках (шар до 50 мм - товщину накиду уточнити по факту)</t>
  </si>
  <si>
    <t xml:space="preserve">Штукатурка цементна суха </t>
  </si>
  <si>
    <t>Грунтування стін по штукатурці</t>
  </si>
  <si>
    <r>
      <t xml:space="preserve"> Лінолеум TARKETT ECLIPSE PREMIUM SPIRIT
DARK COOL GREY </t>
    </r>
    <r>
      <rPr>
        <b/>
        <sz val="11"/>
        <color rgb="FFFF0000"/>
        <rFont val="Calibri"/>
        <family val="2"/>
        <charset val="204"/>
        <scheme val="minor"/>
      </rPr>
      <t>(кількість уточнити згідно розкрою)</t>
    </r>
  </si>
  <si>
    <t>Плитка керамічна Solano Anthracite
Matt Cersanit 598x1198 мм</t>
  </si>
  <si>
    <t>Плитка керамічна Cersanit Gptu 1201
Grey 59,8x119,8 см</t>
  </si>
  <si>
    <t>ПлиткаStone galaxy graphite matt rect 598x1198</t>
  </si>
  <si>
    <t>Облицюваня стін  плиткою</t>
  </si>
  <si>
    <t>Плитка Cersanit TOBIAS BEIGE MATT RECT
59,8X119,8 см</t>
  </si>
  <si>
    <t>Шпаклювання стін стартовою шаклівкою</t>
  </si>
  <si>
    <t xml:space="preserve">Шпаклівка стартова </t>
  </si>
  <si>
    <t>Маяк штукатурний (уточнити кількість)</t>
  </si>
  <si>
    <t>Грунтування стін під фінішну шпаклівку</t>
  </si>
  <si>
    <t xml:space="preserve">Шпаклівка фінішна </t>
  </si>
  <si>
    <t>Грунтування стін під фарбування</t>
  </si>
  <si>
    <t>Грунтовка глибокопроникна  під фарбування (Ceresit CТ 17 Супер)</t>
  </si>
  <si>
    <t>Грунтовка глибокопроникна (Ceresit CТ 17 )</t>
  </si>
  <si>
    <t>Фарбування стін</t>
  </si>
  <si>
    <t>Фарба для стін Escaro Color (колір відповідно дизайн проекту)</t>
  </si>
  <si>
    <t>СТЕЛІ</t>
  </si>
  <si>
    <t>Розділ . Цокольні приміщення</t>
  </si>
  <si>
    <t>Шпаклювання стін фінішною шаклівкою під фарбування</t>
  </si>
  <si>
    <t>Монтаж натяжних стель у кімнатах</t>
  </si>
  <si>
    <t xml:space="preserve">Комплект натяжної стелі </t>
  </si>
  <si>
    <t>Монтаж стелі типу "Армстронг"</t>
  </si>
  <si>
    <t>Кутик пристінний</t>
  </si>
  <si>
    <t>Т профіль 3600</t>
  </si>
  <si>
    <t>Т профіль 1200</t>
  </si>
  <si>
    <t>Т профіль 600</t>
  </si>
  <si>
    <t>Підвіс в зборі</t>
  </si>
  <si>
    <t>Дюбель 6х40</t>
  </si>
  <si>
    <t>Плита підвісної стелі</t>
  </si>
  <si>
    <t>Грунтування стелі бетонконтактом</t>
  </si>
  <si>
    <t>Грунтовка Бетонконтакт</t>
  </si>
  <si>
    <t>Штукатурення стелі цементною штукатурою 10мм</t>
  </si>
  <si>
    <t>Грунтування стелі по штукатурці</t>
  </si>
  <si>
    <t>Шпаклювання стелі стартовою шаклівкою</t>
  </si>
  <si>
    <t>Грунтування стелі під фінішну шпаклівку</t>
  </si>
  <si>
    <t>Шпаклювання стелі фінішною шаклівкою під фарбування</t>
  </si>
  <si>
    <t>Грунтування стелі під фарбування</t>
  </si>
  <si>
    <t>Фарбування стелі</t>
  </si>
  <si>
    <t>Облицювання сходів плиткою</t>
  </si>
  <si>
    <t>Сходинка Cersanit City Squares Grey Steptread 298х598</t>
  </si>
  <si>
    <t>Сходинка Cersanit City Squares Anthracite Steptread 29,8x59,8 см</t>
  </si>
  <si>
    <t>Плитка Cersanit City Squares Anthracite Steptread 29,8x59,8 см</t>
  </si>
  <si>
    <t>ПлиткаCersanit City Squares Grey Steptread 29,8 Х 59,8 см</t>
  </si>
  <si>
    <t>Розділ. І поверх</t>
  </si>
  <si>
    <t>Плитка керамічна для пілоги (Плінтус для плитки Cersanit Gptu 1201 Grey - 65м.п.)</t>
  </si>
  <si>
    <t>Плінтус з плитки (сходи , коридори, кухня)</t>
  </si>
  <si>
    <t>Грунтування стін під плитку</t>
  </si>
  <si>
    <t>Розділ. Інше</t>
  </si>
  <si>
    <t>СХОДИ</t>
  </si>
  <si>
    <t>ПЛІНТУСИ З ПЛИТКИ</t>
  </si>
  <si>
    <t>Гіпсокартон</t>
  </si>
  <si>
    <r>
      <t xml:space="preserve">Монтаж стелі типу "Армстронг" </t>
    </r>
    <r>
      <rPr>
        <b/>
        <sz val="11"/>
        <color rgb="FFFF0000"/>
        <rFont val="Calibri"/>
        <family val="2"/>
        <charset val="204"/>
        <scheme val="minor"/>
      </rPr>
      <t>(площу перевірити по факту)</t>
    </r>
  </si>
  <si>
    <r>
      <t xml:space="preserve">Підшивання сходових маршів ГКЛ по металевому каркасу </t>
    </r>
    <r>
      <rPr>
        <b/>
        <sz val="11"/>
        <color rgb="FFFF0000"/>
        <rFont val="Calibri"/>
        <family val="2"/>
        <charset val="204"/>
        <scheme val="minor"/>
      </rPr>
      <t>(площу перевірити по факту)</t>
    </r>
  </si>
  <si>
    <t>Гіпсокартон звичайний</t>
  </si>
  <si>
    <t>Профіль UD 27</t>
  </si>
  <si>
    <t>Профіль СD 60</t>
  </si>
  <si>
    <t>Саморіз 3,5х9,5</t>
  </si>
  <si>
    <t>Саморіз 3,5х25</t>
  </si>
  <si>
    <t>Стрічка армуюча</t>
  </si>
  <si>
    <t>Шпаклівка Фюгенфюлер</t>
  </si>
  <si>
    <r>
      <t xml:space="preserve">Підшивання стель та сходових маршів ГКЛ по металевому каркасу </t>
    </r>
    <r>
      <rPr>
        <b/>
        <sz val="11"/>
        <color rgb="FFFF0000"/>
        <rFont val="Calibri"/>
        <family val="2"/>
        <charset val="204"/>
        <scheme val="minor"/>
      </rPr>
      <t>(площу перевірити по факту)</t>
    </r>
  </si>
  <si>
    <t>Розділ. ІІ поверх</t>
  </si>
  <si>
    <r>
      <t xml:space="preserve">Облицюваня стін  плиткою </t>
    </r>
    <r>
      <rPr>
        <b/>
        <sz val="11"/>
        <color rgb="FFFF0000"/>
        <rFont val="Calibri"/>
        <family val="2"/>
        <charset val="204"/>
        <scheme val="minor"/>
      </rPr>
      <t>(розмір уточнити по факту)</t>
    </r>
  </si>
  <si>
    <t>Розділ. ІІІ поверх</t>
  </si>
  <si>
    <t>Монтаж утеплювача 250мм (два шари 100+150 в розбіжку)</t>
  </si>
  <si>
    <t>Вата мінеральна (щільність уточнити проектом) 100мм+150мм</t>
  </si>
  <si>
    <t>Монтаж паробар'єра</t>
  </si>
  <si>
    <t>Паробар'єр</t>
  </si>
  <si>
    <t>Монтаж контррейки</t>
  </si>
  <si>
    <t>Рейка монтажна 30х50 (близько 200м)</t>
  </si>
  <si>
    <t xml:space="preserve">Цвяхи </t>
  </si>
  <si>
    <t>к-т</t>
  </si>
  <si>
    <t>Антисептування деревини</t>
  </si>
  <si>
    <t>Вогнебіозахист</t>
  </si>
  <si>
    <t>Підшивання стелі гіпсокартоном по металевому каркасу</t>
  </si>
  <si>
    <t>Профіль металевий оцинкований CD 60</t>
  </si>
  <si>
    <t>Підвіс П -подібний</t>
  </si>
  <si>
    <t>Гіпсокартон вологостійкий</t>
  </si>
  <si>
    <t>Підшивання стін гіпсокартоном по металевому каркасу</t>
  </si>
  <si>
    <t>Монтаж  прегородок ГКЛ (100мм) з ізоляцією мінватою</t>
  </si>
  <si>
    <t>Профіль UW 75</t>
  </si>
  <si>
    <t>Профіль CW 75</t>
  </si>
  <si>
    <t>Вата рулонна мінеральна</t>
  </si>
  <si>
    <t>Свморіз 3,5х9,5</t>
  </si>
  <si>
    <t>Підсилення дверного прорізу</t>
  </si>
  <si>
    <t>Монтаж гідробар'єра</t>
  </si>
  <si>
    <t>МОНТАЖ КОНСТРУКЦІЙ</t>
  </si>
  <si>
    <t>Розділ. Прорізи</t>
  </si>
  <si>
    <t>Монтаж вхідних дверей (металеві утеплені з обшивкою з МДФ)</t>
  </si>
  <si>
    <t>Монта дверей розсувних</t>
  </si>
  <si>
    <t>Блоки дверні металеві утеплені з обшивкою з МДФ (Д21:10)</t>
  </si>
  <si>
    <t>Двері міжкімнатні розсувні (2050х1000)</t>
  </si>
  <si>
    <t>Монтаж дверей міжкімнатних</t>
  </si>
  <si>
    <t>Двері міжкімнатні (Д21:10)</t>
  </si>
  <si>
    <t>Двері міжкімнатні (Д21:9)</t>
  </si>
  <si>
    <t>Двері міжкімнатні (Д21:8)</t>
  </si>
  <si>
    <t>Двері міжкімнатні (Д20:7,5)</t>
  </si>
  <si>
    <t>Кількість лиштви уточнити по факту</t>
  </si>
  <si>
    <t>Кріплення (турбогвинт або пластини з дюбелями)</t>
  </si>
  <si>
    <t>Піна монтажна</t>
  </si>
  <si>
    <t>Монтаж конструкції з металопластику (тамбур ззовні)</t>
  </si>
  <si>
    <r>
      <t>Конструкції металопластикові</t>
    </r>
    <r>
      <rPr>
        <b/>
        <sz val="11"/>
        <color rgb="FFFF0000"/>
        <rFont val="Calibri"/>
        <family val="2"/>
        <charset val="204"/>
        <scheme val="minor"/>
      </rPr>
      <t xml:space="preserve"> (розмір уточнити окремо)</t>
    </r>
  </si>
  <si>
    <t>Зароблення штроб від маяків</t>
  </si>
  <si>
    <t>Видалення маяків зі стін (кількість уточнити по факту)</t>
  </si>
  <si>
    <t>МАЯКИ + КУТИКИ+ВІКОННІ ВІДКОСИ</t>
  </si>
  <si>
    <t>Кутик перфорований ПВХ</t>
  </si>
  <si>
    <t>Шпаклівка фінішна</t>
  </si>
  <si>
    <t xml:space="preserve">ПЕРЕГОРОДКИ </t>
  </si>
  <si>
    <t xml:space="preserve">Монтаж віконного блоку м/п нового </t>
  </si>
  <si>
    <t>Блок віконний металопластиковий 1320х1200</t>
  </si>
  <si>
    <t>Мурування перегородок в 0,5цегли (уточнити по факту)</t>
  </si>
  <si>
    <t>Цегла кладочна рядова</t>
  </si>
  <si>
    <t>Суміш кладочна</t>
  </si>
  <si>
    <t xml:space="preserve">Гідробар'єр </t>
  </si>
  <si>
    <t>УТЕПЛЕННЯ ПЕРЕКРИТТЯ ІІІ ПОВЕРХУ</t>
  </si>
  <si>
    <t>Укладання пароізоляції на підлогу</t>
  </si>
  <si>
    <t>Укладання плівки по утеплювачу</t>
  </si>
  <si>
    <t>Плівка поліетиленова 200 мкм</t>
  </si>
  <si>
    <t>Армування стяжки сіткою</t>
  </si>
  <si>
    <t xml:space="preserve">Стяжка цементна </t>
  </si>
  <si>
    <t>Сітка кладочна 100х100х3</t>
  </si>
  <si>
    <t xml:space="preserve">Монтаж утеплювача 100мм </t>
  </si>
  <si>
    <t>Вата мінеральна (щільність уточнити проектом) 100мм</t>
  </si>
  <si>
    <t>Відновлення кутів відкосів (під фарбування)</t>
  </si>
  <si>
    <t>РАЗОМ:</t>
  </si>
  <si>
    <t>Шпаклювання стін старт,фініш шаклівкою під фарбування</t>
  </si>
  <si>
    <t>Шпаклювання стелі  ,фінішн. шаклівкою під фарбування</t>
  </si>
  <si>
    <t>Виделення кутиків з відкосів</t>
  </si>
  <si>
    <t>Улаштування стяжки 40мм</t>
  </si>
  <si>
    <t xml:space="preserve">Закладання прорізу в 2 цегли (гаражні ворота) з формуванням дверного та віконного прорізів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</si>
</sst>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/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1" fillId="0" borderId="14" xfId="0" applyFont="1" applyBorder="1"/>
    <xf numFmtId="0" fontId="1" fillId="0" borderId="15" xfId="0" applyFont="1" applyBorder="1"/>
    <xf numFmtId="0" fontId="1" fillId="0" borderId="3" xfId="0" applyFont="1" applyBorder="1" applyAlignment="1">
      <alignment horizontal="center" vertical="center"/>
    </xf>
    <xf numFmtId="0" fontId="0" fillId="0" borderId="1" xfId="0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1" fillId="0" borderId="19" xfId="0" applyFont="1" applyBorder="1"/>
    <xf numFmtId="0" fontId="1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1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left" vertical="center" wrapText="1"/>
    </xf>
    <xf numFmtId="164" fontId="1" fillId="0" borderId="27" xfId="0" applyNumberFormat="1" applyFont="1" applyFill="1" applyBorder="1" applyAlignment="1">
      <alignment horizontal="center" vertical="center" wrapText="1"/>
    </xf>
    <xf numFmtId="2" fontId="1" fillId="0" borderId="27" xfId="0" applyNumberFormat="1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27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164" fontId="1" fillId="2" borderId="27" xfId="0" applyNumberFormat="1" applyFont="1" applyFill="1" applyBorder="1" applyAlignment="1">
      <alignment horizontal="center" vertical="center" wrapText="1"/>
    </xf>
    <xf numFmtId="2" fontId="1" fillId="2" borderId="27" xfId="0" applyNumberFormat="1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164" fontId="1" fillId="3" borderId="27" xfId="0" applyNumberFormat="1" applyFont="1" applyFill="1" applyBorder="1" applyAlignment="1">
      <alignment horizontal="center" vertical="center" wrapText="1"/>
    </xf>
    <xf numFmtId="2" fontId="1" fillId="3" borderId="27" xfId="0" applyNumberFormat="1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164" fontId="0" fillId="0" borderId="27" xfId="0" applyNumberFormat="1" applyBorder="1"/>
    <xf numFmtId="0" fontId="1" fillId="0" borderId="27" xfId="0" applyFont="1" applyBorder="1" applyAlignment="1">
      <alignment wrapText="1"/>
    </xf>
    <xf numFmtId="0" fontId="1" fillId="0" borderId="27" xfId="0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164" fontId="1" fillId="0" borderId="27" xfId="0" applyNumberFormat="1" applyFont="1" applyBorder="1"/>
    <xf numFmtId="2" fontId="1" fillId="0" borderId="27" xfId="0" applyNumberFormat="1" applyFont="1" applyBorder="1" applyAlignment="1">
      <alignment horizontal="center" vertical="center"/>
    </xf>
    <xf numFmtId="1" fontId="1" fillId="0" borderId="27" xfId="0" applyNumberFormat="1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2" fontId="0" fillId="0" borderId="0" xfId="0" applyNumberForma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wrapText="1"/>
    </xf>
    <xf numFmtId="164" fontId="1" fillId="0" borderId="28" xfId="0" applyNumberFormat="1" applyFont="1" applyBorder="1" applyAlignment="1">
      <alignment horizontal="center" vertical="center"/>
    </xf>
    <xf numFmtId="164" fontId="1" fillId="0" borderId="28" xfId="0" applyNumberFormat="1" applyFont="1" applyBorder="1"/>
    <xf numFmtId="2" fontId="1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wrapText="1"/>
    </xf>
    <xf numFmtId="164" fontId="1" fillId="0" borderId="29" xfId="0" applyNumberFormat="1" applyFont="1" applyBorder="1" applyAlignment="1">
      <alignment horizontal="center" vertical="center"/>
    </xf>
    <xf numFmtId="164" fontId="1" fillId="0" borderId="29" xfId="0" applyNumberFormat="1" applyFont="1" applyBorder="1"/>
    <xf numFmtId="2" fontId="1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wrapText="1"/>
    </xf>
    <xf numFmtId="0" fontId="1" fillId="0" borderId="30" xfId="0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164" fontId="1" fillId="0" borderId="30" xfId="0" applyNumberFormat="1" applyFont="1" applyBorder="1"/>
    <xf numFmtId="2" fontId="1" fillId="0" borderId="30" xfId="0" applyNumberFormat="1" applyFont="1" applyBorder="1" applyAlignment="1">
      <alignment horizontal="center" vertical="center"/>
    </xf>
    <xf numFmtId="164" fontId="1" fillId="0" borderId="10" xfId="0" applyNumberFormat="1" applyFont="1" applyBorder="1"/>
    <xf numFmtId="0" fontId="1" fillId="0" borderId="30" xfId="0" applyFont="1" applyBorder="1" applyAlignment="1">
      <alignment horizontal="center" wrapText="1"/>
    </xf>
    <xf numFmtId="0" fontId="1" fillId="4" borderId="27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2"/>
  <sheetViews>
    <sheetView zoomScale="70" zoomScaleNormal="70" workbookViewId="0">
      <pane xSplit="8" ySplit="8" topLeftCell="I9" activePane="bottomRight" state="frozen"/>
      <selection pane="topRight" activeCell="I1" sqref="I1"/>
      <selection pane="bottomLeft" activeCell="A9" sqref="A9"/>
      <selection pane="bottomRight" activeCell="H13" sqref="H13"/>
    </sheetView>
  </sheetViews>
  <sheetFormatPr defaultRowHeight="14.5" x14ac:dyDescent="0.35"/>
  <cols>
    <col min="2" max="2" width="14.54296875" customWidth="1"/>
    <col min="3" max="3" width="29" customWidth="1"/>
    <col min="5" max="5" width="28.453125" customWidth="1"/>
    <col min="6" max="6" width="9.6328125" style="36" customWidth="1"/>
    <col min="7" max="7" width="21.90625" customWidth="1"/>
    <col min="9" max="9" width="19.26953125" customWidth="1"/>
    <col min="10" max="10" width="9" customWidth="1"/>
    <col min="11" max="11" width="16.6328125" customWidth="1"/>
    <col min="12" max="12" width="27.81640625" customWidth="1"/>
  </cols>
  <sheetData>
    <row r="1" spans="2:12" ht="10.5" customHeight="1" x14ac:dyDescent="0.35"/>
    <row r="2" spans="2:12" hidden="1" x14ac:dyDescent="0.35"/>
    <row r="3" spans="2:12" ht="1.5" customHeight="1" x14ac:dyDescent="0.35"/>
    <row r="4" spans="2:12" ht="1.5" customHeight="1" x14ac:dyDescent="0.35"/>
    <row r="6" spans="2:12" ht="0.5" customHeight="1" thickBot="1" x14ac:dyDescent="0.4"/>
    <row r="7" spans="2:12" s="1" customFormat="1" x14ac:dyDescent="0.35">
      <c r="B7" s="2" t="s">
        <v>0</v>
      </c>
      <c r="C7" s="16" t="s">
        <v>1</v>
      </c>
      <c r="D7" s="96" t="s">
        <v>2</v>
      </c>
      <c r="E7" s="97"/>
      <c r="F7" s="96" t="s">
        <v>3</v>
      </c>
      <c r="G7" s="97"/>
      <c r="H7" s="96" t="s">
        <v>4</v>
      </c>
      <c r="I7" s="97"/>
      <c r="J7" s="96" t="s">
        <v>7</v>
      </c>
      <c r="K7" s="97"/>
      <c r="L7" s="25" t="s">
        <v>5</v>
      </c>
    </row>
    <row r="8" spans="2:12" s="1" customFormat="1" ht="15" thickBot="1" x14ac:dyDescent="0.4">
      <c r="B8" s="3"/>
      <c r="C8" s="17"/>
      <c r="D8" s="23"/>
      <c r="E8" s="9" t="s">
        <v>14</v>
      </c>
      <c r="F8" s="37"/>
      <c r="G8" s="9" t="s">
        <v>14</v>
      </c>
      <c r="H8" s="8"/>
      <c r="I8" s="9" t="s">
        <v>14</v>
      </c>
      <c r="J8" s="8"/>
      <c r="K8" s="9" t="s">
        <v>14</v>
      </c>
      <c r="L8" s="26"/>
    </row>
    <row r="9" spans="2:12" x14ac:dyDescent="0.35">
      <c r="B9" s="4" t="s">
        <v>6</v>
      </c>
      <c r="C9" s="18"/>
      <c r="D9" s="24"/>
      <c r="E9" s="5"/>
      <c r="F9" s="4"/>
      <c r="G9" s="5"/>
      <c r="H9" s="24"/>
      <c r="I9" s="5"/>
      <c r="J9" s="24"/>
      <c r="K9" s="5"/>
      <c r="L9" s="27"/>
    </row>
    <row r="10" spans="2:12" x14ac:dyDescent="0.35">
      <c r="B10" s="6">
        <v>1</v>
      </c>
      <c r="C10" s="19" t="s">
        <v>9</v>
      </c>
      <c r="D10" s="6">
        <v>18.5</v>
      </c>
      <c r="E10" s="7" t="s">
        <v>30</v>
      </c>
      <c r="F10" s="91">
        <v>134.5</v>
      </c>
      <c r="G10" s="7" t="s">
        <v>25</v>
      </c>
      <c r="H10" s="6">
        <v>18.5</v>
      </c>
      <c r="I10" s="7" t="s">
        <v>27</v>
      </c>
      <c r="J10" s="6"/>
      <c r="K10" s="7"/>
      <c r="L10" s="28"/>
    </row>
    <row r="11" spans="2:12" x14ac:dyDescent="0.35">
      <c r="B11" s="6">
        <v>2</v>
      </c>
      <c r="C11" s="19" t="s">
        <v>10</v>
      </c>
      <c r="D11" s="6">
        <v>14.7</v>
      </c>
      <c r="E11" s="7" t="s">
        <v>30</v>
      </c>
      <c r="F11" s="92"/>
      <c r="G11" s="7"/>
      <c r="H11" s="6">
        <v>14.7</v>
      </c>
      <c r="I11" s="7" t="s">
        <v>28</v>
      </c>
      <c r="J11" s="6"/>
      <c r="K11" s="7"/>
      <c r="L11" s="28"/>
    </row>
    <row r="12" spans="2:12" x14ac:dyDescent="0.35">
      <c r="B12" s="6">
        <v>3</v>
      </c>
      <c r="C12" s="19" t="s">
        <v>11</v>
      </c>
      <c r="D12" s="6">
        <v>5.55</v>
      </c>
      <c r="E12" s="7" t="s">
        <v>30</v>
      </c>
      <c r="F12" s="92"/>
      <c r="G12" s="7"/>
      <c r="H12" s="6">
        <v>5.55</v>
      </c>
      <c r="I12" s="7" t="s">
        <v>141</v>
      </c>
      <c r="J12" s="6"/>
      <c r="K12" s="7"/>
      <c r="L12" s="28"/>
    </row>
    <row r="13" spans="2:12" x14ac:dyDescent="0.35">
      <c r="B13" s="6">
        <v>4</v>
      </c>
      <c r="C13" s="19" t="s">
        <v>8</v>
      </c>
      <c r="D13" s="6">
        <v>3.3</v>
      </c>
      <c r="E13" s="7" t="s">
        <v>30</v>
      </c>
      <c r="F13" s="93"/>
      <c r="G13" s="7"/>
      <c r="H13" s="6">
        <v>3.3</v>
      </c>
      <c r="I13" s="7" t="s">
        <v>27</v>
      </c>
      <c r="J13" s="6"/>
      <c r="K13" s="7"/>
      <c r="L13" s="28"/>
    </row>
    <row r="14" spans="2:12" x14ac:dyDescent="0.35">
      <c r="B14" s="6">
        <v>5</v>
      </c>
      <c r="C14" s="19" t="s">
        <v>12</v>
      </c>
      <c r="D14" s="6">
        <v>28.1</v>
      </c>
      <c r="E14" s="7" t="s">
        <v>31</v>
      </c>
      <c r="F14" s="91">
        <v>101.4</v>
      </c>
      <c r="G14" s="7"/>
      <c r="H14" s="6">
        <v>28.1</v>
      </c>
      <c r="I14" s="7" t="s">
        <v>26</v>
      </c>
      <c r="J14" s="6"/>
      <c r="K14" s="7"/>
      <c r="L14" s="28"/>
    </row>
    <row r="15" spans="2:12" x14ac:dyDescent="0.35">
      <c r="B15" s="6">
        <v>6</v>
      </c>
      <c r="C15" s="19" t="s">
        <v>12</v>
      </c>
      <c r="D15" s="6">
        <v>21.8</v>
      </c>
      <c r="E15" s="7" t="s">
        <v>31</v>
      </c>
      <c r="F15" s="93"/>
      <c r="G15" s="7"/>
      <c r="H15" s="6">
        <v>21.8</v>
      </c>
      <c r="I15" s="7" t="s">
        <v>26</v>
      </c>
      <c r="J15" s="6"/>
      <c r="K15" s="7"/>
      <c r="L15" s="28"/>
    </row>
    <row r="16" spans="2:12" ht="15" thickBot="1" x14ac:dyDescent="0.4">
      <c r="B16" s="8">
        <v>7</v>
      </c>
      <c r="C16" s="20" t="s">
        <v>13</v>
      </c>
      <c r="D16" s="8">
        <v>18.399999999999999</v>
      </c>
      <c r="E16" s="9" t="s">
        <v>32</v>
      </c>
      <c r="F16" s="37">
        <v>43.8</v>
      </c>
      <c r="G16" s="9"/>
      <c r="H16" s="8">
        <v>18.399999999999999</v>
      </c>
      <c r="I16" s="9" t="s">
        <v>26</v>
      </c>
      <c r="J16" s="8"/>
      <c r="K16" s="9"/>
      <c r="L16" s="29"/>
    </row>
    <row r="17" spans="2:12" s="12" customFormat="1" ht="15" thickBot="1" x14ac:dyDescent="0.4">
      <c r="B17" s="10"/>
      <c r="C17" s="21"/>
      <c r="D17" s="10">
        <f>SUM(D10:D16)</f>
        <v>110.35</v>
      </c>
      <c r="E17" s="11" t="s">
        <v>24</v>
      </c>
      <c r="F17" s="38">
        <f>SUM(F10:F16)</f>
        <v>279.7</v>
      </c>
      <c r="G17" s="11"/>
      <c r="H17" s="10"/>
      <c r="I17" s="11"/>
      <c r="J17" s="10"/>
      <c r="K17" s="11"/>
      <c r="L17" s="30"/>
    </row>
    <row r="18" spans="2:12" x14ac:dyDescent="0.35">
      <c r="B18" s="4" t="s">
        <v>15</v>
      </c>
      <c r="C18" s="18"/>
      <c r="D18" s="24"/>
      <c r="E18" s="5"/>
      <c r="F18" s="4"/>
      <c r="G18" s="5"/>
      <c r="H18" s="24"/>
      <c r="I18" s="5"/>
      <c r="J18" s="24"/>
      <c r="K18" s="5"/>
      <c r="L18" s="27"/>
    </row>
    <row r="19" spans="2:12" x14ac:dyDescent="0.35">
      <c r="B19" s="6">
        <v>101</v>
      </c>
      <c r="C19" s="19" t="s">
        <v>16</v>
      </c>
      <c r="D19" s="6">
        <v>5.3</v>
      </c>
      <c r="E19" s="7" t="s">
        <v>33</v>
      </c>
      <c r="F19" s="91">
        <v>122.1</v>
      </c>
      <c r="G19" s="94" t="s">
        <v>29</v>
      </c>
      <c r="H19" s="6">
        <v>5.3</v>
      </c>
      <c r="I19" s="7"/>
      <c r="J19" s="6"/>
      <c r="K19" s="7"/>
      <c r="L19" s="28"/>
    </row>
    <row r="20" spans="2:12" x14ac:dyDescent="0.35">
      <c r="B20" s="6">
        <v>102</v>
      </c>
      <c r="C20" s="19" t="s">
        <v>17</v>
      </c>
      <c r="D20" s="6">
        <v>2.8</v>
      </c>
      <c r="E20" s="7" t="s">
        <v>33</v>
      </c>
      <c r="F20" s="92"/>
      <c r="G20" s="95"/>
      <c r="H20" s="6">
        <v>2.8</v>
      </c>
      <c r="I20" s="7"/>
      <c r="J20" s="6"/>
      <c r="K20" s="7"/>
      <c r="L20" s="28"/>
    </row>
    <row r="21" spans="2:12" x14ac:dyDescent="0.35">
      <c r="B21" s="6">
        <v>103</v>
      </c>
      <c r="C21" s="19" t="s">
        <v>18</v>
      </c>
      <c r="D21" s="6">
        <v>22.9</v>
      </c>
      <c r="E21" s="7" t="s">
        <v>33</v>
      </c>
      <c r="F21" s="92"/>
      <c r="G21" s="7"/>
      <c r="H21" s="6">
        <v>22.9</v>
      </c>
      <c r="I21" s="7" t="s">
        <v>28</v>
      </c>
      <c r="J21" s="6"/>
      <c r="K21" s="7"/>
      <c r="L21" s="28"/>
    </row>
    <row r="22" spans="2:12" x14ac:dyDescent="0.35">
      <c r="B22" s="6">
        <v>105</v>
      </c>
      <c r="C22" s="19" t="s">
        <v>17</v>
      </c>
      <c r="D22" s="6">
        <v>5.75</v>
      </c>
      <c r="E22" s="7" t="s">
        <v>33</v>
      </c>
      <c r="F22" s="93"/>
      <c r="G22" s="7"/>
      <c r="H22" s="6">
        <v>5.75</v>
      </c>
      <c r="I22" s="7"/>
      <c r="J22" s="6"/>
      <c r="K22" s="7"/>
      <c r="L22" s="28"/>
    </row>
    <row r="23" spans="2:12" x14ac:dyDescent="0.35">
      <c r="B23" s="6">
        <v>104</v>
      </c>
      <c r="C23" s="19" t="s">
        <v>13</v>
      </c>
      <c r="D23" s="6">
        <v>12.15</v>
      </c>
      <c r="E23" s="7" t="s">
        <v>34</v>
      </c>
      <c r="F23" s="91">
        <v>140.5</v>
      </c>
      <c r="G23" s="7"/>
      <c r="H23" s="6">
        <v>12.15</v>
      </c>
      <c r="I23" s="7"/>
      <c r="J23" s="6"/>
      <c r="K23" s="7"/>
      <c r="L23" s="28"/>
    </row>
    <row r="24" spans="2:12" x14ac:dyDescent="0.35">
      <c r="B24" s="6">
        <v>106</v>
      </c>
      <c r="C24" s="19" t="s">
        <v>13</v>
      </c>
      <c r="D24" s="6">
        <v>28.15</v>
      </c>
      <c r="E24" s="7" t="s">
        <v>34</v>
      </c>
      <c r="F24" s="92"/>
      <c r="G24" s="7"/>
      <c r="H24" s="6">
        <v>28.15</v>
      </c>
      <c r="I24" s="7"/>
      <c r="J24" s="6"/>
      <c r="K24" s="7"/>
      <c r="L24" s="28"/>
    </row>
    <row r="25" spans="2:12" x14ac:dyDescent="0.35">
      <c r="B25" s="6">
        <v>107</v>
      </c>
      <c r="C25" s="19" t="s">
        <v>13</v>
      </c>
      <c r="D25" s="6">
        <v>21.9</v>
      </c>
      <c r="E25" s="7" t="s">
        <v>34</v>
      </c>
      <c r="F25" s="93"/>
      <c r="G25" s="7"/>
      <c r="H25" s="6">
        <v>21.9</v>
      </c>
      <c r="I25" s="7"/>
      <c r="J25" s="6"/>
      <c r="K25" s="7"/>
      <c r="L25" s="28"/>
    </row>
    <row r="26" spans="2:12" ht="15" thickBot="1" x14ac:dyDescent="0.4">
      <c r="B26" s="32">
        <v>108</v>
      </c>
      <c r="C26" s="33" t="s">
        <v>13</v>
      </c>
      <c r="D26" s="32">
        <v>20.3</v>
      </c>
      <c r="E26" s="34" t="s">
        <v>34</v>
      </c>
      <c r="F26" s="40">
        <v>50.5</v>
      </c>
      <c r="G26" s="34"/>
      <c r="H26" s="32">
        <v>20.3</v>
      </c>
      <c r="I26" s="34"/>
      <c r="J26" s="32"/>
      <c r="K26" s="34"/>
      <c r="L26" s="35"/>
    </row>
    <row r="27" spans="2:12" s="12" customFormat="1" ht="15" thickBot="1" x14ac:dyDescent="0.4">
      <c r="B27" s="14"/>
      <c r="C27" s="22"/>
      <c r="D27" s="14">
        <f>SUM(D19:D26)</f>
        <v>119.24999999999999</v>
      </c>
      <c r="E27" s="15"/>
      <c r="F27" s="41">
        <f>SUM(F19:F26)</f>
        <v>313.10000000000002</v>
      </c>
      <c r="G27" s="15"/>
      <c r="H27" s="14"/>
      <c r="I27" s="15"/>
      <c r="J27" s="14"/>
      <c r="K27" s="15"/>
      <c r="L27" s="31"/>
    </row>
    <row r="28" spans="2:12" x14ac:dyDescent="0.35">
      <c r="B28" s="4" t="s">
        <v>19</v>
      </c>
      <c r="C28" s="18"/>
      <c r="D28" s="24"/>
      <c r="E28" s="5"/>
      <c r="F28" s="4"/>
      <c r="G28" s="5"/>
      <c r="H28" s="24"/>
      <c r="I28" s="5"/>
      <c r="J28" s="24"/>
      <c r="K28" s="5"/>
      <c r="L28" s="27"/>
    </row>
    <row r="29" spans="2:12" x14ac:dyDescent="0.35">
      <c r="B29" s="6">
        <v>201</v>
      </c>
      <c r="C29" s="19" t="s">
        <v>20</v>
      </c>
      <c r="D29" s="6">
        <v>10.1</v>
      </c>
      <c r="E29" s="7" t="s">
        <v>33</v>
      </c>
      <c r="F29" s="91">
        <v>101.1</v>
      </c>
      <c r="G29" s="94" t="s">
        <v>29</v>
      </c>
      <c r="H29" s="6">
        <v>10.1</v>
      </c>
      <c r="I29" s="7"/>
      <c r="J29" s="6"/>
      <c r="K29" s="7"/>
      <c r="L29" s="28"/>
    </row>
    <row r="30" spans="2:12" x14ac:dyDescent="0.35">
      <c r="B30" s="6">
        <v>202</v>
      </c>
      <c r="C30" s="19" t="s">
        <v>17</v>
      </c>
      <c r="D30" s="6">
        <v>4.9000000000000004</v>
      </c>
      <c r="E30" s="7" t="s">
        <v>33</v>
      </c>
      <c r="F30" s="92"/>
      <c r="G30" s="95"/>
      <c r="H30" s="6">
        <v>4.9000000000000004</v>
      </c>
      <c r="I30" s="7"/>
      <c r="J30" s="6"/>
      <c r="K30" s="7"/>
      <c r="L30" s="28"/>
    </row>
    <row r="31" spans="2:12" x14ac:dyDescent="0.35">
      <c r="B31" s="6">
        <v>203</v>
      </c>
      <c r="C31" s="19" t="s">
        <v>17</v>
      </c>
      <c r="D31" s="6">
        <v>4.8499999999999996</v>
      </c>
      <c r="E31" s="7" t="s">
        <v>33</v>
      </c>
      <c r="F31" s="93"/>
      <c r="G31" s="7"/>
      <c r="H31" s="6">
        <v>4.8499999999999996</v>
      </c>
      <c r="I31" s="7"/>
      <c r="J31" s="6"/>
      <c r="K31" s="7"/>
      <c r="L31" s="28"/>
    </row>
    <row r="32" spans="2:12" x14ac:dyDescent="0.35">
      <c r="B32" s="6">
        <v>204</v>
      </c>
      <c r="C32" s="19" t="s">
        <v>13</v>
      </c>
      <c r="D32" s="6">
        <v>18.3</v>
      </c>
      <c r="E32" s="7" t="s">
        <v>34</v>
      </c>
      <c r="F32" s="91">
        <v>146.30000000000001</v>
      </c>
      <c r="G32" s="7"/>
      <c r="H32" s="6">
        <v>18.3</v>
      </c>
      <c r="I32" s="7"/>
      <c r="J32" s="6"/>
      <c r="K32" s="7"/>
      <c r="L32" s="28"/>
    </row>
    <row r="33" spans="2:12" x14ac:dyDescent="0.35">
      <c r="B33" s="6">
        <v>205</v>
      </c>
      <c r="C33" s="19" t="s">
        <v>13</v>
      </c>
      <c r="D33" s="6">
        <v>28.15</v>
      </c>
      <c r="E33" s="7" t="s">
        <v>34</v>
      </c>
      <c r="F33" s="92"/>
      <c r="G33" s="7"/>
      <c r="H33" s="6">
        <v>28.15</v>
      </c>
      <c r="I33" s="7"/>
      <c r="J33" s="6"/>
      <c r="K33" s="7"/>
      <c r="L33" s="28"/>
    </row>
    <row r="34" spans="2:12" x14ac:dyDescent="0.35">
      <c r="B34" s="6">
        <v>206</v>
      </c>
      <c r="C34" s="19" t="s">
        <v>13</v>
      </c>
      <c r="D34" s="6">
        <v>21.9</v>
      </c>
      <c r="E34" s="7" t="s">
        <v>34</v>
      </c>
      <c r="F34" s="93"/>
      <c r="G34" s="7"/>
      <c r="H34" s="6">
        <v>21.9</v>
      </c>
      <c r="I34" s="7"/>
      <c r="J34" s="6"/>
      <c r="K34" s="7"/>
      <c r="L34" s="28"/>
    </row>
    <row r="35" spans="2:12" ht="15" thickBot="1" x14ac:dyDescent="0.4">
      <c r="B35" s="32">
        <v>207</v>
      </c>
      <c r="C35" s="33" t="s">
        <v>21</v>
      </c>
      <c r="D35" s="32">
        <v>20.3</v>
      </c>
      <c r="E35" s="34" t="s">
        <v>34</v>
      </c>
      <c r="F35" s="40">
        <v>50.5</v>
      </c>
      <c r="G35" s="34"/>
      <c r="H35" s="32">
        <v>20.3</v>
      </c>
      <c r="I35" s="34"/>
      <c r="J35" s="32"/>
      <c r="K35" s="34"/>
      <c r="L35" s="35"/>
    </row>
    <row r="36" spans="2:12" s="12" customFormat="1" ht="15" thickBot="1" x14ac:dyDescent="0.4">
      <c r="B36" s="14"/>
      <c r="C36" s="22"/>
      <c r="D36" s="14">
        <f>SUM(D29:D35)</f>
        <v>108.50000000000001</v>
      </c>
      <c r="E36" s="15"/>
      <c r="F36" s="41">
        <f>SUM(F29:F35)</f>
        <v>297.89999999999998</v>
      </c>
      <c r="G36" s="15"/>
      <c r="H36" s="14"/>
      <c r="I36" s="15"/>
      <c r="J36" s="14"/>
      <c r="K36" s="15"/>
      <c r="L36" s="31"/>
    </row>
    <row r="37" spans="2:12" x14ac:dyDescent="0.35">
      <c r="B37" s="4" t="s">
        <v>22</v>
      </c>
      <c r="C37" s="18"/>
      <c r="D37" s="24"/>
      <c r="E37" s="5"/>
      <c r="F37" s="4"/>
      <c r="G37" s="5"/>
      <c r="H37" s="24"/>
      <c r="I37" s="5"/>
      <c r="J37" s="24"/>
      <c r="K37" s="5"/>
      <c r="L37" s="27"/>
    </row>
    <row r="38" spans="2:12" x14ac:dyDescent="0.35">
      <c r="B38" s="6">
        <v>301</v>
      </c>
      <c r="C38" s="19" t="s">
        <v>13</v>
      </c>
      <c r="D38" s="6">
        <v>30.4</v>
      </c>
      <c r="E38" s="7" t="s">
        <v>34</v>
      </c>
      <c r="F38" s="39">
        <v>36.200000000000003</v>
      </c>
      <c r="G38" s="7"/>
      <c r="H38" s="6">
        <v>32</v>
      </c>
      <c r="I38" s="7"/>
      <c r="J38" s="6"/>
      <c r="K38" s="7"/>
      <c r="L38" s="28"/>
    </row>
    <row r="39" spans="2:12" x14ac:dyDescent="0.35">
      <c r="B39" s="6">
        <v>302</v>
      </c>
      <c r="C39" s="19" t="s">
        <v>17</v>
      </c>
      <c r="D39" s="6">
        <v>3.6</v>
      </c>
      <c r="E39" s="7" t="s">
        <v>33</v>
      </c>
      <c r="F39" s="39">
        <v>13.9</v>
      </c>
      <c r="G39" s="7"/>
      <c r="H39" s="6">
        <v>4</v>
      </c>
      <c r="I39" s="7"/>
      <c r="J39" s="6"/>
      <c r="K39" s="7"/>
      <c r="L39" s="28"/>
    </row>
    <row r="40" spans="2:12" ht="15" thickBot="1" x14ac:dyDescent="0.4">
      <c r="B40" s="8">
        <v>303</v>
      </c>
      <c r="C40" s="20" t="s">
        <v>23</v>
      </c>
      <c r="D40" s="8">
        <v>56.15</v>
      </c>
      <c r="E40" s="9"/>
      <c r="F40" s="37"/>
      <c r="G40" s="9"/>
      <c r="H40" s="8"/>
      <c r="I40" s="9"/>
      <c r="J40" s="8"/>
      <c r="K40" s="9"/>
      <c r="L40" s="29"/>
    </row>
    <row r="41" spans="2:12" s="12" customFormat="1" ht="15" thickBot="1" x14ac:dyDescent="0.4">
      <c r="B41" s="14"/>
      <c r="C41" s="22"/>
      <c r="D41" s="14"/>
      <c r="E41" s="15"/>
      <c r="F41" s="41"/>
      <c r="G41" s="15"/>
      <c r="H41" s="14"/>
      <c r="I41" s="15"/>
      <c r="J41" s="14"/>
      <c r="K41" s="15"/>
      <c r="L41" s="31"/>
    </row>
    <row r="42" spans="2:12" x14ac:dyDescent="0.35">
      <c r="B42" s="13"/>
      <c r="C42" s="13"/>
      <c r="D42" s="13"/>
      <c r="E42" s="13"/>
      <c r="F42" s="42"/>
      <c r="G42" s="13"/>
      <c r="H42" s="13"/>
      <c r="I42" s="13"/>
      <c r="J42" s="13"/>
      <c r="K42" s="13"/>
      <c r="L42" s="13"/>
    </row>
  </sheetData>
  <mergeCells count="12">
    <mergeCell ref="D7:E7"/>
    <mergeCell ref="F7:G7"/>
    <mergeCell ref="H7:I7"/>
    <mergeCell ref="J7:K7"/>
    <mergeCell ref="G19:G20"/>
    <mergeCell ref="F32:F34"/>
    <mergeCell ref="G29:G30"/>
    <mergeCell ref="F10:F13"/>
    <mergeCell ref="F14:F15"/>
    <mergeCell ref="F19:F22"/>
    <mergeCell ref="F23:F25"/>
    <mergeCell ref="F29:F3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L298"/>
  <sheetViews>
    <sheetView tabSelected="1" topLeftCell="A352" zoomScale="145" zoomScaleNormal="145" workbookViewId="0">
      <selection activeCell="C284" sqref="C284"/>
    </sheetView>
  </sheetViews>
  <sheetFormatPr defaultRowHeight="14.5" x14ac:dyDescent="0.35"/>
  <cols>
    <col min="3" max="3" width="55.36328125" customWidth="1"/>
    <col min="6" max="6" width="17" customWidth="1"/>
    <col min="7" max="7" width="14.1796875" customWidth="1"/>
    <col min="8" max="8" width="41.08984375" customWidth="1"/>
    <col min="11" max="11" width="11.453125" customWidth="1"/>
  </cols>
  <sheetData>
    <row r="3" spans="2:12" ht="58" x14ac:dyDescent="0.35">
      <c r="B3" s="43" t="s">
        <v>35</v>
      </c>
      <c r="C3" s="43" t="s">
        <v>36</v>
      </c>
      <c r="D3" s="43" t="s">
        <v>37</v>
      </c>
      <c r="E3" s="43" t="s">
        <v>38</v>
      </c>
      <c r="F3" s="44" t="s">
        <v>39</v>
      </c>
      <c r="G3" s="44" t="s">
        <v>40</v>
      </c>
      <c r="H3" s="43" t="s">
        <v>41</v>
      </c>
      <c r="I3" s="43" t="s">
        <v>37</v>
      </c>
      <c r="J3" s="45" t="s">
        <v>42</v>
      </c>
      <c r="K3" s="44" t="s">
        <v>39</v>
      </c>
      <c r="L3" s="44" t="s">
        <v>40</v>
      </c>
    </row>
    <row r="4" spans="2:12" x14ac:dyDescent="0.35">
      <c r="B4" s="54"/>
      <c r="C4" s="54" t="s">
        <v>108</v>
      </c>
      <c r="D4" s="54"/>
      <c r="E4" s="54"/>
      <c r="F4" s="55"/>
      <c r="G4" s="55"/>
      <c r="H4" s="54"/>
      <c r="I4" s="54"/>
      <c r="J4" s="56"/>
      <c r="K4" s="55"/>
      <c r="L4" s="55"/>
    </row>
    <row r="5" spans="2:12" x14ac:dyDescent="0.35">
      <c r="B5" s="57"/>
      <c r="C5" s="57" t="s">
        <v>48</v>
      </c>
      <c r="D5" s="57"/>
      <c r="E5" s="57"/>
      <c r="F5" s="58"/>
      <c r="G5" s="58"/>
      <c r="H5" s="57"/>
      <c r="I5" s="57"/>
      <c r="J5" s="59"/>
      <c r="K5" s="58"/>
      <c r="L5" s="58"/>
    </row>
    <row r="6" spans="2:12" ht="29" x14ac:dyDescent="0.35">
      <c r="B6" s="43"/>
      <c r="C6" s="46" t="s">
        <v>49</v>
      </c>
      <c r="D6" s="43" t="s">
        <v>45</v>
      </c>
      <c r="E6" s="43">
        <v>110.35</v>
      </c>
      <c r="F6" s="44">
        <v>30</v>
      </c>
      <c r="G6" s="44">
        <f>ROUND(F6*E6,2)</f>
        <v>3310.5</v>
      </c>
      <c r="H6" s="46" t="s">
        <v>104</v>
      </c>
      <c r="I6" s="43" t="s">
        <v>46</v>
      </c>
      <c r="J6" s="45">
        <f>0.2*E6</f>
        <v>22.07</v>
      </c>
      <c r="K6" s="44"/>
      <c r="L6" s="44"/>
    </row>
    <row r="7" spans="2:12" ht="43.5" x14ac:dyDescent="0.35">
      <c r="B7" s="43"/>
      <c r="C7" s="46" t="s">
        <v>50</v>
      </c>
      <c r="D7" s="43" t="s">
        <v>45</v>
      </c>
      <c r="E7" s="43">
        <v>91.95</v>
      </c>
      <c r="F7" s="44">
        <v>120</v>
      </c>
      <c r="G7" s="44">
        <f>ROUND(F7*E7,2)</f>
        <v>11034</v>
      </c>
      <c r="H7" s="46" t="s">
        <v>51</v>
      </c>
      <c r="I7" s="43" t="s">
        <v>52</v>
      </c>
      <c r="J7" s="45">
        <f>4*1.1</f>
        <v>4.4000000000000004</v>
      </c>
      <c r="K7" s="44"/>
      <c r="L7" s="44"/>
    </row>
    <row r="8" spans="2:12" x14ac:dyDescent="0.35">
      <c r="B8" s="43"/>
      <c r="C8" s="43"/>
      <c r="D8" s="43"/>
      <c r="E8" s="43"/>
      <c r="F8" s="44"/>
      <c r="G8" s="44"/>
      <c r="H8" s="46" t="s">
        <v>53</v>
      </c>
      <c r="I8" s="43" t="s">
        <v>52</v>
      </c>
      <c r="J8" s="45">
        <f>1.5*1.1</f>
        <v>1.6500000000000001</v>
      </c>
      <c r="K8" s="44"/>
      <c r="L8" s="44"/>
    </row>
    <row r="9" spans="2:12" ht="43.5" x14ac:dyDescent="0.35">
      <c r="B9" s="43"/>
      <c r="C9" s="46" t="s">
        <v>63</v>
      </c>
      <c r="D9" s="43" t="s">
        <v>45</v>
      </c>
      <c r="E9" s="43">
        <v>110.35</v>
      </c>
      <c r="F9" s="44">
        <v>85</v>
      </c>
      <c r="G9" s="44">
        <f>ROUND(F9*E9,2)</f>
        <v>9379.75</v>
      </c>
      <c r="H9" s="46" t="s">
        <v>54</v>
      </c>
      <c r="I9" s="43" t="s">
        <v>45</v>
      </c>
      <c r="J9" s="45">
        <f>1.05*E9</f>
        <v>115.86749999999999</v>
      </c>
      <c r="K9" s="44"/>
      <c r="L9" s="44"/>
    </row>
    <row r="10" spans="2:12" x14ac:dyDescent="0.35">
      <c r="B10" s="43"/>
      <c r="C10" s="46"/>
      <c r="D10" s="43"/>
      <c r="E10" s="43"/>
      <c r="F10" s="44"/>
      <c r="G10" s="44"/>
      <c r="H10" s="46" t="s">
        <v>76</v>
      </c>
      <c r="I10" s="43" t="s">
        <v>45</v>
      </c>
      <c r="J10" s="45">
        <f>1.05*18.4</f>
        <v>19.32</v>
      </c>
      <c r="K10" s="44"/>
      <c r="L10" s="44"/>
    </row>
    <row r="11" spans="2:12" x14ac:dyDescent="0.35">
      <c r="B11" s="43"/>
      <c r="C11" s="46" t="s">
        <v>55</v>
      </c>
      <c r="D11" s="43" t="s">
        <v>45</v>
      </c>
      <c r="E11" s="43">
        <v>110.35</v>
      </c>
      <c r="F11" s="44">
        <v>45</v>
      </c>
      <c r="G11" s="44">
        <f>ROUND(F11*E11,2)</f>
        <v>4965.75</v>
      </c>
      <c r="H11" s="46" t="s">
        <v>56</v>
      </c>
      <c r="I11" s="43" t="s">
        <v>45</v>
      </c>
      <c r="J11" s="45">
        <f>1.1*E11</f>
        <v>121.38500000000001</v>
      </c>
      <c r="K11" s="44"/>
      <c r="L11" s="44"/>
    </row>
    <row r="12" spans="2:12" x14ac:dyDescent="0.35">
      <c r="B12" s="43"/>
      <c r="C12" s="46"/>
      <c r="D12" s="43"/>
      <c r="E12" s="43"/>
      <c r="F12" s="44"/>
      <c r="G12" s="44"/>
      <c r="H12" s="46" t="s">
        <v>57</v>
      </c>
      <c r="I12" s="43" t="s">
        <v>44</v>
      </c>
      <c r="J12" s="45">
        <v>5</v>
      </c>
      <c r="K12" s="44"/>
      <c r="L12" s="44"/>
    </row>
    <row r="13" spans="2:12" x14ac:dyDescent="0.35">
      <c r="B13" s="43"/>
      <c r="C13" s="46" t="s">
        <v>58</v>
      </c>
      <c r="D13" s="43" t="s">
        <v>45</v>
      </c>
      <c r="E13" s="43">
        <v>110.35</v>
      </c>
      <c r="F13" s="44">
        <v>45</v>
      </c>
      <c r="G13" s="44">
        <f>ROUND(F13*E13,2)</f>
        <v>4965.75</v>
      </c>
      <c r="H13" s="46" t="s">
        <v>59</v>
      </c>
      <c r="I13" s="43" t="s">
        <v>45</v>
      </c>
      <c r="J13" s="45">
        <f>1.15*E13</f>
        <v>126.90249999999999</v>
      </c>
      <c r="K13" s="44"/>
      <c r="L13" s="44"/>
    </row>
    <row r="14" spans="2:12" x14ac:dyDescent="0.35">
      <c r="B14" s="43"/>
      <c r="C14" s="43"/>
      <c r="D14" s="43"/>
      <c r="E14" s="43"/>
      <c r="F14" s="44"/>
      <c r="G14" s="44"/>
      <c r="H14" s="46" t="s">
        <v>60</v>
      </c>
      <c r="I14" s="43" t="s">
        <v>61</v>
      </c>
      <c r="J14" s="45">
        <v>5</v>
      </c>
      <c r="K14" s="44"/>
      <c r="L14" s="44"/>
    </row>
    <row r="15" spans="2:12" x14ac:dyDescent="0.35">
      <c r="B15" s="43"/>
      <c r="C15" s="43"/>
      <c r="D15" s="43"/>
      <c r="E15" s="43"/>
      <c r="F15" s="44"/>
      <c r="G15" s="44"/>
      <c r="H15" s="46" t="s">
        <v>62</v>
      </c>
      <c r="I15" s="43" t="s">
        <v>44</v>
      </c>
      <c r="J15" s="47">
        <f>5*E13</f>
        <v>551.75</v>
      </c>
      <c r="K15" s="44"/>
      <c r="L15" s="44"/>
    </row>
    <row r="16" spans="2:12" ht="29" x14ac:dyDescent="0.35">
      <c r="B16" s="43"/>
      <c r="C16" s="46" t="s">
        <v>83</v>
      </c>
      <c r="D16" s="43" t="s">
        <v>45</v>
      </c>
      <c r="E16" s="43">
        <v>110.35</v>
      </c>
      <c r="F16" s="65">
        <v>260</v>
      </c>
      <c r="G16" s="44">
        <f>ROUND(F16*E16,2)</f>
        <v>28691</v>
      </c>
      <c r="H16" s="46" t="s">
        <v>51</v>
      </c>
      <c r="I16" s="43" t="s">
        <v>52</v>
      </c>
      <c r="J16" s="45">
        <f>2.52*1.1</f>
        <v>2.7720000000000002</v>
      </c>
      <c r="K16" s="44"/>
      <c r="L16" s="44"/>
    </row>
    <row r="17" spans="2:12" x14ac:dyDescent="0.35">
      <c r="B17" s="43"/>
      <c r="C17" s="43"/>
      <c r="D17" s="43"/>
      <c r="E17" s="43"/>
      <c r="F17" s="44"/>
      <c r="G17" s="44"/>
      <c r="H17" s="46" t="s">
        <v>53</v>
      </c>
      <c r="I17" s="43" t="s">
        <v>52</v>
      </c>
      <c r="J17" s="45">
        <f>6.6*1.1</f>
        <v>7.26</v>
      </c>
      <c r="K17" s="44"/>
      <c r="L17" s="44"/>
    </row>
    <row r="18" spans="2:12" x14ac:dyDescent="0.35">
      <c r="B18" s="43"/>
      <c r="C18" s="43"/>
      <c r="D18" s="43"/>
      <c r="E18" s="43"/>
      <c r="F18" s="44"/>
      <c r="G18" s="44"/>
      <c r="H18" s="46" t="s">
        <v>64</v>
      </c>
      <c r="I18" s="43" t="s">
        <v>61</v>
      </c>
      <c r="J18" s="45">
        <f>0.9*5.5</f>
        <v>4.95</v>
      </c>
      <c r="K18" s="44"/>
      <c r="L18" s="44"/>
    </row>
    <row r="19" spans="2:12" x14ac:dyDescent="0.35">
      <c r="B19" s="43"/>
      <c r="C19" s="43"/>
      <c r="D19" s="43"/>
      <c r="E19" s="43"/>
      <c r="F19" s="44"/>
      <c r="G19" s="44"/>
      <c r="H19" s="46" t="s">
        <v>84</v>
      </c>
      <c r="I19" s="43" t="s">
        <v>47</v>
      </c>
      <c r="J19" s="45">
        <v>200</v>
      </c>
      <c r="K19" s="44"/>
      <c r="L19" s="44"/>
    </row>
    <row r="20" spans="2:12" x14ac:dyDescent="0.35">
      <c r="B20" s="43"/>
      <c r="C20" s="46" t="s">
        <v>70</v>
      </c>
      <c r="D20" s="43" t="s">
        <v>45</v>
      </c>
      <c r="E20" s="43">
        <v>110.35</v>
      </c>
      <c r="F20" s="44">
        <v>20</v>
      </c>
      <c r="G20" s="44">
        <f>ROUND(F20*E20,2)</f>
        <v>2207</v>
      </c>
      <c r="H20" s="46" t="s">
        <v>104</v>
      </c>
      <c r="I20" s="43" t="s">
        <v>46</v>
      </c>
      <c r="J20" s="45">
        <f>0.2*E20</f>
        <v>22.07</v>
      </c>
      <c r="K20" s="44"/>
      <c r="L20" s="44"/>
    </row>
    <row r="21" spans="2:12" ht="29" x14ac:dyDescent="0.35">
      <c r="B21" s="43"/>
      <c r="C21" s="46" t="s">
        <v>66</v>
      </c>
      <c r="D21" s="43" t="s">
        <v>45</v>
      </c>
      <c r="E21" s="43">
        <v>68.3</v>
      </c>
      <c r="F21" s="44">
        <v>180</v>
      </c>
      <c r="G21" s="44">
        <f>ROUND(F21*E21,2)</f>
        <v>12294</v>
      </c>
      <c r="H21" s="46" t="s">
        <v>65</v>
      </c>
      <c r="I21" s="43" t="s">
        <v>61</v>
      </c>
      <c r="J21" s="45">
        <f>1.8*5*E21</f>
        <v>614.69999999999993</v>
      </c>
      <c r="K21" s="44"/>
      <c r="L21" s="44"/>
    </row>
    <row r="22" spans="2:12" x14ac:dyDescent="0.35">
      <c r="B22" s="43"/>
      <c r="C22" s="46" t="s">
        <v>69</v>
      </c>
      <c r="D22" s="43" t="s">
        <v>43</v>
      </c>
      <c r="E22" s="43">
        <v>68.3</v>
      </c>
      <c r="F22" s="44">
        <v>20</v>
      </c>
      <c r="G22" s="44">
        <f>ROUND(F22*E22,2)</f>
        <v>1366</v>
      </c>
      <c r="H22" s="46" t="s">
        <v>104</v>
      </c>
      <c r="I22" s="43" t="s">
        <v>46</v>
      </c>
      <c r="J22" s="45">
        <f>0.2*E22</f>
        <v>13.66</v>
      </c>
      <c r="K22" s="44"/>
      <c r="L22" s="44"/>
    </row>
    <row r="23" spans="2:12" ht="43.5" x14ac:dyDescent="0.35">
      <c r="B23" s="43"/>
      <c r="C23" s="46" t="s">
        <v>67</v>
      </c>
      <c r="D23" s="43" t="s">
        <v>45</v>
      </c>
      <c r="E23" s="43">
        <v>68.3</v>
      </c>
      <c r="F23" s="44">
        <v>160</v>
      </c>
      <c r="G23" s="44">
        <f>ROUND(F23*E23,2)</f>
        <v>10928</v>
      </c>
      <c r="H23" s="46" t="s">
        <v>91</v>
      </c>
      <c r="I23" s="43" t="s">
        <v>45</v>
      </c>
      <c r="J23" s="45">
        <v>78.5</v>
      </c>
      <c r="K23" s="44"/>
      <c r="L23" s="44"/>
    </row>
    <row r="24" spans="2:12" x14ac:dyDescent="0.35">
      <c r="B24" s="43"/>
      <c r="C24" s="43"/>
      <c r="D24" s="43"/>
      <c r="E24" s="43"/>
      <c r="F24" s="44"/>
      <c r="G24" s="44"/>
      <c r="H24" s="46" t="s">
        <v>68</v>
      </c>
      <c r="I24" s="43" t="s">
        <v>61</v>
      </c>
      <c r="J24" s="45">
        <f>0.3*E23</f>
        <v>20.49</v>
      </c>
      <c r="K24" s="44"/>
      <c r="L24" s="44"/>
    </row>
    <row r="25" spans="2:12" ht="29" x14ac:dyDescent="0.35">
      <c r="B25" s="43"/>
      <c r="C25" s="43"/>
      <c r="D25" s="43"/>
      <c r="E25" s="43"/>
      <c r="F25" s="44"/>
      <c r="G25" s="44"/>
      <c r="H25" s="46" t="s">
        <v>71</v>
      </c>
      <c r="I25" s="43" t="s">
        <v>47</v>
      </c>
      <c r="J25" s="45">
        <v>30</v>
      </c>
      <c r="K25" s="44"/>
      <c r="L25" s="44"/>
    </row>
    <row r="26" spans="2:12" ht="29" x14ac:dyDescent="0.35">
      <c r="B26" s="43"/>
      <c r="C26" s="46" t="s">
        <v>72</v>
      </c>
      <c r="D26" s="43" t="s">
        <v>45</v>
      </c>
      <c r="E26" s="43">
        <v>42.05</v>
      </c>
      <c r="F26" s="44">
        <v>700</v>
      </c>
      <c r="G26" s="44">
        <f>ROUND(F26*E26,2)</f>
        <v>29435</v>
      </c>
      <c r="H26" s="46" t="s">
        <v>92</v>
      </c>
      <c r="I26" s="43" t="s">
        <v>45</v>
      </c>
      <c r="J26" s="45">
        <v>32</v>
      </c>
      <c r="K26" s="44"/>
      <c r="L26" s="44"/>
    </row>
    <row r="27" spans="2:12" ht="29" x14ac:dyDescent="0.35">
      <c r="B27" s="43"/>
      <c r="C27" s="46"/>
      <c r="D27" s="43"/>
      <c r="E27" s="43"/>
      <c r="F27" s="44"/>
      <c r="G27" s="44"/>
      <c r="H27" s="46" t="s">
        <v>93</v>
      </c>
      <c r="I27" s="43" t="s">
        <v>45</v>
      </c>
      <c r="J27" s="45">
        <v>27.5</v>
      </c>
      <c r="K27" s="44"/>
      <c r="L27" s="44"/>
    </row>
    <row r="28" spans="2:12" ht="29" x14ac:dyDescent="0.35">
      <c r="B28" s="43"/>
      <c r="C28" s="46"/>
      <c r="D28" s="43"/>
      <c r="E28" s="43"/>
      <c r="F28" s="44"/>
      <c r="G28" s="44"/>
      <c r="H28" s="46" t="s">
        <v>94</v>
      </c>
      <c r="I28" s="43" t="s">
        <v>45</v>
      </c>
      <c r="J28" s="45">
        <v>7</v>
      </c>
      <c r="K28" s="44"/>
      <c r="L28" s="44"/>
    </row>
    <row r="29" spans="2:12" x14ac:dyDescent="0.35">
      <c r="B29" s="43"/>
      <c r="C29" s="43"/>
      <c r="D29" s="43"/>
      <c r="E29" s="43"/>
      <c r="F29" s="44"/>
      <c r="G29" s="44"/>
      <c r="H29" s="46" t="s">
        <v>73</v>
      </c>
      <c r="I29" s="43" t="s">
        <v>61</v>
      </c>
      <c r="J29" s="45">
        <f>7*E26</f>
        <v>294.34999999999997</v>
      </c>
      <c r="K29" s="44"/>
      <c r="L29" s="44"/>
    </row>
    <row r="30" spans="2:12" x14ac:dyDescent="0.35">
      <c r="B30" s="43"/>
      <c r="C30" s="43"/>
      <c r="D30" s="43"/>
      <c r="E30" s="43"/>
      <c r="F30" s="44"/>
      <c r="G30" s="44"/>
      <c r="H30" s="46" t="s">
        <v>74</v>
      </c>
      <c r="I30" s="43" t="s">
        <v>61</v>
      </c>
      <c r="J30" s="45">
        <f>0.45*E26</f>
        <v>18.922499999999999</v>
      </c>
      <c r="K30" s="44"/>
      <c r="L30" s="44"/>
    </row>
    <row r="31" spans="2:12" x14ac:dyDescent="0.35">
      <c r="B31" s="43"/>
      <c r="C31" s="43"/>
      <c r="D31" s="43"/>
      <c r="E31" s="43"/>
      <c r="F31" s="44"/>
      <c r="G31" s="44"/>
      <c r="H31" s="46" t="s">
        <v>82</v>
      </c>
      <c r="I31" s="43" t="s">
        <v>44</v>
      </c>
      <c r="J31" s="47">
        <f>8*E26</f>
        <v>336.4</v>
      </c>
      <c r="K31" s="44"/>
      <c r="L31" s="44"/>
    </row>
    <row r="32" spans="2:12" x14ac:dyDescent="0.35">
      <c r="B32" s="43"/>
      <c r="C32" s="46" t="s">
        <v>77</v>
      </c>
      <c r="D32" s="43" t="s">
        <v>75</v>
      </c>
      <c r="E32" s="43">
        <f>19.4+16.72+18.62</f>
        <v>54.739999999999995</v>
      </c>
      <c r="F32" s="44">
        <v>70</v>
      </c>
      <c r="G32" s="44">
        <f>ROUND(F32*E32,2)</f>
        <v>3831.8</v>
      </c>
      <c r="H32" s="46" t="s">
        <v>78</v>
      </c>
      <c r="I32" s="43" t="s">
        <v>79</v>
      </c>
      <c r="J32" s="45">
        <f>E32</f>
        <v>54.739999999999995</v>
      </c>
      <c r="K32" s="44"/>
      <c r="L32" s="44"/>
    </row>
    <row r="33" spans="2:12" x14ac:dyDescent="0.35">
      <c r="B33" s="43"/>
      <c r="C33" s="46"/>
      <c r="D33" s="43"/>
      <c r="E33" s="43"/>
      <c r="F33" s="44"/>
      <c r="G33" s="44"/>
      <c r="H33" s="46" t="s">
        <v>81</v>
      </c>
      <c r="I33" s="43" t="s">
        <v>44</v>
      </c>
      <c r="J33" s="47">
        <f>4*E32</f>
        <v>218.95999999999998</v>
      </c>
      <c r="K33" s="44"/>
      <c r="L33" s="44"/>
    </row>
    <row r="34" spans="2:12" ht="29" x14ac:dyDescent="0.35">
      <c r="B34" s="43"/>
      <c r="C34" s="43"/>
      <c r="D34" s="43"/>
      <c r="E34" s="43"/>
      <c r="F34" s="44"/>
      <c r="G34" s="44"/>
      <c r="H34" s="46" t="s">
        <v>80</v>
      </c>
      <c r="I34" s="43"/>
      <c r="J34" s="45"/>
      <c r="K34" s="44"/>
      <c r="L34" s="44"/>
    </row>
    <row r="35" spans="2:12" x14ac:dyDescent="0.35">
      <c r="B35" s="57"/>
      <c r="C35" s="57" t="s">
        <v>85</v>
      </c>
      <c r="D35" s="57"/>
      <c r="E35" s="57"/>
      <c r="F35" s="58"/>
      <c r="G35" s="58"/>
      <c r="H35" s="57"/>
      <c r="I35" s="57"/>
      <c r="J35" s="59"/>
      <c r="K35" s="58"/>
      <c r="L35" s="58"/>
    </row>
    <row r="36" spans="2:12" x14ac:dyDescent="0.35">
      <c r="B36" s="43"/>
      <c r="C36" s="46" t="s">
        <v>86</v>
      </c>
      <c r="D36" s="43" t="s">
        <v>45</v>
      </c>
      <c r="E36" s="43">
        <v>279.7</v>
      </c>
      <c r="F36" s="44">
        <v>100</v>
      </c>
      <c r="G36" s="44">
        <f>ROUND(F36*E36,2)</f>
        <v>27970</v>
      </c>
      <c r="H36" s="46" t="s">
        <v>87</v>
      </c>
      <c r="I36" s="43" t="s">
        <v>45</v>
      </c>
      <c r="J36" s="45">
        <f>1.1*E36</f>
        <v>307.67</v>
      </c>
      <c r="K36" s="44"/>
      <c r="L36" s="44"/>
    </row>
    <row r="37" spans="2:12" x14ac:dyDescent="0.35">
      <c r="B37" s="43"/>
      <c r="C37" s="43"/>
      <c r="D37" s="43"/>
      <c r="E37" s="43"/>
      <c r="F37" s="44"/>
      <c r="G37" s="44"/>
      <c r="H37" s="46" t="s">
        <v>81</v>
      </c>
      <c r="I37" s="43" t="s">
        <v>44</v>
      </c>
      <c r="J37" s="47">
        <f>4*E36</f>
        <v>1118.8</v>
      </c>
      <c r="K37" s="44"/>
      <c r="L37" s="44"/>
    </row>
    <row r="38" spans="2:12" ht="29" x14ac:dyDescent="0.35">
      <c r="B38" s="43"/>
      <c r="C38" s="46" t="s">
        <v>88</v>
      </c>
      <c r="D38" s="43" t="s">
        <v>45</v>
      </c>
      <c r="E38" s="43">
        <v>279.7</v>
      </c>
      <c r="F38" s="44">
        <v>300</v>
      </c>
      <c r="G38" s="44">
        <f>ROUND(F38*E38,2)</f>
        <v>83910</v>
      </c>
      <c r="H38" s="46" t="s">
        <v>89</v>
      </c>
      <c r="I38" s="43" t="s">
        <v>61</v>
      </c>
      <c r="J38" s="45">
        <f>5*15*E38</f>
        <v>20977.5</v>
      </c>
      <c r="K38" s="44"/>
      <c r="L38" s="44"/>
    </row>
    <row r="39" spans="2:12" x14ac:dyDescent="0.35">
      <c r="B39" s="43"/>
      <c r="C39" s="46"/>
      <c r="D39" s="43"/>
      <c r="E39" s="43"/>
      <c r="F39" s="44"/>
      <c r="G39" s="44"/>
      <c r="H39" s="46" t="s">
        <v>99</v>
      </c>
      <c r="I39" s="43" t="s">
        <v>75</v>
      </c>
      <c r="J39" s="45">
        <v>120</v>
      </c>
      <c r="K39" s="44"/>
      <c r="L39" s="44"/>
    </row>
    <row r="40" spans="2:12" x14ac:dyDescent="0.35">
      <c r="B40" s="43"/>
      <c r="C40" s="46" t="s">
        <v>90</v>
      </c>
      <c r="D40" s="43" t="s">
        <v>45</v>
      </c>
      <c r="E40" s="43">
        <f>E38</f>
        <v>279.7</v>
      </c>
      <c r="F40" s="44">
        <v>20</v>
      </c>
      <c r="G40" s="44">
        <f>ROUND(F40*E40,2)</f>
        <v>5594</v>
      </c>
      <c r="H40" s="46" t="s">
        <v>104</v>
      </c>
      <c r="I40" s="43" t="s">
        <v>46</v>
      </c>
      <c r="J40" s="45">
        <f>0.2*E40</f>
        <v>55.94</v>
      </c>
      <c r="K40" s="44"/>
      <c r="L40" s="44"/>
    </row>
    <row r="41" spans="2:12" ht="29" x14ac:dyDescent="0.35">
      <c r="B41" s="43"/>
      <c r="C41" s="46" t="s">
        <v>95</v>
      </c>
      <c r="D41" s="43" t="s">
        <v>45</v>
      </c>
      <c r="E41" s="43">
        <v>39</v>
      </c>
      <c r="F41" s="44">
        <v>700</v>
      </c>
      <c r="G41" s="44">
        <f>ROUND(F41*E41,2)</f>
        <v>27300</v>
      </c>
      <c r="H41" s="46" t="s">
        <v>96</v>
      </c>
      <c r="I41" s="43" t="s">
        <v>45</v>
      </c>
      <c r="J41" s="45">
        <v>32</v>
      </c>
      <c r="K41" s="44"/>
      <c r="L41" s="44"/>
    </row>
    <row r="42" spans="2:12" ht="29" x14ac:dyDescent="0.35">
      <c r="B42" s="43"/>
      <c r="C42" s="46"/>
      <c r="D42" s="43"/>
      <c r="E42" s="43"/>
      <c r="F42" s="44"/>
      <c r="G42" s="44"/>
      <c r="H42" s="46" t="s">
        <v>94</v>
      </c>
      <c r="I42" s="43" t="s">
        <v>45</v>
      </c>
      <c r="J42" s="45">
        <v>7</v>
      </c>
      <c r="K42" s="44"/>
      <c r="L42" s="44"/>
    </row>
    <row r="43" spans="2:12" x14ac:dyDescent="0.35">
      <c r="B43" s="43"/>
      <c r="C43" s="43"/>
      <c r="D43" s="43"/>
      <c r="E43" s="43"/>
      <c r="F43" s="44"/>
      <c r="G43" s="44"/>
      <c r="H43" s="46" t="s">
        <v>73</v>
      </c>
      <c r="I43" s="43" t="s">
        <v>61</v>
      </c>
      <c r="J43" s="45">
        <f>7*E41</f>
        <v>273</v>
      </c>
      <c r="K43" s="44"/>
      <c r="L43" s="44"/>
    </row>
    <row r="44" spans="2:12" x14ac:dyDescent="0.35">
      <c r="B44" s="43"/>
      <c r="C44" s="43"/>
      <c r="D44" s="43"/>
      <c r="E44" s="43"/>
      <c r="F44" s="44"/>
      <c r="G44" s="44"/>
      <c r="H44" s="46" t="s">
        <v>74</v>
      </c>
      <c r="I44" s="43" t="s">
        <v>61</v>
      </c>
      <c r="J44" s="45">
        <f>0.45*E41</f>
        <v>17.55</v>
      </c>
      <c r="K44" s="44"/>
      <c r="L44" s="44"/>
    </row>
    <row r="45" spans="2:12" x14ac:dyDescent="0.35">
      <c r="B45" s="43"/>
      <c r="C45" s="43"/>
      <c r="D45" s="43"/>
      <c r="E45" s="43"/>
      <c r="F45" s="44"/>
      <c r="G45" s="44"/>
      <c r="H45" s="46" t="s">
        <v>82</v>
      </c>
      <c r="I45" s="43" t="s">
        <v>44</v>
      </c>
      <c r="J45" s="47">
        <f>8*E41</f>
        <v>312</v>
      </c>
      <c r="K45" s="44"/>
      <c r="L45" s="44"/>
    </row>
    <row r="46" spans="2:12" x14ac:dyDescent="0.35">
      <c r="B46" s="43"/>
      <c r="C46" s="46" t="s">
        <v>97</v>
      </c>
      <c r="D46" s="43" t="s">
        <v>45</v>
      </c>
      <c r="E46" s="43"/>
      <c r="F46" s="44"/>
      <c r="G46" s="44">
        <f>ROUND(F46*E46,2)</f>
        <v>0</v>
      </c>
      <c r="H46" s="46" t="s">
        <v>98</v>
      </c>
      <c r="I46" s="43" t="s">
        <v>61</v>
      </c>
      <c r="J46" s="45">
        <f>E46</f>
        <v>0</v>
      </c>
      <c r="K46" s="44"/>
      <c r="L46" s="44"/>
    </row>
    <row r="47" spans="2:12" x14ac:dyDescent="0.35">
      <c r="B47" s="43"/>
      <c r="C47" s="46" t="s">
        <v>100</v>
      </c>
      <c r="D47" s="43" t="s">
        <v>45</v>
      </c>
      <c r="E47" s="43">
        <f>E46</f>
        <v>0</v>
      </c>
      <c r="F47" s="44">
        <v>20</v>
      </c>
      <c r="G47" s="44">
        <f>ROUND(F47*E47,2)</f>
        <v>0</v>
      </c>
      <c r="H47" s="46" t="s">
        <v>104</v>
      </c>
      <c r="I47" s="43" t="s">
        <v>46</v>
      </c>
      <c r="J47" s="45">
        <f>0.2*E47</f>
        <v>0</v>
      </c>
      <c r="K47" s="44"/>
      <c r="L47" s="44"/>
    </row>
    <row r="48" spans="2:12" x14ac:dyDescent="0.35">
      <c r="B48" s="43"/>
      <c r="C48" s="46" t="s">
        <v>216</v>
      </c>
      <c r="D48" s="43" t="s">
        <v>45</v>
      </c>
      <c r="E48" s="43">
        <f>E46</f>
        <v>0</v>
      </c>
      <c r="F48" s="44">
        <v>400</v>
      </c>
      <c r="G48" s="44">
        <f>ROUND(F48*E48,2)</f>
        <v>0</v>
      </c>
      <c r="H48" s="46" t="s">
        <v>101</v>
      </c>
      <c r="I48" s="43" t="s">
        <v>61</v>
      </c>
      <c r="J48" s="45">
        <f>E48</f>
        <v>0</v>
      </c>
      <c r="K48" s="44"/>
      <c r="L48" s="44"/>
    </row>
    <row r="49" spans="2:12" ht="29" x14ac:dyDescent="0.35">
      <c r="B49" s="43"/>
      <c r="C49" s="46" t="s">
        <v>102</v>
      </c>
      <c r="D49" s="43" t="s">
        <v>45</v>
      </c>
      <c r="E49" s="43">
        <f>E46</f>
        <v>0</v>
      </c>
      <c r="F49" s="44">
        <v>20</v>
      </c>
      <c r="G49" s="44">
        <f>ROUND(F49*E49,2)</f>
        <v>0</v>
      </c>
      <c r="H49" s="46" t="s">
        <v>103</v>
      </c>
      <c r="I49" s="43" t="s">
        <v>46</v>
      </c>
      <c r="J49" s="45">
        <f>0.2*E49</f>
        <v>0</v>
      </c>
      <c r="K49" s="44"/>
      <c r="L49" s="44"/>
    </row>
    <row r="50" spans="2:12" ht="29" x14ac:dyDescent="0.35">
      <c r="B50" s="43"/>
      <c r="C50" s="46" t="s">
        <v>105</v>
      </c>
      <c r="D50" s="43" t="s">
        <v>45</v>
      </c>
      <c r="E50" s="43">
        <f>E46</f>
        <v>0</v>
      </c>
      <c r="F50" s="44">
        <v>110</v>
      </c>
      <c r="G50" s="44">
        <f>ROUND(F50*E50,2)</f>
        <v>0</v>
      </c>
      <c r="H50" s="46" t="s">
        <v>106</v>
      </c>
      <c r="I50" s="43" t="s">
        <v>46</v>
      </c>
      <c r="J50" s="45">
        <f>0.3*E50</f>
        <v>0</v>
      </c>
      <c r="K50" s="44"/>
      <c r="L50" s="44"/>
    </row>
    <row r="51" spans="2:12" x14ac:dyDescent="0.35">
      <c r="B51" s="57"/>
      <c r="C51" s="57" t="s">
        <v>107</v>
      </c>
      <c r="D51" s="57"/>
      <c r="E51" s="57"/>
      <c r="F51" s="58"/>
      <c r="G51" s="58"/>
      <c r="H51" s="57"/>
      <c r="I51" s="57"/>
      <c r="J51" s="59"/>
      <c r="K51" s="58"/>
      <c r="L51" s="58"/>
    </row>
    <row r="52" spans="2:12" x14ac:dyDescent="0.35">
      <c r="B52" s="43"/>
      <c r="C52" s="46" t="s">
        <v>110</v>
      </c>
      <c r="D52" s="43" t="s">
        <v>45</v>
      </c>
      <c r="E52" s="43">
        <v>68.3</v>
      </c>
      <c r="F52" s="44">
        <v>500</v>
      </c>
      <c r="G52" s="44">
        <f>ROUND(F52*E52,2)</f>
        <v>34150</v>
      </c>
      <c r="H52" s="46" t="s">
        <v>111</v>
      </c>
      <c r="I52" s="43" t="s">
        <v>45</v>
      </c>
      <c r="J52" s="45">
        <v>68.3</v>
      </c>
      <c r="K52" s="44"/>
      <c r="L52" s="44"/>
    </row>
    <row r="53" spans="2:12" ht="29" x14ac:dyDescent="0.35">
      <c r="B53" s="43"/>
      <c r="C53" s="46" t="s">
        <v>142</v>
      </c>
      <c r="D53" s="43" t="s">
        <v>45</v>
      </c>
      <c r="E53" s="43">
        <f>14.7+18.5</f>
        <v>33.200000000000003</v>
      </c>
      <c r="F53" s="44">
        <v>250</v>
      </c>
      <c r="G53" s="44">
        <f>ROUND(F53*E53,2)</f>
        <v>8300</v>
      </c>
      <c r="H53" s="46" t="s">
        <v>113</v>
      </c>
      <c r="I53" s="43" t="s">
        <v>75</v>
      </c>
      <c r="J53" s="45">
        <f>1.08*E53</f>
        <v>35.856000000000009</v>
      </c>
      <c r="K53" s="44"/>
      <c r="L53" s="44"/>
    </row>
    <row r="54" spans="2:12" x14ac:dyDescent="0.35">
      <c r="B54" s="43"/>
      <c r="C54" s="43"/>
      <c r="D54" s="43"/>
      <c r="E54" s="43"/>
      <c r="F54" s="44"/>
      <c r="G54" s="44"/>
      <c r="H54" s="46" t="s">
        <v>114</v>
      </c>
      <c r="I54" s="43" t="s">
        <v>75</v>
      </c>
      <c r="J54" s="45">
        <f>0.95*E53</f>
        <v>31.540000000000003</v>
      </c>
      <c r="K54" s="44"/>
      <c r="L54" s="44"/>
    </row>
    <row r="55" spans="2:12" x14ac:dyDescent="0.35">
      <c r="B55" s="43"/>
      <c r="C55" s="43"/>
      <c r="D55" s="43"/>
      <c r="E55" s="43"/>
      <c r="F55" s="44"/>
      <c r="G55" s="44"/>
      <c r="H55" s="46" t="s">
        <v>115</v>
      </c>
      <c r="I55" s="43" t="s">
        <v>75</v>
      </c>
      <c r="J55" s="45">
        <f>1.9*E53</f>
        <v>63.080000000000005</v>
      </c>
      <c r="K55" s="44"/>
      <c r="L55" s="44"/>
    </row>
    <row r="56" spans="2:12" x14ac:dyDescent="0.35">
      <c r="B56" s="43"/>
      <c r="C56" s="43"/>
      <c r="D56" s="43"/>
      <c r="E56" s="43"/>
      <c r="F56" s="44"/>
      <c r="G56" s="44"/>
      <c r="H56" s="46" t="s">
        <v>116</v>
      </c>
      <c r="I56" s="43" t="s">
        <v>75</v>
      </c>
      <c r="J56" s="45">
        <f>0.95*E53</f>
        <v>31.540000000000003</v>
      </c>
      <c r="K56" s="44"/>
      <c r="L56" s="44"/>
    </row>
    <row r="57" spans="2:12" x14ac:dyDescent="0.35">
      <c r="B57" s="43"/>
      <c r="C57" s="43"/>
      <c r="D57" s="43"/>
      <c r="E57" s="43"/>
      <c r="F57" s="44"/>
      <c r="G57" s="44"/>
      <c r="H57" s="46" t="s">
        <v>117</v>
      </c>
      <c r="I57" s="43" t="s">
        <v>44</v>
      </c>
      <c r="J57" s="47">
        <f>0.8*E53</f>
        <v>26.560000000000002</v>
      </c>
      <c r="K57" s="44"/>
      <c r="L57" s="44"/>
    </row>
    <row r="58" spans="2:12" x14ac:dyDescent="0.35">
      <c r="B58" s="43"/>
      <c r="C58" s="43"/>
      <c r="D58" s="43"/>
      <c r="E58" s="43"/>
      <c r="F58" s="44"/>
      <c r="G58" s="44"/>
      <c r="H58" s="46" t="s">
        <v>118</v>
      </c>
      <c r="I58" s="43" t="s">
        <v>44</v>
      </c>
      <c r="J58" s="47">
        <f>2.97*E53</f>
        <v>98.604000000000013</v>
      </c>
      <c r="K58" s="44"/>
      <c r="L58" s="44"/>
    </row>
    <row r="59" spans="2:12" x14ac:dyDescent="0.35">
      <c r="B59" s="43"/>
      <c r="C59" s="43"/>
      <c r="D59" s="43"/>
      <c r="E59" s="43"/>
      <c r="F59" s="44"/>
      <c r="G59" s="44"/>
      <c r="H59" s="46" t="s">
        <v>119</v>
      </c>
      <c r="I59" s="43" t="s">
        <v>45</v>
      </c>
      <c r="J59" s="45">
        <f>1.05*E53</f>
        <v>34.860000000000007</v>
      </c>
      <c r="K59" s="44"/>
      <c r="L59" s="44"/>
    </row>
    <row r="60" spans="2:12" x14ac:dyDescent="0.35">
      <c r="B60" s="43"/>
      <c r="C60" s="46" t="s">
        <v>120</v>
      </c>
      <c r="D60" s="43" t="s">
        <v>45</v>
      </c>
      <c r="E60" s="43">
        <f>27.35-5.55-18.5</f>
        <v>3.3000000000000007</v>
      </c>
      <c r="F60" s="44">
        <v>20</v>
      </c>
      <c r="G60" s="44">
        <f>ROUND(F60*E60,2)</f>
        <v>66</v>
      </c>
      <c r="H60" s="46" t="s">
        <v>121</v>
      </c>
      <c r="I60" s="43" t="s">
        <v>61</v>
      </c>
      <c r="J60" s="45">
        <f>0.5*E60</f>
        <v>1.6500000000000004</v>
      </c>
      <c r="K60" s="44"/>
      <c r="L60" s="44"/>
    </row>
    <row r="61" spans="2:12" x14ac:dyDescent="0.35">
      <c r="B61" s="43"/>
      <c r="C61" s="46" t="s">
        <v>122</v>
      </c>
      <c r="D61" s="43" t="s">
        <v>45</v>
      </c>
      <c r="E61" s="43">
        <v>3.3</v>
      </c>
      <c r="F61" s="44">
        <v>300</v>
      </c>
      <c r="G61" s="44">
        <f>ROUND(F61*E61,2)</f>
        <v>990</v>
      </c>
      <c r="H61" s="46" t="s">
        <v>89</v>
      </c>
      <c r="I61" s="43" t="s">
        <v>61</v>
      </c>
      <c r="J61" s="45">
        <f>1*15*E61</f>
        <v>49.5</v>
      </c>
      <c r="K61" s="44"/>
      <c r="L61" s="44"/>
    </row>
    <row r="62" spans="2:12" x14ac:dyDescent="0.35">
      <c r="B62" s="43"/>
      <c r="C62" s="46" t="s">
        <v>123</v>
      </c>
      <c r="D62" s="43" t="s">
        <v>45</v>
      </c>
      <c r="E62" s="43">
        <f>E60</f>
        <v>3.3000000000000007</v>
      </c>
      <c r="F62" s="44">
        <v>20</v>
      </c>
      <c r="G62" s="44">
        <f>ROUND(F62*E62,2)</f>
        <v>66</v>
      </c>
      <c r="H62" s="46" t="s">
        <v>104</v>
      </c>
      <c r="I62" s="43" t="s">
        <v>46</v>
      </c>
      <c r="J62" s="45">
        <f>0.2*E62</f>
        <v>0.66000000000000014</v>
      </c>
      <c r="K62" s="44"/>
      <c r="L62" s="44"/>
    </row>
    <row r="63" spans="2:12" x14ac:dyDescent="0.35">
      <c r="B63" s="90"/>
      <c r="C63" s="46" t="s">
        <v>124</v>
      </c>
      <c r="D63" s="43" t="s">
        <v>45</v>
      </c>
      <c r="E63" s="43">
        <f>E61</f>
        <v>3.3</v>
      </c>
      <c r="F63" s="44">
        <v>200</v>
      </c>
      <c r="G63" s="44">
        <f>ROUND(F63*E63,2)</f>
        <v>660</v>
      </c>
      <c r="H63" s="46" t="s">
        <v>98</v>
      </c>
      <c r="I63" s="43" t="s">
        <v>61</v>
      </c>
      <c r="J63" s="45">
        <f>E63</f>
        <v>3.3</v>
      </c>
      <c r="K63" s="44"/>
      <c r="L63" s="44"/>
    </row>
    <row r="64" spans="2:12" ht="29" x14ac:dyDescent="0.35">
      <c r="B64" s="43"/>
      <c r="C64" s="46" t="s">
        <v>143</v>
      </c>
      <c r="D64" s="43" t="s">
        <v>45</v>
      </c>
      <c r="E64" s="43">
        <v>5</v>
      </c>
      <c r="F64" s="65">
        <v>300</v>
      </c>
      <c r="G64" s="44">
        <f>ROUND(F64*E64,2)</f>
        <v>1500</v>
      </c>
      <c r="H64" s="46" t="s">
        <v>144</v>
      </c>
      <c r="I64" s="43" t="s">
        <v>45</v>
      </c>
      <c r="J64" s="45">
        <f>1.05*E64</f>
        <v>5.25</v>
      </c>
      <c r="K64" s="44"/>
      <c r="L64" s="44"/>
    </row>
    <row r="65" spans="2:12" x14ac:dyDescent="0.35">
      <c r="B65" s="43"/>
      <c r="C65" s="46"/>
      <c r="D65" s="43"/>
      <c r="E65" s="43"/>
      <c r="F65" s="44"/>
      <c r="G65" s="44"/>
      <c r="H65" s="46" t="s">
        <v>145</v>
      </c>
      <c r="I65" s="43" t="s">
        <v>75</v>
      </c>
      <c r="J65" s="45">
        <f>0.9*E64</f>
        <v>4.5</v>
      </c>
      <c r="K65" s="44"/>
      <c r="L65" s="44"/>
    </row>
    <row r="66" spans="2:12" x14ac:dyDescent="0.35">
      <c r="B66" s="43"/>
      <c r="C66" s="46"/>
      <c r="D66" s="43"/>
      <c r="E66" s="43"/>
      <c r="F66" s="44"/>
      <c r="G66" s="44"/>
      <c r="H66" s="46" t="s">
        <v>146</v>
      </c>
      <c r="I66" s="43" t="s">
        <v>75</v>
      </c>
      <c r="J66" s="45">
        <f>2.55*E64</f>
        <v>12.75</v>
      </c>
      <c r="K66" s="44"/>
      <c r="L66" s="44"/>
    </row>
    <row r="67" spans="2:12" x14ac:dyDescent="0.35">
      <c r="B67" s="43"/>
      <c r="C67" s="46"/>
      <c r="D67" s="43"/>
      <c r="E67" s="43"/>
      <c r="F67" s="44"/>
      <c r="G67" s="44"/>
      <c r="H67" s="46" t="s">
        <v>117</v>
      </c>
      <c r="I67" s="43" t="s">
        <v>44</v>
      </c>
      <c r="J67" s="47">
        <f>0.7*E64</f>
        <v>3.5</v>
      </c>
      <c r="K67" s="44"/>
      <c r="L67" s="44"/>
    </row>
    <row r="68" spans="2:12" x14ac:dyDescent="0.35">
      <c r="B68" s="43"/>
      <c r="C68" s="46"/>
      <c r="D68" s="43"/>
      <c r="E68" s="43"/>
      <c r="F68" s="44"/>
      <c r="G68" s="44"/>
      <c r="H68" s="46" t="s">
        <v>118</v>
      </c>
      <c r="I68" s="43" t="s">
        <v>44</v>
      </c>
      <c r="J68" s="47">
        <f>1.68*E64</f>
        <v>8.4</v>
      </c>
      <c r="K68" s="44"/>
      <c r="L68" s="44"/>
    </row>
    <row r="69" spans="2:12" x14ac:dyDescent="0.35">
      <c r="B69" s="43"/>
      <c r="C69" s="46"/>
      <c r="D69" s="43"/>
      <c r="E69" s="43"/>
      <c r="F69" s="44"/>
      <c r="G69" s="44"/>
      <c r="H69" s="46" t="s">
        <v>147</v>
      </c>
      <c r="I69" s="43" t="s">
        <v>44</v>
      </c>
      <c r="J69" s="47">
        <f>15.6*E64</f>
        <v>78</v>
      </c>
      <c r="K69" s="44"/>
      <c r="L69" s="44"/>
    </row>
    <row r="70" spans="2:12" x14ac:dyDescent="0.35">
      <c r="B70" s="43"/>
      <c r="C70" s="46"/>
      <c r="D70" s="43"/>
      <c r="E70" s="43"/>
      <c r="F70" s="44"/>
      <c r="G70" s="44"/>
      <c r="H70" s="46" t="s">
        <v>148</v>
      </c>
      <c r="I70" s="43" t="s">
        <v>44</v>
      </c>
      <c r="J70" s="47">
        <f>17*E64</f>
        <v>85</v>
      </c>
      <c r="K70" s="44"/>
      <c r="L70" s="44"/>
    </row>
    <row r="71" spans="2:12" x14ac:dyDescent="0.35">
      <c r="B71" s="43"/>
      <c r="C71" s="46"/>
      <c r="D71" s="43"/>
      <c r="E71" s="43"/>
      <c r="F71" s="44"/>
      <c r="G71" s="44"/>
      <c r="H71" s="46" t="s">
        <v>149</v>
      </c>
      <c r="I71" s="43" t="s">
        <v>47</v>
      </c>
      <c r="J71" s="47">
        <f>0.99*E64</f>
        <v>4.95</v>
      </c>
      <c r="K71" s="44"/>
      <c r="L71" s="44"/>
    </row>
    <row r="72" spans="2:12" x14ac:dyDescent="0.35">
      <c r="B72" s="43"/>
      <c r="C72" s="46"/>
      <c r="D72" s="43"/>
      <c r="E72" s="43"/>
      <c r="F72" s="44"/>
      <c r="G72" s="44"/>
      <c r="H72" s="46" t="s">
        <v>150</v>
      </c>
      <c r="I72" s="43" t="s">
        <v>61</v>
      </c>
      <c r="J72" s="47">
        <f>0.36*E64</f>
        <v>1.7999999999999998</v>
      </c>
      <c r="K72" s="44"/>
      <c r="L72" s="44"/>
    </row>
    <row r="73" spans="2:12" x14ac:dyDescent="0.35">
      <c r="B73" s="43"/>
      <c r="C73" s="46" t="s">
        <v>125</v>
      </c>
      <c r="D73" s="43" t="s">
        <v>45</v>
      </c>
      <c r="E73" s="43">
        <f>26.8-18.5</f>
        <v>8.3000000000000007</v>
      </c>
      <c r="F73" s="44">
        <v>20</v>
      </c>
      <c r="G73" s="44">
        <f>ROUND(F73*E73,2)</f>
        <v>166</v>
      </c>
      <c r="H73" s="46" t="s">
        <v>104</v>
      </c>
      <c r="I73" s="43" t="s">
        <v>46</v>
      </c>
      <c r="J73" s="45">
        <f>0.2*E73</f>
        <v>1.6600000000000001</v>
      </c>
      <c r="K73" s="44"/>
      <c r="L73" s="44"/>
    </row>
    <row r="74" spans="2:12" x14ac:dyDescent="0.35">
      <c r="B74" s="43"/>
      <c r="C74" s="46" t="s">
        <v>217</v>
      </c>
      <c r="D74" s="43" t="s">
        <v>45</v>
      </c>
      <c r="E74" s="43">
        <v>8.3000000000000007</v>
      </c>
      <c r="F74" s="44">
        <v>250</v>
      </c>
      <c r="G74" s="44">
        <f>ROUND(F74*E74,2)</f>
        <v>2075</v>
      </c>
      <c r="H74" s="46" t="s">
        <v>101</v>
      </c>
      <c r="I74" s="43" t="s">
        <v>61</v>
      </c>
      <c r="J74" s="45">
        <f>E74</f>
        <v>8.3000000000000007</v>
      </c>
      <c r="K74" s="44"/>
      <c r="L74" s="44"/>
    </row>
    <row r="75" spans="2:12" ht="29" x14ac:dyDescent="0.35">
      <c r="B75" s="43"/>
      <c r="C75" s="46" t="s">
        <v>127</v>
      </c>
      <c r="D75" s="43" t="s">
        <v>45</v>
      </c>
      <c r="E75" s="43">
        <v>8.3000000000000007</v>
      </c>
      <c r="F75" s="44">
        <v>20</v>
      </c>
      <c r="G75" s="44">
        <f>ROUND(F75*E75,2)</f>
        <v>166</v>
      </c>
      <c r="H75" s="46" t="s">
        <v>103</v>
      </c>
      <c r="I75" s="43" t="s">
        <v>46</v>
      </c>
      <c r="J75" s="45">
        <f>0.2*E75</f>
        <v>1.6600000000000001</v>
      </c>
      <c r="K75" s="44"/>
      <c r="L75" s="44"/>
    </row>
    <row r="76" spans="2:12" ht="29" x14ac:dyDescent="0.35">
      <c r="B76" s="43"/>
      <c r="C76" s="46" t="s">
        <v>128</v>
      </c>
      <c r="D76" s="43" t="s">
        <v>45</v>
      </c>
      <c r="E76" s="43">
        <v>8.3000000000000007</v>
      </c>
      <c r="F76" s="44">
        <v>120</v>
      </c>
      <c r="G76" s="44">
        <f>ROUND(F76*E76,2)</f>
        <v>996</v>
      </c>
      <c r="H76" s="46" t="s">
        <v>106</v>
      </c>
      <c r="I76" s="43" t="s">
        <v>46</v>
      </c>
      <c r="J76" s="45">
        <f>0.3*E76</f>
        <v>2.4900000000000002</v>
      </c>
      <c r="K76" s="44"/>
      <c r="L76" s="44"/>
    </row>
    <row r="77" spans="2:12" x14ac:dyDescent="0.35">
      <c r="B77" s="43"/>
      <c r="C77" s="46"/>
      <c r="D77" s="43"/>
      <c r="E77" s="43"/>
      <c r="F77" s="44"/>
      <c r="G77" s="44"/>
      <c r="H77" s="46"/>
      <c r="I77" s="43"/>
      <c r="J77" s="45"/>
      <c r="K77" s="44"/>
      <c r="L77" s="44"/>
    </row>
    <row r="78" spans="2:12" x14ac:dyDescent="0.35">
      <c r="B78" s="54"/>
      <c r="C78" s="54" t="s">
        <v>134</v>
      </c>
      <c r="D78" s="54"/>
      <c r="E78" s="54"/>
      <c r="F78" s="55"/>
      <c r="G78" s="55"/>
      <c r="H78" s="54"/>
      <c r="I78" s="54"/>
      <c r="J78" s="56"/>
      <c r="K78" s="55"/>
      <c r="L78" s="55"/>
    </row>
    <row r="79" spans="2:12" x14ac:dyDescent="0.35">
      <c r="B79" s="57"/>
      <c r="C79" s="57" t="s">
        <v>48</v>
      </c>
      <c r="D79" s="57"/>
      <c r="E79" s="57"/>
      <c r="F79" s="58"/>
      <c r="G79" s="58"/>
      <c r="H79" s="57"/>
      <c r="I79" s="57"/>
      <c r="J79" s="59"/>
      <c r="K79" s="58"/>
      <c r="L79" s="58"/>
    </row>
    <row r="80" spans="2:12" ht="29" x14ac:dyDescent="0.35">
      <c r="B80" s="43"/>
      <c r="C80" s="46" t="s">
        <v>49</v>
      </c>
      <c r="D80" s="43" t="s">
        <v>45</v>
      </c>
      <c r="E80" s="43">
        <v>119.25</v>
      </c>
      <c r="F80" s="44">
        <v>30</v>
      </c>
      <c r="G80" s="44">
        <f>ROUND(F80*E80,2)</f>
        <v>3577.5</v>
      </c>
      <c r="H80" s="46" t="s">
        <v>104</v>
      </c>
      <c r="I80" s="43" t="s">
        <v>46</v>
      </c>
      <c r="J80" s="45">
        <f>0.2*E80</f>
        <v>23.85</v>
      </c>
      <c r="K80" s="44"/>
      <c r="L80" s="44"/>
    </row>
    <row r="81" spans="2:12" x14ac:dyDescent="0.35">
      <c r="B81" s="43"/>
      <c r="C81" s="46" t="s">
        <v>55</v>
      </c>
      <c r="D81" s="43" t="s">
        <v>45</v>
      </c>
      <c r="E81" s="43">
        <v>119.25</v>
      </c>
      <c r="F81" s="44">
        <v>45</v>
      </c>
      <c r="G81" s="44">
        <f>ROUND(F81*E81,2)</f>
        <v>5366.25</v>
      </c>
      <c r="H81" s="46" t="s">
        <v>56</v>
      </c>
      <c r="I81" s="43" t="s">
        <v>45</v>
      </c>
      <c r="J81" s="45">
        <f>1.1*E81</f>
        <v>131.17500000000001</v>
      </c>
      <c r="K81" s="44"/>
      <c r="L81" s="44"/>
    </row>
    <row r="82" spans="2:12" x14ac:dyDescent="0.35">
      <c r="B82" s="43"/>
      <c r="C82" s="46"/>
      <c r="D82" s="43"/>
      <c r="E82" s="43"/>
      <c r="F82" s="44"/>
      <c r="G82" s="44"/>
      <c r="H82" s="46" t="s">
        <v>57</v>
      </c>
      <c r="I82" s="43" t="s">
        <v>44</v>
      </c>
      <c r="J82" s="45">
        <v>5</v>
      </c>
      <c r="K82" s="44"/>
      <c r="L82" s="44"/>
    </row>
    <row r="83" spans="2:12" ht="29" x14ac:dyDescent="0.35">
      <c r="B83" s="43"/>
      <c r="C83" s="46" t="s">
        <v>83</v>
      </c>
      <c r="D83" s="43" t="s">
        <v>45</v>
      </c>
      <c r="E83" s="43">
        <v>119.25</v>
      </c>
      <c r="F83" s="65">
        <v>260</v>
      </c>
      <c r="G83" s="44">
        <f>ROUND(F83*E83,2)</f>
        <v>31005</v>
      </c>
      <c r="H83" s="46" t="s">
        <v>51</v>
      </c>
      <c r="I83" s="43" t="s">
        <v>52</v>
      </c>
      <c r="J83" s="45">
        <f>2.52*1.1</f>
        <v>2.7720000000000002</v>
      </c>
      <c r="K83" s="44"/>
      <c r="L83" s="44"/>
    </row>
    <row r="84" spans="2:12" x14ac:dyDescent="0.35">
      <c r="B84" s="43"/>
      <c r="C84" s="43"/>
      <c r="D84" s="43"/>
      <c r="E84" s="43"/>
      <c r="F84" s="44"/>
      <c r="G84" s="44"/>
      <c r="H84" s="46" t="s">
        <v>53</v>
      </c>
      <c r="I84" s="43" t="s">
        <v>52</v>
      </c>
      <c r="J84" s="45">
        <f>6.6*1.1</f>
        <v>7.26</v>
      </c>
      <c r="K84" s="44"/>
      <c r="L84" s="44"/>
    </row>
    <row r="85" spans="2:12" x14ac:dyDescent="0.35">
      <c r="B85" s="43"/>
      <c r="C85" s="43"/>
      <c r="D85" s="43"/>
      <c r="E85" s="43"/>
      <c r="F85" s="44"/>
      <c r="G85" s="44"/>
      <c r="H85" s="46" t="s">
        <v>64</v>
      </c>
      <c r="I85" s="43" t="s">
        <v>61</v>
      </c>
      <c r="J85" s="45">
        <f>0.9*5.5</f>
        <v>4.95</v>
      </c>
      <c r="K85" s="44"/>
      <c r="L85" s="44"/>
    </row>
    <row r="86" spans="2:12" x14ac:dyDescent="0.35">
      <c r="B86" s="43"/>
      <c r="C86" s="43"/>
      <c r="D86" s="43"/>
      <c r="E86" s="43"/>
      <c r="F86" s="44"/>
      <c r="G86" s="44"/>
      <c r="H86" s="46" t="s">
        <v>84</v>
      </c>
      <c r="I86" s="43" t="s">
        <v>47</v>
      </c>
      <c r="J86" s="45">
        <v>200</v>
      </c>
      <c r="K86" s="44"/>
      <c r="L86" s="44"/>
    </row>
    <row r="87" spans="2:12" x14ac:dyDescent="0.35">
      <c r="B87" s="43"/>
      <c r="C87" s="46" t="s">
        <v>70</v>
      </c>
      <c r="D87" s="43" t="s">
        <v>45</v>
      </c>
      <c r="E87" s="43">
        <v>119.25</v>
      </c>
      <c r="F87" s="44">
        <v>20</v>
      </c>
      <c r="G87" s="44">
        <f>ROUND(F87*E87,2)</f>
        <v>2385</v>
      </c>
      <c r="H87" s="46" t="s">
        <v>104</v>
      </c>
      <c r="I87" s="43" t="s">
        <v>46</v>
      </c>
      <c r="J87" s="45">
        <f>0.2*E87</f>
        <v>23.85</v>
      </c>
      <c r="K87" s="44"/>
      <c r="L87" s="44"/>
    </row>
    <row r="88" spans="2:12" ht="29" x14ac:dyDescent="0.35">
      <c r="B88" s="43"/>
      <c r="C88" s="46" t="s">
        <v>66</v>
      </c>
      <c r="D88" s="43" t="s">
        <v>45</v>
      </c>
      <c r="E88" s="43">
        <v>82.5</v>
      </c>
      <c r="F88" s="44">
        <v>180</v>
      </c>
      <c r="G88" s="44">
        <f>ROUND(F88*E88,2)</f>
        <v>14850</v>
      </c>
      <c r="H88" s="46" t="s">
        <v>65</v>
      </c>
      <c r="I88" s="43" t="s">
        <v>61</v>
      </c>
      <c r="J88" s="45">
        <f>1.8*5*E88</f>
        <v>742.5</v>
      </c>
      <c r="K88" s="44"/>
      <c r="L88" s="44"/>
    </row>
    <row r="89" spans="2:12" x14ac:dyDescent="0.35">
      <c r="B89" s="43"/>
      <c r="C89" s="46" t="s">
        <v>69</v>
      </c>
      <c r="D89" s="43" t="s">
        <v>43</v>
      </c>
      <c r="E89" s="43">
        <v>82.5</v>
      </c>
      <c r="F89" s="44">
        <v>20</v>
      </c>
      <c r="G89" s="44">
        <f>ROUND(F89*E89,2)</f>
        <v>1650</v>
      </c>
      <c r="H89" s="46" t="s">
        <v>104</v>
      </c>
      <c r="I89" s="43" t="s">
        <v>46</v>
      </c>
      <c r="J89" s="45">
        <f>0.2*E89</f>
        <v>16.5</v>
      </c>
      <c r="K89" s="44"/>
      <c r="L89" s="44"/>
    </row>
    <row r="90" spans="2:12" ht="43.5" x14ac:dyDescent="0.35">
      <c r="B90" s="43"/>
      <c r="C90" s="46" t="s">
        <v>67</v>
      </c>
      <c r="D90" s="43" t="s">
        <v>45</v>
      </c>
      <c r="E90" s="43">
        <v>82.5</v>
      </c>
      <c r="F90" s="44">
        <v>160</v>
      </c>
      <c r="G90" s="44">
        <f>ROUND(F90*E90,2)</f>
        <v>13200</v>
      </c>
      <c r="H90" s="46" t="s">
        <v>91</v>
      </c>
      <c r="I90" s="43" t="s">
        <v>45</v>
      </c>
      <c r="J90" s="45">
        <v>93</v>
      </c>
      <c r="K90" s="44"/>
      <c r="L90" s="44"/>
    </row>
    <row r="91" spans="2:12" x14ac:dyDescent="0.35">
      <c r="B91" s="43"/>
      <c r="C91" s="43"/>
      <c r="D91" s="43"/>
      <c r="E91" s="43"/>
      <c r="F91" s="44"/>
      <c r="G91" s="44"/>
      <c r="H91" s="46" t="s">
        <v>68</v>
      </c>
      <c r="I91" s="43" t="s">
        <v>61</v>
      </c>
      <c r="J91" s="45">
        <f>0.3*E90</f>
        <v>24.75</v>
      </c>
      <c r="K91" s="44"/>
      <c r="L91" s="44"/>
    </row>
    <row r="92" spans="2:12" ht="29" x14ac:dyDescent="0.35">
      <c r="B92" s="43"/>
      <c r="C92" s="43"/>
      <c r="D92" s="43"/>
      <c r="E92" s="43"/>
      <c r="F92" s="44"/>
      <c r="G92" s="44"/>
      <c r="H92" s="46" t="s">
        <v>71</v>
      </c>
      <c r="I92" s="43" t="s">
        <v>47</v>
      </c>
      <c r="J92" s="45">
        <v>33</v>
      </c>
      <c r="K92" s="44"/>
      <c r="L92" s="44"/>
    </row>
    <row r="93" spans="2:12" ht="29" x14ac:dyDescent="0.35">
      <c r="B93" s="43"/>
      <c r="C93" s="46" t="s">
        <v>72</v>
      </c>
      <c r="D93" s="43" t="s">
        <v>45</v>
      </c>
      <c r="E93" s="43">
        <v>36.75</v>
      </c>
      <c r="F93" s="44">
        <v>700</v>
      </c>
      <c r="G93" s="44">
        <f>ROUND(F93*E93,2)</f>
        <v>25725</v>
      </c>
      <c r="H93" s="46" t="s">
        <v>92</v>
      </c>
      <c r="I93" s="43" t="s">
        <v>45</v>
      </c>
      <c r="J93" s="45">
        <v>14</v>
      </c>
      <c r="K93" s="44"/>
      <c r="L93" s="44"/>
    </row>
    <row r="94" spans="2:12" ht="29" x14ac:dyDescent="0.35">
      <c r="B94" s="43"/>
      <c r="C94" s="46"/>
      <c r="D94" s="43"/>
      <c r="E94" s="43"/>
      <c r="F94" s="44"/>
      <c r="G94" s="44"/>
      <c r="H94" s="46" t="s">
        <v>93</v>
      </c>
      <c r="I94" s="43" t="s">
        <v>45</v>
      </c>
      <c r="J94" s="45">
        <v>29</v>
      </c>
      <c r="K94" s="44"/>
      <c r="L94" s="44"/>
    </row>
    <row r="95" spans="2:12" ht="29" x14ac:dyDescent="0.35">
      <c r="B95" s="43"/>
      <c r="C95" s="46"/>
      <c r="D95" s="43"/>
      <c r="E95" s="43"/>
      <c r="F95" s="44"/>
      <c r="G95" s="44"/>
      <c r="H95" s="46" t="s">
        <v>94</v>
      </c>
      <c r="I95" s="43" t="s">
        <v>45</v>
      </c>
      <c r="J95" s="45">
        <v>10</v>
      </c>
      <c r="K95" s="44"/>
      <c r="L95" s="44"/>
    </row>
    <row r="96" spans="2:12" x14ac:dyDescent="0.35">
      <c r="B96" s="43"/>
      <c r="C96" s="43"/>
      <c r="D96" s="43"/>
      <c r="E96" s="43"/>
      <c r="F96" s="44"/>
      <c r="G96" s="44"/>
      <c r="H96" s="46" t="s">
        <v>73</v>
      </c>
      <c r="I96" s="43" t="s">
        <v>61</v>
      </c>
      <c r="J96" s="45">
        <f>7*E93</f>
        <v>257.25</v>
      </c>
      <c r="K96" s="44"/>
      <c r="L96" s="44"/>
    </row>
    <row r="97" spans="2:12" x14ac:dyDescent="0.35">
      <c r="B97" s="43"/>
      <c r="C97" s="43"/>
      <c r="D97" s="43"/>
      <c r="E97" s="43"/>
      <c r="F97" s="44"/>
      <c r="G97" s="44"/>
      <c r="H97" s="46" t="s">
        <v>74</v>
      </c>
      <c r="I97" s="43" t="s">
        <v>61</v>
      </c>
      <c r="J97" s="45">
        <f>0.45*E93</f>
        <v>16.537500000000001</v>
      </c>
      <c r="K97" s="44"/>
      <c r="L97" s="44"/>
    </row>
    <row r="98" spans="2:12" x14ac:dyDescent="0.35">
      <c r="B98" s="43"/>
      <c r="C98" s="43"/>
      <c r="D98" s="43"/>
      <c r="E98" s="43"/>
      <c r="F98" s="44"/>
      <c r="G98" s="44"/>
      <c r="H98" s="46" t="s">
        <v>82</v>
      </c>
      <c r="I98" s="43" t="s">
        <v>44</v>
      </c>
      <c r="J98" s="47">
        <f>8*E93</f>
        <v>294</v>
      </c>
      <c r="K98" s="44"/>
      <c r="L98" s="44"/>
    </row>
    <row r="99" spans="2:12" x14ac:dyDescent="0.35">
      <c r="B99" s="43"/>
      <c r="C99" s="46" t="s">
        <v>77</v>
      </c>
      <c r="D99" s="43" t="s">
        <v>75</v>
      </c>
      <c r="E99" s="43">
        <v>75</v>
      </c>
      <c r="F99" s="44">
        <v>70</v>
      </c>
      <c r="G99" s="44">
        <f>ROUND(F99*E99,2)</f>
        <v>5250</v>
      </c>
      <c r="H99" s="46" t="s">
        <v>78</v>
      </c>
      <c r="I99" s="43" t="s">
        <v>79</v>
      </c>
      <c r="J99" s="45">
        <f>E99</f>
        <v>75</v>
      </c>
      <c r="K99" s="44"/>
      <c r="L99" s="44"/>
    </row>
    <row r="100" spans="2:12" x14ac:dyDescent="0.35">
      <c r="B100" s="43"/>
      <c r="C100" s="46"/>
      <c r="D100" s="43"/>
      <c r="E100" s="43"/>
      <c r="F100" s="44"/>
      <c r="G100" s="44"/>
      <c r="H100" s="46" t="s">
        <v>81</v>
      </c>
      <c r="I100" s="43" t="s">
        <v>44</v>
      </c>
      <c r="J100" s="47">
        <f>4*E99</f>
        <v>300</v>
      </c>
      <c r="K100" s="44"/>
      <c r="L100" s="44"/>
    </row>
    <row r="101" spans="2:12" ht="29" x14ac:dyDescent="0.35">
      <c r="B101" s="43"/>
      <c r="C101" s="43"/>
      <c r="D101" s="43"/>
      <c r="E101" s="43"/>
      <c r="F101" s="44"/>
      <c r="G101" s="44"/>
      <c r="H101" s="46" t="s">
        <v>80</v>
      </c>
      <c r="I101" s="43"/>
      <c r="J101" s="45"/>
      <c r="K101" s="44"/>
      <c r="L101" s="44"/>
    </row>
    <row r="102" spans="2:12" x14ac:dyDescent="0.35">
      <c r="B102" s="57"/>
      <c r="C102" s="57" t="s">
        <v>85</v>
      </c>
      <c r="D102" s="57"/>
      <c r="E102" s="57"/>
      <c r="F102" s="58"/>
      <c r="G102" s="58"/>
      <c r="H102" s="60"/>
      <c r="I102" s="57"/>
      <c r="J102" s="59"/>
      <c r="K102" s="58"/>
      <c r="L102" s="58"/>
    </row>
    <row r="103" spans="2:12" x14ac:dyDescent="0.35">
      <c r="B103" s="43"/>
      <c r="C103" s="46" t="s">
        <v>137</v>
      </c>
      <c r="D103" s="43" t="s">
        <v>45</v>
      </c>
      <c r="E103" s="43">
        <v>50</v>
      </c>
      <c r="F103" s="44">
        <v>20</v>
      </c>
      <c r="G103" s="44">
        <f>ROUND(F103*E103,2)</f>
        <v>1000</v>
      </c>
      <c r="H103" s="46" t="s">
        <v>104</v>
      </c>
      <c r="I103" s="43" t="s">
        <v>46</v>
      </c>
      <c r="J103" s="45">
        <f>0.2*E103</f>
        <v>10</v>
      </c>
      <c r="K103" s="44"/>
      <c r="L103" s="44"/>
    </row>
    <row r="104" spans="2:12" ht="29" x14ac:dyDescent="0.35">
      <c r="B104" s="43"/>
      <c r="C104" s="46" t="s">
        <v>95</v>
      </c>
      <c r="D104" s="43" t="s">
        <v>45</v>
      </c>
      <c r="E104" s="43">
        <v>50</v>
      </c>
      <c r="F104" s="44">
        <v>700</v>
      </c>
      <c r="G104" s="44">
        <f>ROUND(F104*E104,2)</f>
        <v>35000</v>
      </c>
      <c r="H104" s="46" t="s">
        <v>96</v>
      </c>
      <c r="I104" s="43" t="s">
        <v>45</v>
      </c>
      <c r="J104" s="45">
        <v>43</v>
      </c>
      <c r="K104" s="44"/>
      <c r="L104" s="44"/>
    </row>
    <row r="105" spans="2:12" ht="29" x14ac:dyDescent="0.35">
      <c r="B105" s="43"/>
      <c r="C105" s="46"/>
      <c r="D105" s="43"/>
      <c r="E105" s="43"/>
      <c r="F105" s="44"/>
      <c r="G105" s="44"/>
      <c r="H105" s="46" t="s">
        <v>94</v>
      </c>
      <c r="I105" s="43" t="s">
        <v>45</v>
      </c>
      <c r="J105" s="45">
        <v>17</v>
      </c>
      <c r="K105" s="44"/>
      <c r="L105" s="44"/>
    </row>
    <row r="106" spans="2:12" x14ac:dyDescent="0.35">
      <c r="B106" s="43"/>
      <c r="C106" s="43"/>
      <c r="D106" s="43"/>
      <c r="E106" s="43"/>
      <c r="F106" s="44"/>
      <c r="G106" s="44"/>
      <c r="H106" s="46" t="s">
        <v>73</v>
      </c>
      <c r="I106" s="43" t="s">
        <v>61</v>
      </c>
      <c r="J106" s="45">
        <f>7*E104</f>
        <v>350</v>
      </c>
      <c r="K106" s="44"/>
      <c r="L106" s="44"/>
    </row>
    <row r="107" spans="2:12" x14ac:dyDescent="0.35">
      <c r="B107" s="43"/>
      <c r="C107" s="43"/>
      <c r="D107" s="43"/>
      <c r="E107" s="43"/>
      <c r="F107" s="44"/>
      <c r="G107" s="44"/>
      <c r="H107" s="46" t="s">
        <v>74</v>
      </c>
      <c r="I107" s="43" t="s">
        <v>61</v>
      </c>
      <c r="J107" s="45">
        <f>0.45*E104</f>
        <v>22.5</v>
      </c>
      <c r="K107" s="44"/>
      <c r="L107" s="44"/>
    </row>
    <row r="108" spans="2:12" x14ac:dyDescent="0.35">
      <c r="B108" s="43"/>
      <c r="C108" s="43"/>
      <c r="D108" s="43"/>
      <c r="E108" s="43"/>
      <c r="F108" s="44"/>
      <c r="G108" s="44"/>
      <c r="H108" s="46" t="s">
        <v>82</v>
      </c>
      <c r="I108" s="43" t="s">
        <v>44</v>
      </c>
      <c r="J108" s="47">
        <f>8*E104</f>
        <v>400</v>
      </c>
      <c r="K108" s="44"/>
      <c r="L108" s="44"/>
    </row>
    <row r="109" spans="2:12" x14ac:dyDescent="0.35">
      <c r="B109" s="43"/>
      <c r="C109" s="46" t="s">
        <v>100</v>
      </c>
      <c r="D109" s="43" t="s">
        <v>45</v>
      </c>
      <c r="E109" s="43">
        <f>313.1-50</f>
        <v>263.10000000000002</v>
      </c>
      <c r="F109" s="44">
        <v>25</v>
      </c>
      <c r="G109" s="44">
        <f>ROUND(F109*E109,2)</f>
        <v>6577.5</v>
      </c>
      <c r="H109" s="46" t="s">
        <v>104</v>
      </c>
      <c r="I109" s="43" t="s">
        <v>46</v>
      </c>
      <c r="J109" s="45">
        <f>0.2*E109</f>
        <v>52.620000000000005</v>
      </c>
      <c r="K109" s="44"/>
      <c r="L109" s="44"/>
    </row>
    <row r="110" spans="2:12" x14ac:dyDescent="0.35">
      <c r="B110" s="43"/>
      <c r="C110" s="46" t="s">
        <v>109</v>
      </c>
      <c r="D110" s="43" t="s">
        <v>45</v>
      </c>
      <c r="E110" s="43">
        <f>E109</f>
        <v>263.10000000000002</v>
      </c>
      <c r="F110" s="44">
        <v>250</v>
      </c>
      <c r="G110" s="44">
        <f>ROUND(F110*E110,2)</f>
        <v>65775</v>
      </c>
      <c r="H110" s="46" t="s">
        <v>101</v>
      </c>
      <c r="I110" s="43" t="s">
        <v>61</v>
      </c>
      <c r="J110" s="45">
        <f>E110</f>
        <v>263.10000000000002</v>
      </c>
      <c r="K110" s="44"/>
      <c r="L110" s="44"/>
    </row>
    <row r="111" spans="2:12" ht="29" x14ac:dyDescent="0.35">
      <c r="B111" s="43"/>
      <c r="C111" s="46" t="s">
        <v>102</v>
      </c>
      <c r="D111" s="43" t="s">
        <v>45</v>
      </c>
      <c r="E111" s="43">
        <f>E109</f>
        <v>263.10000000000002</v>
      </c>
      <c r="F111" s="44">
        <v>25</v>
      </c>
      <c r="G111" s="44">
        <f>ROUND(F111*E111,2)</f>
        <v>6577.5</v>
      </c>
      <c r="H111" s="46" t="s">
        <v>103</v>
      </c>
      <c r="I111" s="43" t="s">
        <v>46</v>
      </c>
      <c r="J111" s="45">
        <f>0.2*E111</f>
        <v>52.620000000000005</v>
      </c>
      <c r="K111" s="44"/>
      <c r="L111" s="44"/>
    </row>
    <row r="112" spans="2:12" ht="29" x14ac:dyDescent="0.35">
      <c r="B112" s="43"/>
      <c r="C112" s="46" t="s">
        <v>105</v>
      </c>
      <c r="D112" s="43" t="s">
        <v>45</v>
      </c>
      <c r="E112" s="43">
        <f>E109</f>
        <v>263.10000000000002</v>
      </c>
      <c r="F112" s="44">
        <v>120</v>
      </c>
      <c r="G112" s="44">
        <f>ROUND(F112*E112,2)</f>
        <v>31572</v>
      </c>
      <c r="H112" s="46" t="s">
        <v>106</v>
      </c>
      <c r="I112" s="43" t="s">
        <v>46</v>
      </c>
      <c r="J112" s="45">
        <f>0.3*E112</f>
        <v>78.930000000000007</v>
      </c>
      <c r="K112" s="44"/>
      <c r="L112" s="44"/>
    </row>
    <row r="113" spans="2:12" x14ac:dyDescent="0.35">
      <c r="B113" s="57"/>
      <c r="C113" s="57" t="s">
        <v>107</v>
      </c>
      <c r="D113" s="57"/>
      <c r="E113" s="57"/>
      <c r="F113" s="58"/>
      <c r="G113" s="58"/>
      <c r="H113" s="57"/>
      <c r="I113" s="57"/>
      <c r="J113" s="59"/>
      <c r="K113" s="58"/>
      <c r="L113" s="58"/>
    </row>
    <row r="114" spans="2:12" x14ac:dyDescent="0.35">
      <c r="B114" s="43"/>
      <c r="C114" s="46" t="s">
        <v>112</v>
      </c>
      <c r="D114" s="43" t="s">
        <v>45</v>
      </c>
      <c r="E114" s="43">
        <v>12.9</v>
      </c>
      <c r="F114" s="44">
        <v>250</v>
      </c>
      <c r="G114" s="44">
        <f>ROUND(F114*E114,2)</f>
        <v>3225</v>
      </c>
      <c r="H114" s="46" t="s">
        <v>113</v>
      </c>
      <c r="I114" s="43" t="s">
        <v>75</v>
      </c>
      <c r="J114" s="45">
        <f>1.08*E114</f>
        <v>13.932000000000002</v>
      </c>
      <c r="K114" s="44"/>
      <c r="L114" s="44"/>
    </row>
    <row r="115" spans="2:12" x14ac:dyDescent="0.35">
      <c r="B115" s="43"/>
      <c r="C115" s="43"/>
      <c r="D115" s="43"/>
      <c r="E115" s="43"/>
      <c r="F115" s="44"/>
      <c r="G115" s="44"/>
      <c r="H115" s="46" t="s">
        <v>114</v>
      </c>
      <c r="I115" s="43" t="s">
        <v>75</v>
      </c>
      <c r="J115" s="45">
        <f>0.95*E114</f>
        <v>12.254999999999999</v>
      </c>
      <c r="K115" s="44"/>
      <c r="L115" s="44"/>
    </row>
    <row r="116" spans="2:12" x14ac:dyDescent="0.35">
      <c r="B116" s="43"/>
      <c r="C116" s="43"/>
      <c r="D116" s="43"/>
      <c r="E116" s="43"/>
      <c r="F116" s="44"/>
      <c r="G116" s="44"/>
      <c r="H116" s="46" t="s">
        <v>115</v>
      </c>
      <c r="I116" s="43" t="s">
        <v>75</v>
      </c>
      <c r="J116" s="45">
        <f>1.9*E114</f>
        <v>24.509999999999998</v>
      </c>
      <c r="K116" s="44"/>
      <c r="L116" s="44"/>
    </row>
    <row r="117" spans="2:12" x14ac:dyDescent="0.35">
      <c r="B117" s="43"/>
      <c r="C117" s="43"/>
      <c r="D117" s="43"/>
      <c r="E117" s="43"/>
      <c r="F117" s="44"/>
      <c r="G117" s="44"/>
      <c r="H117" s="46" t="s">
        <v>116</v>
      </c>
      <c r="I117" s="43" t="s">
        <v>75</v>
      </c>
      <c r="J117" s="45">
        <f>0.95*E114</f>
        <v>12.254999999999999</v>
      </c>
      <c r="K117" s="44"/>
      <c r="L117" s="44"/>
    </row>
    <row r="118" spans="2:12" x14ac:dyDescent="0.35">
      <c r="B118" s="43"/>
      <c r="C118" s="43"/>
      <c r="D118" s="43"/>
      <c r="E118" s="43"/>
      <c r="F118" s="44"/>
      <c r="G118" s="44"/>
      <c r="H118" s="46" t="s">
        <v>117</v>
      </c>
      <c r="I118" s="43" t="s">
        <v>44</v>
      </c>
      <c r="J118" s="47">
        <f>0.8*E114</f>
        <v>10.32</v>
      </c>
      <c r="K118" s="44"/>
      <c r="L118" s="44"/>
    </row>
    <row r="119" spans="2:12" x14ac:dyDescent="0.35">
      <c r="B119" s="43"/>
      <c r="C119" s="43"/>
      <c r="D119" s="43"/>
      <c r="E119" s="43"/>
      <c r="F119" s="44"/>
      <c r="G119" s="44"/>
      <c r="H119" s="46" t="s">
        <v>118</v>
      </c>
      <c r="I119" s="43" t="s">
        <v>44</v>
      </c>
      <c r="J119" s="47">
        <f>2.97*E114</f>
        <v>38.313000000000002</v>
      </c>
      <c r="K119" s="44"/>
      <c r="L119" s="44"/>
    </row>
    <row r="120" spans="2:12" x14ac:dyDescent="0.35">
      <c r="B120" s="43"/>
      <c r="C120" s="43"/>
      <c r="D120" s="43"/>
      <c r="E120" s="43"/>
      <c r="F120" s="44"/>
      <c r="G120" s="44"/>
      <c r="H120" s="46" t="s">
        <v>119</v>
      </c>
      <c r="I120" s="43" t="s">
        <v>45</v>
      </c>
      <c r="J120" s="45">
        <f>1.05*E114</f>
        <v>13.545000000000002</v>
      </c>
      <c r="K120" s="44"/>
      <c r="L120" s="44"/>
    </row>
    <row r="121" spans="2:12" ht="29" x14ac:dyDescent="0.35">
      <c r="B121" s="43"/>
      <c r="C121" s="46" t="s">
        <v>151</v>
      </c>
      <c r="D121" s="43" t="s">
        <v>45</v>
      </c>
      <c r="E121" s="43">
        <v>106.35</v>
      </c>
      <c r="F121" s="65">
        <v>300</v>
      </c>
      <c r="G121" s="44">
        <f>ROUND(F121*E121,2)</f>
        <v>31905</v>
      </c>
      <c r="H121" s="46" t="s">
        <v>144</v>
      </c>
      <c r="I121" s="43" t="s">
        <v>45</v>
      </c>
      <c r="J121" s="45">
        <f>1.05*E121</f>
        <v>111.6675</v>
      </c>
      <c r="K121" s="44"/>
      <c r="L121" s="44"/>
    </row>
    <row r="122" spans="2:12" x14ac:dyDescent="0.35">
      <c r="B122" s="43"/>
      <c r="C122" s="46"/>
      <c r="D122" s="43"/>
      <c r="E122" s="43"/>
      <c r="F122" s="44"/>
      <c r="G122" s="44"/>
      <c r="H122" s="46" t="s">
        <v>145</v>
      </c>
      <c r="I122" s="43" t="s">
        <v>75</v>
      </c>
      <c r="J122" s="45">
        <f>0.9*E121</f>
        <v>95.715000000000003</v>
      </c>
      <c r="K122" s="44"/>
      <c r="L122" s="44"/>
    </row>
    <row r="123" spans="2:12" x14ac:dyDescent="0.35">
      <c r="B123" s="43"/>
      <c r="C123" s="46"/>
      <c r="D123" s="43"/>
      <c r="E123" s="43"/>
      <c r="F123" s="44"/>
      <c r="G123" s="44"/>
      <c r="H123" s="46" t="s">
        <v>146</v>
      </c>
      <c r="I123" s="43" t="s">
        <v>75</v>
      </c>
      <c r="J123" s="45">
        <f>2.55*E121</f>
        <v>271.19249999999994</v>
      </c>
      <c r="K123" s="44"/>
      <c r="L123" s="44"/>
    </row>
    <row r="124" spans="2:12" x14ac:dyDescent="0.35">
      <c r="B124" s="43"/>
      <c r="C124" s="46"/>
      <c r="D124" s="43"/>
      <c r="E124" s="43"/>
      <c r="F124" s="44"/>
      <c r="G124" s="44"/>
      <c r="H124" s="46" t="s">
        <v>117</v>
      </c>
      <c r="I124" s="43" t="s">
        <v>44</v>
      </c>
      <c r="J124" s="47">
        <f>0.7*E121</f>
        <v>74.444999999999993</v>
      </c>
      <c r="K124" s="44"/>
      <c r="L124" s="44"/>
    </row>
    <row r="125" spans="2:12" x14ac:dyDescent="0.35">
      <c r="B125" s="43"/>
      <c r="C125" s="46"/>
      <c r="D125" s="43"/>
      <c r="E125" s="43"/>
      <c r="F125" s="44"/>
      <c r="G125" s="44"/>
      <c r="H125" s="46" t="s">
        <v>118</v>
      </c>
      <c r="I125" s="43" t="s">
        <v>44</v>
      </c>
      <c r="J125" s="47">
        <f>1.68*E121</f>
        <v>178.66799999999998</v>
      </c>
      <c r="K125" s="44"/>
      <c r="L125" s="44"/>
    </row>
    <row r="126" spans="2:12" x14ac:dyDescent="0.35">
      <c r="B126" s="43"/>
      <c r="C126" s="46"/>
      <c r="D126" s="43"/>
      <c r="E126" s="43"/>
      <c r="F126" s="44"/>
      <c r="G126" s="44"/>
      <c r="H126" s="46" t="s">
        <v>147</v>
      </c>
      <c r="I126" s="43" t="s">
        <v>44</v>
      </c>
      <c r="J126" s="47">
        <f>15.6*E121</f>
        <v>1659.06</v>
      </c>
      <c r="K126" s="44"/>
      <c r="L126" s="44"/>
    </row>
    <row r="127" spans="2:12" x14ac:dyDescent="0.35">
      <c r="B127" s="43"/>
      <c r="C127" s="46"/>
      <c r="D127" s="43"/>
      <c r="E127" s="43"/>
      <c r="F127" s="44"/>
      <c r="G127" s="44"/>
      <c r="H127" s="46" t="s">
        <v>148</v>
      </c>
      <c r="I127" s="43" t="s">
        <v>44</v>
      </c>
      <c r="J127" s="47">
        <f>17*E121</f>
        <v>1807.9499999999998</v>
      </c>
      <c r="K127" s="44"/>
      <c r="L127" s="44"/>
    </row>
    <row r="128" spans="2:12" x14ac:dyDescent="0.35">
      <c r="B128" s="43"/>
      <c r="C128" s="46"/>
      <c r="D128" s="43"/>
      <c r="E128" s="43"/>
      <c r="F128" s="44"/>
      <c r="G128" s="44"/>
      <c r="H128" s="46" t="s">
        <v>149</v>
      </c>
      <c r="I128" s="43" t="s">
        <v>47</v>
      </c>
      <c r="J128" s="47">
        <f>0.99*E121</f>
        <v>105.28649999999999</v>
      </c>
      <c r="K128" s="44"/>
      <c r="L128" s="44"/>
    </row>
    <row r="129" spans="2:12" x14ac:dyDescent="0.35">
      <c r="B129" s="43"/>
      <c r="C129" s="46"/>
      <c r="D129" s="43"/>
      <c r="E129" s="43"/>
      <c r="F129" s="44"/>
      <c r="G129" s="44"/>
      <c r="H129" s="46" t="s">
        <v>150</v>
      </c>
      <c r="I129" s="43" t="s">
        <v>61</v>
      </c>
      <c r="J129" s="47">
        <f>0.36*E121</f>
        <v>38.285999999999994</v>
      </c>
      <c r="K129" s="44"/>
      <c r="L129" s="44"/>
    </row>
    <row r="130" spans="2:12" x14ac:dyDescent="0.35">
      <c r="B130" s="43"/>
      <c r="C130" s="46" t="s">
        <v>125</v>
      </c>
      <c r="D130" s="43" t="s">
        <v>45</v>
      </c>
      <c r="E130" s="43">
        <v>106.35</v>
      </c>
      <c r="F130" s="44">
        <v>20</v>
      </c>
      <c r="G130" s="44">
        <f>ROUND(F130*E130,2)</f>
        <v>2127</v>
      </c>
      <c r="H130" s="46" t="s">
        <v>104</v>
      </c>
      <c r="I130" s="43" t="s">
        <v>46</v>
      </c>
      <c r="J130" s="45">
        <f>0.2*E130</f>
        <v>21.27</v>
      </c>
      <c r="K130" s="44"/>
      <c r="L130" s="44"/>
    </row>
    <row r="131" spans="2:12" x14ac:dyDescent="0.35">
      <c r="B131" s="43"/>
      <c r="C131" s="46" t="s">
        <v>126</v>
      </c>
      <c r="D131" s="43" t="s">
        <v>45</v>
      </c>
      <c r="E131" s="43">
        <v>106.35</v>
      </c>
      <c r="F131" s="44">
        <v>240</v>
      </c>
      <c r="G131" s="44">
        <f t="shared" ref="G131:G133" si="0">ROUND(F131*E131,2)</f>
        <v>25524</v>
      </c>
      <c r="H131" s="46" t="s">
        <v>101</v>
      </c>
      <c r="I131" s="43" t="s">
        <v>61</v>
      </c>
      <c r="J131" s="45">
        <f>E131</f>
        <v>106.35</v>
      </c>
      <c r="K131" s="44"/>
      <c r="L131" s="44"/>
    </row>
    <row r="132" spans="2:12" ht="29" x14ac:dyDescent="0.35">
      <c r="B132" s="43"/>
      <c r="C132" s="46" t="s">
        <v>127</v>
      </c>
      <c r="D132" s="43" t="s">
        <v>45</v>
      </c>
      <c r="E132" s="43">
        <v>106.35</v>
      </c>
      <c r="F132" s="44">
        <v>20</v>
      </c>
      <c r="G132" s="44">
        <f t="shared" si="0"/>
        <v>2127</v>
      </c>
      <c r="H132" s="46" t="s">
        <v>103</v>
      </c>
      <c r="I132" s="43" t="s">
        <v>46</v>
      </c>
      <c r="J132" s="45">
        <f>0.2*E132</f>
        <v>21.27</v>
      </c>
      <c r="K132" s="44"/>
      <c r="L132" s="44"/>
    </row>
    <row r="133" spans="2:12" ht="29" x14ac:dyDescent="0.35">
      <c r="B133" s="43"/>
      <c r="C133" s="46" t="s">
        <v>128</v>
      </c>
      <c r="D133" s="43" t="s">
        <v>45</v>
      </c>
      <c r="E133" s="43">
        <v>106.35</v>
      </c>
      <c r="F133" s="44">
        <v>120</v>
      </c>
      <c r="G133" s="44">
        <f t="shared" si="0"/>
        <v>12762</v>
      </c>
      <c r="H133" s="46" t="s">
        <v>106</v>
      </c>
      <c r="I133" s="43" t="s">
        <v>46</v>
      </c>
      <c r="J133" s="45">
        <f>0.3*E133</f>
        <v>31.904999999999998</v>
      </c>
      <c r="K133" s="44"/>
      <c r="L133" s="44"/>
    </row>
    <row r="134" spans="2:12" x14ac:dyDescent="0.35">
      <c r="B134" s="54"/>
      <c r="C134" s="54" t="s">
        <v>152</v>
      </c>
      <c r="D134" s="54"/>
      <c r="E134" s="54"/>
      <c r="F134" s="55"/>
      <c r="G134" s="55"/>
      <c r="H134" s="54"/>
      <c r="I134" s="54"/>
      <c r="J134" s="56"/>
      <c r="K134" s="55"/>
      <c r="L134" s="55"/>
    </row>
    <row r="135" spans="2:12" x14ac:dyDescent="0.35">
      <c r="B135" s="57"/>
      <c r="C135" s="57" t="s">
        <v>48</v>
      </c>
      <c r="D135" s="57"/>
      <c r="E135" s="57"/>
      <c r="F135" s="58"/>
      <c r="G135" s="58"/>
      <c r="H135" s="57"/>
      <c r="I135" s="57"/>
      <c r="J135" s="59"/>
      <c r="K135" s="58"/>
      <c r="L135" s="58"/>
    </row>
    <row r="136" spans="2:12" ht="29" x14ac:dyDescent="0.35">
      <c r="B136" s="43"/>
      <c r="C136" s="46" t="s">
        <v>49</v>
      </c>
      <c r="D136" s="43" t="s">
        <v>45</v>
      </c>
      <c r="E136" s="43">
        <v>108.5</v>
      </c>
      <c r="F136" s="44">
        <v>30</v>
      </c>
      <c r="G136" s="44">
        <f t="shared" ref="G136:G137" si="1">ROUND(F136*E136,2)</f>
        <v>3255</v>
      </c>
      <c r="H136" s="46" t="s">
        <v>104</v>
      </c>
      <c r="I136" s="43" t="s">
        <v>46</v>
      </c>
      <c r="J136" s="45">
        <f>0.2*E136</f>
        <v>21.700000000000003</v>
      </c>
      <c r="K136" s="44"/>
      <c r="L136" s="44"/>
    </row>
    <row r="137" spans="2:12" x14ac:dyDescent="0.35">
      <c r="B137" s="43"/>
      <c r="C137" s="46" t="s">
        <v>55</v>
      </c>
      <c r="D137" s="43" t="s">
        <v>45</v>
      </c>
      <c r="E137" s="43">
        <v>108.5</v>
      </c>
      <c r="F137" s="44">
        <v>45</v>
      </c>
      <c r="G137" s="44">
        <f t="shared" si="1"/>
        <v>4882.5</v>
      </c>
      <c r="H137" s="46" t="s">
        <v>56</v>
      </c>
      <c r="I137" s="43" t="s">
        <v>45</v>
      </c>
      <c r="J137" s="45">
        <f>1.1*E137</f>
        <v>119.35000000000001</v>
      </c>
      <c r="K137" s="44"/>
      <c r="L137" s="44"/>
    </row>
    <row r="138" spans="2:12" x14ac:dyDescent="0.35">
      <c r="B138" s="43"/>
      <c r="C138" s="46"/>
      <c r="D138" s="43"/>
      <c r="E138" s="43"/>
      <c r="F138" s="44"/>
      <c r="G138" s="44"/>
      <c r="H138" s="46" t="s">
        <v>57</v>
      </c>
      <c r="I138" s="43" t="s">
        <v>44</v>
      </c>
      <c r="J138" s="45">
        <v>5</v>
      </c>
      <c r="K138" s="44"/>
      <c r="L138" s="44"/>
    </row>
    <row r="139" spans="2:12" ht="29" x14ac:dyDescent="0.35">
      <c r="B139" s="43"/>
      <c r="C139" s="46" t="s">
        <v>83</v>
      </c>
      <c r="D139" s="43" t="s">
        <v>45</v>
      </c>
      <c r="E139" s="43">
        <v>108.5</v>
      </c>
      <c r="F139" s="65">
        <v>260</v>
      </c>
      <c r="G139" s="44">
        <f t="shared" ref="G139" si="2">ROUND(F139*E139,2)</f>
        <v>28210</v>
      </c>
      <c r="H139" s="46" t="s">
        <v>51</v>
      </c>
      <c r="I139" s="43" t="s">
        <v>52</v>
      </c>
      <c r="J139" s="45">
        <f>2.52*1.1</f>
        <v>2.7720000000000002</v>
      </c>
      <c r="K139" s="44"/>
      <c r="L139" s="44"/>
    </row>
    <row r="140" spans="2:12" x14ac:dyDescent="0.35">
      <c r="B140" s="43"/>
      <c r="C140" s="43"/>
      <c r="D140" s="43"/>
      <c r="E140" s="43"/>
      <c r="F140" s="44"/>
      <c r="G140" s="44"/>
      <c r="H140" s="46" t="s">
        <v>53</v>
      </c>
      <c r="I140" s="43" t="s">
        <v>52</v>
      </c>
      <c r="J140" s="45">
        <f>6.6*1.1</f>
        <v>7.26</v>
      </c>
      <c r="K140" s="44"/>
      <c r="L140" s="44"/>
    </row>
    <row r="141" spans="2:12" x14ac:dyDescent="0.35">
      <c r="B141" s="43"/>
      <c r="C141" s="43"/>
      <c r="D141" s="43"/>
      <c r="E141" s="43"/>
      <c r="F141" s="44"/>
      <c r="G141" s="44"/>
      <c r="H141" s="46" t="s">
        <v>64</v>
      </c>
      <c r="I141" s="43" t="s">
        <v>61</v>
      </c>
      <c r="J141" s="45">
        <f>0.9*5.5</f>
        <v>4.95</v>
      </c>
      <c r="K141" s="44"/>
      <c r="L141" s="44"/>
    </row>
    <row r="142" spans="2:12" x14ac:dyDescent="0.35">
      <c r="B142" s="43"/>
      <c r="C142" s="43"/>
      <c r="D142" s="43"/>
      <c r="E142" s="43"/>
      <c r="F142" s="44"/>
      <c r="G142" s="44"/>
      <c r="H142" s="46" t="s">
        <v>84</v>
      </c>
      <c r="I142" s="43" t="s">
        <v>47</v>
      </c>
      <c r="J142" s="45">
        <v>200</v>
      </c>
      <c r="K142" s="44"/>
      <c r="L142" s="44"/>
    </row>
    <row r="143" spans="2:12" x14ac:dyDescent="0.35">
      <c r="B143" s="43"/>
      <c r="C143" s="46" t="s">
        <v>70</v>
      </c>
      <c r="D143" s="43" t="s">
        <v>45</v>
      </c>
      <c r="E143" s="43">
        <v>108.5</v>
      </c>
      <c r="F143" s="44">
        <v>20</v>
      </c>
      <c r="G143" s="44">
        <f t="shared" ref="G143:G146" si="3">ROUND(F143*E143,2)</f>
        <v>2170</v>
      </c>
      <c r="H143" s="46" t="s">
        <v>104</v>
      </c>
      <c r="I143" s="43" t="s">
        <v>46</v>
      </c>
      <c r="J143" s="45">
        <f>0.2*E143</f>
        <v>21.700000000000003</v>
      </c>
      <c r="K143" s="44"/>
      <c r="L143" s="44"/>
    </row>
    <row r="144" spans="2:12" ht="29" x14ac:dyDescent="0.35">
      <c r="B144" s="43"/>
      <c r="C144" s="46" t="s">
        <v>66</v>
      </c>
      <c r="D144" s="43" t="s">
        <v>45</v>
      </c>
      <c r="E144" s="43">
        <v>88.65</v>
      </c>
      <c r="F144" s="44">
        <v>180</v>
      </c>
      <c r="G144" s="44">
        <f t="shared" si="3"/>
        <v>15957</v>
      </c>
      <c r="H144" s="46" t="s">
        <v>65</v>
      </c>
      <c r="I144" s="43" t="s">
        <v>61</v>
      </c>
      <c r="J144" s="45">
        <f>1.8*5*E144</f>
        <v>797.85</v>
      </c>
      <c r="K144" s="44"/>
      <c r="L144" s="44"/>
    </row>
    <row r="145" spans="2:12" x14ac:dyDescent="0.35">
      <c r="B145" s="43"/>
      <c r="C145" s="46" t="s">
        <v>69</v>
      </c>
      <c r="D145" s="43" t="s">
        <v>43</v>
      </c>
      <c r="E145" s="43">
        <v>88.65</v>
      </c>
      <c r="F145" s="44">
        <v>20</v>
      </c>
      <c r="G145" s="44">
        <f t="shared" si="3"/>
        <v>1773</v>
      </c>
      <c r="H145" s="46" t="s">
        <v>104</v>
      </c>
      <c r="I145" s="43" t="s">
        <v>46</v>
      </c>
      <c r="J145" s="45">
        <f>0.2*E145</f>
        <v>17.73</v>
      </c>
      <c r="K145" s="44"/>
      <c r="L145" s="44"/>
    </row>
    <row r="146" spans="2:12" ht="43.5" x14ac:dyDescent="0.35">
      <c r="B146" s="43"/>
      <c r="C146" s="46" t="s">
        <v>67</v>
      </c>
      <c r="D146" s="43" t="s">
        <v>45</v>
      </c>
      <c r="E146" s="43">
        <v>88.65</v>
      </c>
      <c r="F146" s="44">
        <v>160</v>
      </c>
      <c r="G146" s="44">
        <f t="shared" si="3"/>
        <v>14184</v>
      </c>
      <c r="H146" s="46" t="s">
        <v>91</v>
      </c>
      <c r="I146" s="43" t="s">
        <v>45</v>
      </c>
      <c r="J146" s="45">
        <v>93</v>
      </c>
      <c r="K146" s="44"/>
      <c r="L146" s="44"/>
    </row>
    <row r="147" spans="2:12" x14ac:dyDescent="0.35">
      <c r="B147" s="43"/>
      <c r="C147" s="43"/>
      <c r="D147" s="43"/>
      <c r="E147" s="43"/>
      <c r="F147" s="44"/>
      <c r="G147" s="44"/>
      <c r="H147" s="46" t="s">
        <v>68</v>
      </c>
      <c r="I147" s="43" t="s">
        <v>61</v>
      </c>
      <c r="J147" s="45">
        <f>0.3*E146</f>
        <v>26.595000000000002</v>
      </c>
      <c r="K147" s="44"/>
      <c r="L147" s="44"/>
    </row>
    <row r="148" spans="2:12" ht="29" x14ac:dyDescent="0.35">
      <c r="B148" s="43"/>
      <c r="C148" s="43"/>
      <c r="D148" s="43"/>
      <c r="E148" s="43"/>
      <c r="F148" s="44"/>
      <c r="G148" s="44"/>
      <c r="H148" s="46" t="s">
        <v>71</v>
      </c>
      <c r="I148" s="43" t="s">
        <v>47</v>
      </c>
      <c r="J148" s="45">
        <v>33</v>
      </c>
      <c r="K148" s="44"/>
      <c r="L148" s="44"/>
    </row>
    <row r="149" spans="2:12" ht="29" x14ac:dyDescent="0.35">
      <c r="B149" s="43"/>
      <c r="C149" s="46" t="s">
        <v>72</v>
      </c>
      <c r="D149" s="43" t="s">
        <v>45</v>
      </c>
      <c r="E149" s="43">
        <v>19.850000000000001</v>
      </c>
      <c r="F149" s="44">
        <v>700</v>
      </c>
      <c r="G149" s="44">
        <f t="shared" ref="G149" si="4">ROUND(F149*E149,2)</f>
        <v>13895</v>
      </c>
      <c r="H149" s="46" t="s">
        <v>92</v>
      </c>
      <c r="I149" s="43" t="s">
        <v>45</v>
      </c>
      <c r="J149" s="45">
        <v>12</v>
      </c>
      <c r="K149" s="44"/>
      <c r="L149" s="44"/>
    </row>
    <row r="150" spans="2:12" ht="29" x14ac:dyDescent="0.35">
      <c r="B150" s="43"/>
      <c r="C150" s="46"/>
      <c r="D150" s="43"/>
      <c r="E150" s="43"/>
      <c r="F150" s="44"/>
      <c r="G150" s="44"/>
      <c r="H150" s="46" t="s">
        <v>93</v>
      </c>
      <c r="I150" s="43" t="s">
        <v>45</v>
      </c>
      <c r="J150" s="45">
        <v>8</v>
      </c>
      <c r="K150" s="44"/>
      <c r="L150" s="44"/>
    </row>
    <row r="151" spans="2:12" ht="29" x14ac:dyDescent="0.35">
      <c r="B151" s="43"/>
      <c r="C151" s="46"/>
      <c r="D151" s="43"/>
      <c r="E151" s="43"/>
      <c r="F151" s="44"/>
      <c r="G151" s="44"/>
      <c r="H151" s="46" t="s">
        <v>94</v>
      </c>
      <c r="I151" s="43" t="s">
        <v>45</v>
      </c>
      <c r="J151" s="45">
        <v>11</v>
      </c>
      <c r="K151" s="44"/>
      <c r="L151" s="44"/>
    </row>
    <row r="152" spans="2:12" x14ac:dyDescent="0.35">
      <c r="B152" s="43"/>
      <c r="C152" s="43"/>
      <c r="D152" s="43"/>
      <c r="E152" s="43"/>
      <c r="F152" s="44"/>
      <c r="G152" s="44"/>
      <c r="H152" s="46" t="s">
        <v>73</v>
      </c>
      <c r="I152" s="43" t="s">
        <v>61</v>
      </c>
      <c r="J152" s="45">
        <f>7*E149</f>
        <v>138.95000000000002</v>
      </c>
      <c r="K152" s="44"/>
      <c r="L152" s="44"/>
    </row>
    <row r="153" spans="2:12" x14ac:dyDescent="0.35">
      <c r="B153" s="43"/>
      <c r="C153" s="43"/>
      <c r="D153" s="43"/>
      <c r="E153" s="43"/>
      <c r="F153" s="44"/>
      <c r="G153" s="44"/>
      <c r="H153" s="46" t="s">
        <v>74</v>
      </c>
      <c r="I153" s="43" t="s">
        <v>61</v>
      </c>
      <c r="J153" s="45">
        <f>0.45*E149</f>
        <v>8.932500000000001</v>
      </c>
      <c r="K153" s="44"/>
      <c r="L153" s="44"/>
    </row>
    <row r="154" spans="2:12" x14ac:dyDescent="0.35">
      <c r="B154" s="43"/>
      <c r="C154" s="43"/>
      <c r="D154" s="43"/>
      <c r="E154" s="43"/>
      <c r="F154" s="44"/>
      <c r="G154" s="44"/>
      <c r="H154" s="46" t="s">
        <v>82</v>
      </c>
      <c r="I154" s="43" t="s">
        <v>44</v>
      </c>
      <c r="J154" s="47">
        <f>8*E149</f>
        <v>158.80000000000001</v>
      </c>
      <c r="K154" s="44"/>
      <c r="L154" s="44"/>
    </row>
    <row r="155" spans="2:12" x14ac:dyDescent="0.35">
      <c r="B155" s="43"/>
      <c r="C155" s="46" t="s">
        <v>77</v>
      </c>
      <c r="D155" s="43" t="s">
        <v>75</v>
      </c>
      <c r="E155" s="43">
        <v>75</v>
      </c>
      <c r="F155" s="44">
        <v>75</v>
      </c>
      <c r="G155" s="44">
        <f t="shared" ref="G155" si="5">ROUND(F155*E155,2)</f>
        <v>5625</v>
      </c>
      <c r="H155" s="46" t="s">
        <v>78</v>
      </c>
      <c r="I155" s="43" t="s">
        <v>79</v>
      </c>
      <c r="J155" s="45">
        <f>E155</f>
        <v>75</v>
      </c>
      <c r="K155" s="44"/>
      <c r="L155" s="44"/>
    </row>
    <row r="156" spans="2:12" x14ac:dyDescent="0.35">
      <c r="B156" s="43"/>
      <c r="C156" s="46"/>
      <c r="D156" s="43"/>
      <c r="E156" s="43"/>
      <c r="F156" s="44"/>
      <c r="G156" s="44"/>
      <c r="H156" s="46" t="s">
        <v>81</v>
      </c>
      <c r="I156" s="43" t="s">
        <v>44</v>
      </c>
      <c r="J156" s="47">
        <f>4*E155</f>
        <v>300</v>
      </c>
      <c r="K156" s="44"/>
      <c r="L156" s="44"/>
    </row>
    <row r="157" spans="2:12" ht="29" x14ac:dyDescent="0.35">
      <c r="B157" s="43"/>
      <c r="C157" s="43"/>
      <c r="D157" s="43"/>
      <c r="E157" s="43"/>
      <c r="F157" s="44"/>
      <c r="G157" s="44"/>
      <c r="H157" s="46" t="s">
        <v>80</v>
      </c>
      <c r="I157" s="43"/>
      <c r="J157" s="45"/>
      <c r="K157" s="44"/>
      <c r="L157" s="44"/>
    </row>
    <row r="158" spans="2:12" x14ac:dyDescent="0.35">
      <c r="B158" s="57"/>
      <c r="C158" s="57" t="s">
        <v>85</v>
      </c>
      <c r="D158" s="57"/>
      <c r="E158" s="57"/>
      <c r="F158" s="58"/>
      <c r="G158" s="58"/>
      <c r="H158" s="60"/>
      <c r="I158" s="57"/>
      <c r="J158" s="59"/>
      <c r="K158" s="58"/>
      <c r="L158" s="58"/>
    </row>
    <row r="159" spans="2:12" x14ac:dyDescent="0.35">
      <c r="B159" s="43"/>
      <c r="C159" s="46" t="s">
        <v>137</v>
      </c>
      <c r="D159" s="43" t="s">
        <v>45</v>
      </c>
      <c r="E159" s="43">
        <v>60</v>
      </c>
      <c r="F159" s="44">
        <v>20</v>
      </c>
      <c r="G159" s="44">
        <f t="shared" ref="G159:G160" si="6">ROUND(F159*E159,2)</f>
        <v>1200</v>
      </c>
      <c r="H159" s="46" t="s">
        <v>104</v>
      </c>
      <c r="I159" s="43" t="s">
        <v>46</v>
      </c>
      <c r="J159" s="45">
        <f>0.2*E159</f>
        <v>12</v>
      </c>
      <c r="K159" s="44"/>
      <c r="L159" s="44"/>
    </row>
    <row r="160" spans="2:12" ht="29" x14ac:dyDescent="0.35">
      <c r="B160" s="43"/>
      <c r="C160" s="46" t="s">
        <v>153</v>
      </c>
      <c r="D160" s="43" t="s">
        <v>45</v>
      </c>
      <c r="E160" s="43">
        <v>60</v>
      </c>
      <c r="F160" s="44">
        <v>700</v>
      </c>
      <c r="G160" s="44">
        <f t="shared" si="6"/>
        <v>42000</v>
      </c>
      <c r="H160" s="46" t="s">
        <v>96</v>
      </c>
      <c r="I160" s="43" t="s">
        <v>45</v>
      </c>
      <c r="J160" s="45">
        <v>50</v>
      </c>
      <c r="K160" s="44"/>
      <c r="L160" s="44"/>
    </row>
    <row r="161" spans="2:12" ht="29" x14ac:dyDescent="0.35">
      <c r="B161" s="43"/>
      <c r="C161" s="46"/>
      <c r="D161" s="43"/>
      <c r="E161" s="43"/>
      <c r="F161" s="44"/>
      <c r="G161" s="44"/>
      <c r="H161" s="46" t="s">
        <v>94</v>
      </c>
      <c r="I161" s="43" t="s">
        <v>45</v>
      </c>
      <c r="J161" s="45">
        <v>12</v>
      </c>
      <c r="K161" s="44"/>
      <c r="L161" s="44"/>
    </row>
    <row r="162" spans="2:12" x14ac:dyDescent="0.35">
      <c r="B162" s="43"/>
      <c r="C162" s="43"/>
      <c r="D162" s="43"/>
      <c r="E162" s="43"/>
      <c r="F162" s="44"/>
      <c r="G162" s="44"/>
      <c r="H162" s="46" t="s">
        <v>73</v>
      </c>
      <c r="I162" s="43" t="s">
        <v>61</v>
      </c>
      <c r="J162" s="45">
        <f>7*E160</f>
        <v>420</v>
      </c>
      <c r="K162" s="44"/>
      <c r="L162" s="44"/>
    </row>
    <row r="163" spans="2:12" x14ac:dyDescent="0.35">
      <c r="B163" s="43"/>
      <c r="C163" s="43"/>
      <c r="D163" s="43"/>
      <c r="E163" s="43"/>
      <c r="F163" s="44"/>
      <c r="G163" s="44"/>
      <c r="H163" s="46" t="s">
        <v>74</v>
      </c>
      <c r="I163" s="43" t="s">
        <v>61</v>
      </c>
      <c r="J163" s="45">
        <f>0.45*E160</f>
        <v>27</v>
      </c>
      <c r="K163" s="44"/>
      <c r="L163" s="44"/>
    </row>
    <row r="164" spans="2:12" x14ac:dyDescent="0.35">
      <c r="B164" s="43"/>
      <c r="C164" s="43"/>
      <c r="D164" s="43"/>
      <c r="E164" s="43"/>
      <c r="F164" s="44"/>
      <c r="G164" s="44"/>
      <c r="H164" s="46" t="s">
        <v>82</v>
      </c>
      <c r="I164" s="43" t="s">
        <v>44</v>
      </c>
      <c r="J164" s="47">
        <f>8*E160</f>
        <v>480</v>
      </c>
      <c r="K164" s="44"/>
      <c r="L164" s="44"/>
    </row>
    <row r="165" spans="2:12" x14ac:dyDescent="0.35">
      <c r="B165" s="43"/>
      <c r="C165" s="46" t="s">
        <v>100</v>
      </c>
      <c r="D165" s="43" t="s">
        <v>45</v>
      </c>
      <c r="E165" s="43">
        <f>297.9-60</f>
        <v>237.89999999999998</v>
      </c>
      <c r="F165" s="44">
        <v>20</v>
      </c>
      <c r="G165" s="44">
        <f t="shared" ref="G165:G168" si="7">ROUND(F165*E165,2)</f>
        <v>4758</v>
      </c>
      <c r="H165" s="46" t="s">
        <v>104</v>
      </c>
      <c r="I165" s="43" t="s">
        <v>46</v>
      </c>
      <c r="J165" s="45">
        <f>0.2*E165</f>
        <v>47.58</v>
      </c>
      <c r="K165" s="44"/>
      <c r="L165" s="44"/>
    </row>
    <row r="166" spans="2:12" x14ac:dyDescent="0.35">
      <c r="B166" s="43"/>
      <c r="C166" s="46" t="s">
        <v>109</v>
      </c>
      <c r="D166" s="43" t="s">
        <v>45</v>
      </c>
      <c r="E166" s="43">
        <f>E165</f>
        <v>237.89999999999998</v>
      </c>
      <c r="F166" s="44">
        <v>220</v>
      </c>
      <c r="G166" s="44">
        <f t="shared" si="7"/>
        <v>52338</v>
      </c>
      <c r="H166" s="46" t="s">
        <v>101</v>
      </c>
      <c r="I166" s="43" t="s">
        <v>61</v>
      </c>
      <c r="J166" s="45">
        <f>E166</f>
        <v>237.89999999999998</v>
      </c>
      <c r="K166" s="44"/>
      <c r="L166" s="44"/>
    </row>
    <row r="167" spans="2:12" ht="29" x14ac:dyDescent="0.35">
      <c r="B167" s="43"/>
      <c r="C167" s="46" t="s">
        <v>102</v>
      </c>
      <c r="D167" s="43" t="s">
        <v>45</v>
      </c>
      <c r="E167" s="43">
        <f>E165</f>
        <v>237.89999999999998</v>
      </c>
      <c r="F167" s="44">
        <v>20</v>
      </c>
      <c r="G167" s="44">
        <f t="shared" si="7"/>
        <v>4758</v>
      </c>
      <c r="H167" s="46" t="s">
        <v>103</v>
      </c>
      <c r="I167" s="43" t="s">
        <v>46</v>
      </c>
      <c r="J167" s="45">
        <f>0.2*E167</f>
        <v>47.58</v>
      </c>
      <c r="K167" s="44"/>
      <c r="L167" s="44"/>
    </row>
    <row r="168" spans="2:12" ht="29" x14ac:dyDescent="0.35">
      <c r="B168" s="43"/>
      <c r="C168" s="46" t="s">
        <v>105</v>
      </c>
      <c r="D168" s="43" t="s">
        <v>45</v>
      </c>
      <c r="E168" s="43">
        <f>E165</f>
        <v>237.89999999999998</v>
      </c>
      <c r="F168" s="44">
        <v>110</v>
      </c>
      <c r="G168" s="44">
        <f t="shared" si="7"/>
        <v>26169</v>
      </c>
      <c r="H168" s="46" t="s">
        <v>106</v>
      </c>
      <c r="I168" s="43" t="s">
        <v>46</v>
      </c>
      <c r="J168" s="45">
        <f>0.3*E168</f>
        <v>71.36999999999999</v>
      </c>
      <c r="K168" s="44"/>
      <c r="L168" s="44"/>
    </row>
    <row r="169" spans="2:12" x14ac:dyDescent="0.35">
      <c r="B169" s="57"/>
      <c r="C169" s="57" t="s">
        <v>107</v>
      </c>
      <c r="D169" s="57"/>
      <c r="E169" s="57"/>
      <c r="F169" s="58"/>
      <c r="G169" s="58"/>
      <c r="H169" s="57"/>
      <c r="I169" s="57"/>
      <c r="J169" s="59"/>
      <c r="K169" s="58"/>
      <c r="L169" s="58"/>
    </row>
    <row r="170" spans="2:12" x14ac:dyDescent="0.35">
      <c r="B170" s="43"/>
      <c r="C170" s="46" t="s">
        <v>112</v>
      </c>
      <c r="D170" s="43" t="s">
        <v>45</v>
      </c>
      <c r="E170" s="43">
        <v>6.52</v>
      </c>
      <c r="F170" s="44">
        <v>250</v>
      </c>
      <c r="G170" s="44">
        <f t="shared" ref="G170" si="8">ROUND(F170*E170,2)</f>
        <v>1630</v>
      </c>
      <c r="H170" s="46" t="s">
        <v>113</v>
      </c>
      <c r="I170" s="43" t="s">
        <v>75</v>
      </c>
      <c r="J170" s="45">
        <f>1.08*E170</f>
        <v>7.0415999999999999</v>
      </c>
      <c r="K170" s="44"/>
      <c r="L170" s="44"/>
    </row>
    <row r="171" spans="2:12" x14ac:dyDescent="0.35">
      <c r="B171" s="43"/>
      <c r="C171" s="43"/>
      <c r="D171" s="43"/>
      <c r="E171" s="43"/>
      <c r="F171" s="44"/>
      <c r="G171" s="44"/>
      <c r="H171" s="46" t="s">
        <v>114</v>
      </c>
      <c r="I171" s="43" t="s">
        <v>75</v>
      </c>
      <c r="J171" s="45">
        <f>0.95*E170</f>
        <v>6.1939999999999991</v>
      </c>
      <c r="K171" s="44"/>
      <c r="L171" s="44"/>
    </row>
    <row r="172" spans="2:12" x14ac:dyDescent="0.35">
      <c r="B172" s="43"/>
      <c r="C172" s="43"/>
      <c r="D172" s="43"/>
      <c r="E172" s="43"/>
      <c r="F172" s="44"/>
      <c r="G172" s="44"/>
      <c r="H172" s="46" t="s">
        <v>115</v>
      </c>
      <c r="I172" s="43" t="s">
        <v>75</v>
      </c>
      <c r="J172" s="45">
        <f>1.9*E170</f>
        <v>12.387999999999998</v>
      </c>
      <c r="K172" s="44"/>
      <c r="L172" s="44"/>
    </row>
    <row r="173" spans="2:12" x14ac:dyDescent="0.35">
      <c r="B173" s="43"/>
      <c r="C173" s="43"/>
      <c r="D173" s="43"/>
      <c r="E173" s="43"/>
      <c r="F173" s="44"/>
      <c r="G173" s="44"/>
      <c r="H173" s="46" t="s">
        <v>116</v>
      </c>
      <c r="I173" s="43" t="s">
        <v>75</v>
      </c>
      <c r="J173" s="45">
        <f>0.95*E170</f>
        <v>6.1939999999999991</v>
      </c>
      <c r="K173" s="44"/>
      <c r="L173" s="44"/>
    </row>
    <row r="174" spans="2:12" x14ac:dyDescent="0.35">
      <c r="B174" s="43"/>
      <c r="C174" s="43"/>
      <c r="D174" s="43"/>
      <c r="E174" s="43"/>
      <c r="F174" s="44"/>
      <c r="G174" s="44"/>
      <c r="H174" s="46" t="s">
        <v>117</v>
      </c>
      <c r="I174" s="43" t="s">
        <v>44</v>
      </c>
      <c r="J174" s="47">
        <f>0.8*E170</f>
        <v>5.2160000000000002</v>
      </c>
      <c r="K174" s="44"/>
      <c r="L174" s="44"/>
    </row>
    <row r="175" spans="2:12" x14ac:dyDescent="0.35">
      <c r="B175" s="43"/>
      <c r="C175" s="43"/>
      <c r="D175" s="43"/>
      <c r="E175" s="43"/>
      <c r="F175" s="44"/>
      <c r="G175" s="44"/>
      <c r="H175" s="46" t="s">
        <v>118</v>
      </c>
      <c r="I175" s="43" t="s">
        <v>44</v>
      </c>
      <c r="J175" s="47">
        <f>2.97*E170</f>
        <v>19.3644</v>
      </c>
      <c r="K175" s="44"/>
      <c r="L175" s="44"/>
    </row>
    <row r="176" spans="2:12" x14ac:dyDescent="0.35">
      <c r="B176" s="43"/>
      <c r="C176" s="43"/>
      <c r="D176" s="43"/>
      <c r="E176" s="43"/>
      <c r="F176" s="44"/>
      <c r="G176" s="44"/>
      <c r="H176" s="46" t="s">
        <v>119</v>
      </c>
      <c r="I176" s="43" t="s">
        <v>45</v>
      </c>
      <c r="J176" s="45">
        <f>1.05*E170</f>
        <v>6.8460000000000001</v>
      </c>
      <c r="K176" s="44"/>
      <c r="L176" s="44"/>
    </row>
    <row r="177" spans="2:12" ht="29" x14ac:dyDescent="0.35">
      <c r="B177" s="43"/>
      <c r="C177" s="46" t="s">
        <v>151</v>
      </c>
      <c r="D177" s="43" t="s">
        <v>45</v>
      </c>
      <c r="E177" s="43">
        <f>108.5-6.52</f>
        <v>101.98</v>
      </c>
      <c r="F177" s="65">
        <v>300</v>
      </c>
      <c r="G177" s="44">
        <f t="shared" ref="G177" si="9">ROUND(F177*E177,2)</f>
        <v>30594</v>
      </c>
      <c r="H177" s="46" t="s">
        <v>144</v>
      </c>
      <c r="I177" s="43" t="s">
        <v>45</v>
      </c>
      <c r="J177" s="45">
        <f>1.05*E177</f>
        <v>107.07900000000001</v>
      </c>
      <c r="K177" s="44"/>
      <c r="L177" s="44"/>
    </row>
    <row r="178" spans="2:12" x14ac:dyDescent="0.35">
      <c r="B178" s="43"/>
      <c r="C178" s="46"/>
      <c r="D178" s="43"/>
      <c r="E178" s="43"/>
      <c r="F178" s="44"/>
      <c r="G178" s="44"/>
      <c r="H178" s="46" t="s">
        <v>145</v>
      </c>
      <c r="I178" s="43" t="s">
        <v>75</v>
      </c>
      <c r="J178" s="45">
        <f>0.9*E177</f>
        <v>91.782000000000011</v>
      </c>
      <c r="K178" s="44"/>
      <c r="L178" s="44"/>
    </row>
    <row r="179" spans="2:12" x14ac:dyDescent="0.35">
      <c r="B179" s="43"/>
      <c r="C179" s="46"/>
      <c r="D179" s="43"/>
      <c r="E179" s="43"/>
      <c r="F179" s="44"/>
      <c r="G179" s="44"/>
      <c r="H179" s="46" t="s">
        <v>146</v>
      </c>
      <c r="I179" s="43" t="s">
        <v>75</v>
      </c>
      <c r="J179" s="45">
        <f>2.55*E177</f>
        <v>260.04899999999998</v>
      </c>
      <c r="K179" s="44"/>
      <c r="L179" s="44"/>
    </row>
    <row r="180" spans="2:12" x14ac:dyDescent="0.35">
      <c r="B180" s="43"/>
      <c r="C180" s="46"/>
      <c r="D180" s="43"/>
      <c r="E180" s="43"/>
      <c r="F180" s="44"/>
      <c r="G180" s="44"/>
      <c r="H180" s="46" t="s">
        <v>117</v>
      </c>
      <c r="I180" s="43" t="s">
        <v>44</v>
      </c>
      <c r="J180" s="47">
        <f>0.7*E177</f>
        <v>71.385999999999996</v>
      </c>
      <c r="K180" s="44"/>
      <c r="L180" s="44"/>
    </row>
    <row r="181" spans="2:12" x14ac:dyDescent="0.35">
      <c r="B181" s="43"/>
      <c r="C181" s="46"/>
      <c r="D181" s="43"/>
      <c r="E181" s="43"/>
      <c r="F181" s="44"/>
      <c r="G181" s="44"/>
      <c r="H181" s="46" t="s">
        <v>118</v>
      </c>
      <c r="I181" s="43" t="s">
        <v>44</v>
      </c>
      <c r="J181" s="47">
        <f>1.68*E177</f>
        <v>171.32640000000001</v>
      </c>
      <c r="K181" s="44"/>
      <c r="L181" s="44"/>
    </row>
    <row r="182" spans="2:12" x14ac:dyDescent="0.35">
      <c r="B182" s="43"/>
      <c r="C182" s="46"/>
      <c r="D182" s="43"/>
      <c r="E182" s="43"/>
      <c r="F182" s="44"/>
      <c r="G182" s="44"/>
      <c r="H182" s="46" t="s">
        <v>147</v>
      </c>
      <c r="I182" s="43" t="s">
        <v>44</v>
      </c>
      <c r="J182" s="47">
        <f>15.6*E177</f>
        <v>1590.8879999999999</v>
      </c>
      <c r="K182" s="44"/>
      <c r="L182" s="44"/>
    </row>
    <row r="183" spans="2:12" x14ac:dyDescent="0.35">
      <c r="B183" s="43"/>
      <c r="C183" s="46"/>
      <c r="D183" s="43"/>
      <c r="E183" s="43"/>
      <c r="F183" s="44"/>
      <c r="G183" s="44"/>
      <c r="H183" s="46" t="s">
        <v>148</v>
      </c>
      <c r="I183" s="43" t="s">
        <v>44</v>
      </c>
      <c r="J183" s="47">
        <f>17*E177</f>
        <v>1733.66</v>
      </c>
      <c r="K183" s="44"/>
      <c r="L183" s="44"/>
    </row>
    <row r="184" spans="2:12" x14ac:dyDescent="0.35">
      <c r="B184" s="43"/>
      <c r="C184" s="46"/>
      <c r="D184" s="43"/>
      <c r="E184" s="43"/>
      <c r="F184" s="44"/>
      <c r="G184" s="44"/>
      <c r="H184" s="46" t="s">
        <v>149</v>
      </c>
      <c r="I184" s="43" t="s">
        <v>47</v>
      </c>
      <c r="J184" s="47">
        <f>0.99*E177</f>
        <v>100.9602</v>
      </c>
      <c r="K184" s="44"/>
      <c r="L184" s="44"/>
    </row>
    <row r="185" spans="2:12" x14ac:dyDescent="0.35">
      <c r="B185" s="43"/>
      <c r="C185" s="46"/>
      <c r="D185" s="43"/>
      <c r="E185" s="43"/>
      <c r="F185" s="44"/>
      <c r="G185" s="44"/>
      <c r="H185" s="46" t="s">
        <v>150</v>
      </c>
      <c r="I185" s="43" t="s">
        <v>61</v>
      </c>
      <c r="J185" s="47">
        <f>0.36*E177</f>
        <v>36.712800000000001</v>
      </c>
      <c r="K185" s="44"/>
      <c r="L185" s="44"/>
    </row>
    <row r="186" spans="2:12" x14ac:dyDescent="0.35">
      <c r="B186" s="43"/>
      <c r="C186" s="46" t="s">
        <v>125</v>
      </c>
      <c r="D186" s="43" t="s">
        <v>45</v>
      </c>
      <c r="E186" s="43">
        <v>101.98</v>
      </c>
      <c r="F186" s="44">
        <v>20</v>
      </c>
      <c r="G186" s="44">
        <f t="shared" ref="G186:G189" si="10">ROUND(F186*E186,2)</f>
        <v>2039.6</v>
      </c>
      <c r="H186" s="46" t="s">
        <v>104</v>
      </c>
      <c r="I186" s="43" t="s">
        <v>46</v>
      </c>
      <c r="J186" s="45">
        <f>0.2*E186</f>
        <v>20.396000000000001</v>
      </c>
      <c r="K186" s="44"/>
      <c r="L186" s="44"/>
    </row>
    <row r="187" spans="2:12" x14ac:dyDescent="0.35">
      <c r="B187" s="43"/>
      <c r="C187" s="46" t="s">
        <v>126</v>
      </c>
      <c r="D187" s="43" t="s">
        <v>45</v>
      </c>
      <c r="E187" s="43">
        <v>101.98</v>
      </c>
      <c r="F187" s="44">
        <v>250</v>
      </c>
      <c r="G187" s="44">
        <f t="shared" si="10"/>
        <v>25495</v>
      </c>
      <c r="H187" s="46" t="s">
        <v>101</v>
      </c>
      <c r="I187" s="43" t="s">
        <v>61</v>
      </c>
      <c r="J187" s="45">
        <f>E187</f>
        <v>101.98</v>
      </c>
      <c r="K187" s="44"/>
      <c r="L187" s="44"/>
    </row>
    <row r="188" spans="2:12" ht="29" x14ac:dyDescent="0.35">
      <c r="B188" s="43"/>
      <c r="C188" s="46" t="s">
        <v>127</v>
      </c>
      <c r="D188" s="43" t="s">
        <v>45</v>
      </c>
      <c r="E188" s="43">
        <v>101.98</v>
      </c>
      <c r="F188" s="44">
        <v>20</v>
      </c>
      <c r="G188" s="44">
        <f t="shared" si="10"/>
        <v>2039.6</v>
      </c>
      <c r="H188" s="46" t="s">
        <v>103</v>
      </c>
      <c r="I188" s="43" t="s">
        <v>46</v>
      </c>
      <c r="J188" s="45">
        <f>0.2*E188</f>
        <v>20.396000000000001</v>
      </c>
      <c r="K188" s="44"/>
      <c r="L188" s="44"/>
    </row>
    <row r="189" spans="2:12" ht="29" x14ac:dyDescent="0.35">
      <c r="B189" s="43"/>
      <c r="C189" s="46" t="s">
        <v>128</v>
      </c>
      <c r="D189" s="43" t="s">
        <v>45</v>
      </c>
      <c r="E189" s="43">
        <v>101.98</v>
      </c>
      <c r="F189" s="44">
        <v>120</v>
      </c>
      <c r="G189" s="44">
        <f t="shared" si="10"/>
        <v>12237.6</v>
      </c>
      <c r="H189" s="46" t="s">
        <v>106</v>
      </c>
      <c r="I189" s="43" t="s">
        <v>46</v>
      </c>
      <c r="J189" s="45">
        <f>0.3*E189</f>
        <v>30.594000000000001</v>
      </c>
      <c r="K189" s="44"/>
      <c r="L189" s="44"/>
    </row>
    <row r="190" spans="2:12" x14ac:dyDescent="0.35">
      <c r="B190" s="54"/>
      <c r="C190" s="54" t="s">
        <v>154</v>
      </c>
      <c r="D190" s="54"/>
      <c r="E190" s="54"/>
      <c r="F190" s="55"/>
      <c r="G190" s="55"/>
      <c r="H190" s="54"/>
      <c r="I190" s="54"/>
      <c r="J190" s="56"/>
      <c r="K190" s="55"/>
      <c r="L190" s="55"/>
    </row>
    <row r="191" spans="2:12" x14ac:dyDescent="0.35">
      <c r="B191" s="57"/>
      <c r="C191" s="57" t="s">
        <v>177</v>
      </c>
      <c r="D191" s="57"/>
      <c r="E191" s="57"/>
      <c r="F191" s="58"/>
      <c r="G191" s="58"/>
      <c r="H191" s="60"/>
      <c r="I191" s="57"/>
      <c r="J191" s="59"/>
      <c r="K191" s="58"/>
      <c r="L191" s="58"/>
    </row>
    <row r="192" spans="2:12" ht="29" x14ac:dyDescent="0.35">
      <c r="B192" s="61"/>
      <c r="C192" s="63" t="s">
        <v>155</v>
      </c>
      <c r="D192" s="64" t="s">
        <v>45</v>
      </c>
      <c r="E192" s="64">
        <f>53.42+17.87</f>
        <v>71.290000000000006</v>
      </c>
      <c r="F192" s="65">
        <v>160</v>
      </c>
      <c r="G192" s="66">
        <f>ROUND(F192*E192,2)</f>
        <v>11406.4</v>
      </c>
      <c r="H192" s="63" t="s">
        <v>156</v>
      </c>
      <c r="I192" s="64" t="s">
        <v>43</v>
      </c>
      <c r="J192" s="67">
        <f>71.29*0.25</f>
        <v>17.822500000000002</v>
      </c>
      <c r="K192" s="66"/>
      <c r="L192" s="62"/>
    </row>
    <row r="193" spans="2:12" x14ac:dyDescent="0.35">
      <c r="B193" s="61"/>
      <c r="C193" s="63" t="s">
        <v>157</v>
      </c>
      <c r="D193" s="64" t="s">
        <v>45</v>
      </c>
      <c r="E193" s="64">
        <v>89.16</v>
      </c>
      <c r="F193" s="65">
        <v>60</v>
      </c>
      <c r="G193" s="66">
        <f>ROUND(F193*E193,2)</f>
        <v>5349.6</v>
      </c>
      <c r="H193" s="63" t="s">
        <v>158</v>
      </c>
      <c r="I193" s="64" t="s">
        <v>45</v>
      </c>
      <c r="J193" s="67">
        <f>1.15*E193</f>
        <v>102.53399999999999</v>
      </c>
      <c r="K193" s="66"/>
      <c r="L193" s="62"/>
    </row>
    <row r="194" spans="2:12" x14ac:dyDescent="0.35">
      <c r="B194" s="61"/>
      <c r="C194" s="63" t="s">
        <v>176</v>
      </c>
      <c r="D194" s="64" t="s">
        <v>45</v>
      </c>
      <c r="E194" s="64">
        <v>17.87</v>
      </c>
      <c r="F194" s="65">
        <v>60</v>
      </c>
      <c r="G194" s="66">
        <f>ROUND(F194*E194,2)</f>
        <v>1072.2</v>
      </c>
      <c r="H194" s="63" t="s">
        <v>204</v>
      </c>
      <c r="I194" s="64" t="s">
        <v>45</v>
      </c>
      <c r="J194" s="67">
        <f>1.15*E194</f>
        <v>20.5505</v>
      </c>
      <c r="K194" s="66"/>
      <c r="L194" s="62"/>
    </row>
    <row r="195" spans="2:12" x14ac:dyDescent="0.35">
      <c r="B195" s="61"/>
      <c r="C195" s="63" t="s">
        <v>159</v>
      </c>
      <c r="D195" s="64" t="s">
        <v>45</v>
      </c>
      <c r="E195" s="64">
        <f>E194+E193</f>
        <v>107.03</v>
      </c>
      <c r="F195" s="65">
        <v>45</v>
      </c>
      <c r="G195" s="66">
        <f>ROUND(F195*E195,2)</f>
        <v>4816.3500000000004</v>
      </c>
      <c r="H195" s="63" t="s">
        <v>160</v>
      </c>
      <c r="I195" s="64" t="s">
        <v>43</v>
      </c>
      <c r="J195" s="67">
        <f>0.03*0.05*200</f>
        <v>0.3</v>
      </c>
      <c r="K195" s="66"/>
      <c r="L195" s="62"/>
    </row>
    <row r="196" spans="2:12" x14ac:dyDescent="0.35">
      <c r="B196" s="61"/>
      <c r="C196" s="63"/>
      <c r="D196" s="64"/>
      <c r="E196" s="64"/>
      <c r="F196" s="65"/>
      <c r="G196" s="66"/>
      <c r="H196" s="63" t="s">
        <v>161</v>
      </c>
      <c r="I196" s="64" t="s">
        <v>162</v>
      </c>
      <c r="J196" s="67">
        <v>1</v>
      </c>
      <c r="K196" s="66"/>
      <c r="L196" s="62"/>
    </row>
    <row r="197" spans="2:12" x14ac:dyDescent="0.35">
      <c r="B197" s="61"/>
      <c r="C197" s="63" t="s">
        <v>163</v>
      </c>
      <c r="D197" s="64" t="s">
        <v>45</v>
      </c>
      <c r="E197" s="64">
        <v>120.4</v>
      </c>
      <c r="F197" s="65">
        <v>50</v>
      </c>
      <c r="G197" s="66">
        <f>ROUND(F197*E197,2)</f>
        <v>6020</v>
      </c>
      <c r="H197" s="63" t="s">
        <v>164</v>
      </c>
      <c r="I197" s="64" t="s">
        <v>46</v>
      </c>
      <c r="J197" s="67">
        <f>0.25*E197</f>
        <v>30.1</v>
      </c>
      <c r="K197" s="66"/>
      <c r="L197" s="62"/>
    </row>
    <row r="198" spans="2:12" x14ac:dyDescent="0.35">
      <c r="B198" s="61"/>
      <c r="C198" s="63" t="s">
        <v>165</v>
      </c>
      <c r="D198" s="64" t="s">
        <v>45</v>
      </c>
      <c r="E198" s="64">
        <v>53.42</v>
      </c>
      <c r="F198" s="65">
        <v>300</v>
      </c>
      <c r="G198" s="66">
        <f>ROUND(F198*E198,2)</f>
        <v>16026</v>
      </c>
      <c r="H198" s="63" t="s">
        <v>166</v>
      </c>
      <c r="I198" s="64" t="s">
        <v>47</v>
      </c>
      <c r="J198" s="67">
        <f>2.67*E198</f>
        <v>142.63140000000001</v>
      </c>
      <c r="K198" s="66"/>
      <c r="L198" s="62"/>
    </row>
    <row r="199" spans="2:12" x14ac:dyDescent="0.35">
      <c r="B199" s="61"/>
      <c r="C199" s="63"/>
      <c r="D199" s="64"/>
      <c r="E199" s="64"/>
      <c r="F199" s="65"/>
      <c r="G199" s="66"/>
      <c r="H199" s="63" t="s">
        <v>167</v>
      </c>
      <c r="I199" s="64" t="s">
        <v>44</v>
      </c>
      <c r="J199" s="67">
        <v>50</v>
      </c>
      <c r="K199" s="66"/>
      <c r="L199" s="62"/>
    </row>
    <row r="200" spans="2:12" x14ac:dyDescent="0.35">
      <c r="B200" s="61"/>
      <c r="C200" s="63"/>
      <c r="D200" s="64"/>
      <c r="E200" s="64"/>
      <c r="F200" s="65"/>
      <c r="G200" s="66"/>
      <c r="H200" s="63" t="s">
        <v>148</v>
      </c>
      <c r="I200" s="64" t="s">
        <v>44</v>
      </c>
      <c r="J200" s="67">
        <f>20*50</f>
        <v>1000</v>
      </c>
      <c r="K200" s="66"/>
      <c r="L200" s="62"/>
    </row>
    <row r="201" spans="2:12" x14ac:dyDescent="0.35">
      <c r="B201" s="61"/>
      <c r="C201" s="63"/>
      <c r="D201" s="64"/>
      <c r="E201" s="64"/>
      <c r="F201" s="65"/>
      <c r="G201" s="66"/>
      <c r="H201" s="63" t="s">
        <v>168</v>
      </c>
      <c r="I201" s="64" t="s">
        <v>45</v>
      </c>
      <c r="J201" s="67">
        <f>1.05*E198</f>
        <v>56.091000000000001</v>
      </c>
      <c r="K201" s="66"/>
      <c r="L201" s="62"/>
    </row>
    <row r="202" spans="2:12" x14ac:dyDescent="0.35">
      <c r="B202" s="61"/>
      <c r="C202" s="63" t="s">
        <v>169</v>
      </c>
      <c r="D202" s="64" t="s">
        <v>45</v>
      </c>
      <c r="E202" s="64">
        <v>35.74</v>
      </c>
      <c r="F202" s="65">
        <v>250</v>
      </c>
      <c r="G202" s="66">
        <f>ROUND(F202*E202,2)</f>
        <v>8935</v>
      </c>
      <c r="H202" s="63" t="s">
        <v>166</v>
      </c>
      <c r="I202" s="64" t="s">
        <v>47</v>
      </c>
      <c r="J202" s="67">
        <f>2.67*E202</f>
        <v>95.42580000000001</v>
      </c>
      <c r="K202" s="66"/>
      <c r="L202" s="62"/>
    </row>
    <row r="203" spans="2:12" x14ac:dyDescent="0.35">
      <c r="B203" s="61"/>
      <c r="C203" s="63"/>
      <c r="D203" s="64"/>
      <c r="E203" s="64"/>
      <c r="F203" s="65"/>
      <c r="G203" s="66"/>
      <c r="H203" s="63" t="s">
        <v>167</v>
      </c>
      <c r="I203" s="64" t="s">
        <v>44</v>
      </c>
      <c r="J203" s="67">
        <v>35</v>
      </c>
      <c r="K203" s="66"/>
      <c r="L203" s="62"/>
    </row>
    <row r="204" spans="2:12" x14ac:dyDescent="0.35">
      <c r="B204" s="61"/>
      <c r="C204" s="63"/>
      <c r="D204" s="64"/>
      <c r="E204" s="64"/>
      <c r="F204" s="65"/>
      <c r="G204" s="66"/>
      <c r="H204" s="63" t="s">
        <v>148</v>
      </c>
      <c r="I204" s="64" t="s">
        <v>44</v>
      </c>
      <c r="J204" s="67">
        <f>20*35</f>
        <v>700</v>
      </c>
      <c r="K204" s="66"/>
      <c r="L204" s="62"/>
    </row>
    <row r="205" spans="2:12" x14ac:dyDescent="0.35">
      <c r="B205" s="61"/>
      <c r="C205" s="63"/>
      <c r="D205" s="64"/>
      <c r="E205" s="64"/>
      <c r="F205" s="65"/>
      <c r="G205" s="66"/>
      <c r="H205" s="63" t="s">
        <v>168</v>
      </c>
      <c r="I205" s="64" t="s">
        <v>45</v>
      </c>
      <c r="J205" s="67">
        <f>1.05*E202</f>
        <v>37.527000000000001</v>
      </c>
      <c r="K205" s="66"/>
      <c r="L205" s="62"/>
    </row>
    <row r="206" spans="2:12" x14ac:dyDescent="0.35">
      <c r="B206" s="61"/>
      <c r="C206" s="63" t="s">
        <v>170</v>
      </c>
      <c r="D206" s="64" t="s">
        <v>45</v>
      </c>
      <c r="E206" s="64">
        <v>8.65</v>
      </c>
      <c r="F206" s="65">
        <v>500</v>
      </c>
      <c r="G206" s="66">
        <f>ROUND(F206*E206,2)</f>
        <v>4325</v>
      </c>
      <c r="H206" s="63" t="s">
        <v>171</v>
      </c>
      <c r="I206" s="64" t="s">
        <v>47</v>
      </c>
      <c r="J206" s="67">
        <f>0.75*E206</f>
        <v>6.4875000000000007</v>
      </c>
      <c r="K206" s="66"/>
      <c r="L206" s="62"/>
    </row>
    <row r="207" spans="2:12" x14ac:dyDescent="0.35">
      <c r="B207" s="61"/>
      <c r="C207" s="63"/>
      <c r="D207" s="64"/>
      <c r="E207" s="64"/>
      <c r="F207" s="65"/>
      <c r="G207" s="66"/>
      <c r="H207" s="63" t="s">
        <v>172</v>
      </c>
      <c r="I207" s="64" t="s">
        <v>47</v>
      </c>
      <c r="J207" s="67">
        <f>2.24*E206</f>
        <v>19.376000000000001</v>
      </c>
      <c r="K207" s="66"/>
      <c r="L207" s="62"/>
    </row>
    <row r="208" spans="2:12" x14ac:dyDescent="0.35">
      <c r="B208" s="61"/>
      <c r="C208" s="63"/>
      <c r="D208" s="64"/>
      <c r="E208" s="64"/>
      <c r="F208" s="65"/>
      <c r="G208" s="66"/>
      <c r="H208" s="63" t="s">
        <v>168</v>
      </c>
      <c r="I208" s="64" t="s">
        <v>45</v>
      </c>
      <c r="J208" s="67">
        <f>2.1*E206</f>
        <v>18.165000000000003</v>
      </c>
      <c r="K208" s="66"/>
      <c r="L208" s="62"/>
    </row>
    <row r="209" spans="2:12" x14ac:dyDescent="0.35">
      <c r="B209" s="61"/>
      <c r="C209" s="63"/>
      <c r="D209" s="64"/>
      <c r="E209" s="64"/>
      <c r="F209" s="65"/>
      <c r="G209" s="66"/>
      <c r="H209" s="63" t="s">
        <v>173</v>
      </c>
      <c r="I209" s="64" t="s">
        <v>45</v>
      </c>
      <c r="J209" s="67">
        <f>1.05*E206</f>
        <v>9.0825000000000014</v>
      </c>
      <c r="K209" s="66"/>
      <c r="L209" s="62"/>
    </row>
    <row r="210" spans="2:12" x14ac:dyDescent="0.35">
      <c r="B210" s="61"/>
      <c r="C210" s="63"/>
      <c r="D210" s="64"/>
      <c r="E210" s="64"/>
      <c r="F210" s="65"/>
      <c r="G210" s="66"/>
      <c r="H210" s="63" t="s">
        <v>148</v>
      </c>
      <c r="I210" s="64" t="s">
        <v>44</v>
      </c>
      <c r="J210" s="68">
        <f>32.6*E206</f>
        <v>281.99</v>
      </c>
      <c r="K210" s="66"/>
      <c r="L210" s="62"/>
    </row>
    <row r="211" spans="2:12" x14ac:dyDescent="0.35">
      <c r="B211" s="61"/>
      <c r="C211" s="63"/>
      <c r="D211" s="64"/>
      <c r="E211" s="64"/>
      <c r="F211" s="65"/>
      <c r="G211" s="66"/>
      <c r="H211" s="63" t="s">
        <v>174</v>
      </c>
      <c r="I211" s="64" t="s">
        <v>44</v>
      </c>
      <c r="J211" s="68">
        <f>4.66*E206</f>
        <v>40.309000000000005</v>
      </c>
      <c r="K211" s="66"/>
      <c r="L211" s="62"/>
    </row>
    <row r="212" spans="2:12" x14ac:dyDescent="0.35">
      <c r="B212" s="61"/>
      <c r="C212" s="63" t="s">
        <v>175</v>
      </c>
      <c r="D212" s="64" t="s">
        <v>44</v>
      </c>
      <c r="E212" s="64">
        <v>1</v>
      </c>
      <c r="F212" s="65">
        <v>450</v>
      </c>
      <c r="G212" s="66">
        <f>ROUND(F212*E212,2)</f>
        <v>450</v>
      </c>
      <c r="H212" s="63"/>
      <c r="I212" s="64"/>
      <c r="J212" s="68"/>
      <c r="K212" s="66"/>
      <c r="L212" s="62"/>
    </row>
    <row r="213" spans="2:12" x14ac:dyDescent="0.35">
      <c r="B213" s="57"/>
      <c r="C213" s="57" t="s">
        <v>85</v>
      </c>
      <c r="D213" s="57"/>
      <c r="E213" s="57"/>
      <c r="F213" s="58"/>
      <c r="G213" s="58"/>
      <c r="H213" s="60"/>
      <c r="I213" s="57"/>
      <c r="J213" s="59"/>
      <c r="K213" s="58"/>
      <c r="L213" s="58"/>
    </row>
    <row r="214" spans="2:12" x14ac:dyDescent="0.35">
      <c r="B214" s="43"/>
      <c r="C214" s="46" t="s">
        <v>137</v>
      </c>
      <c r="D214" s="43" t="s">
        <v>45</v>
      </c>
      <c r="E214" s="43">
        <v>18</v>
      </c>
      <c r="F214" s="44">
        <v>20</v>
      </c>
      <c r="G214" s="66">
        <f>ROUND(F214*E214,2)</f>
        <v>360</v>
      </c>
      <c r="H214" s="46" t="s">
        <v>104</v>
      </c>
      <c r="I214" s="43" t="s">
        <v>46</v>
      </c>
      <c r="J214" s="45">
        <f>0.2*E214</f>
        <v>3.6</v>
      </c>
      <c r="K214" s="44"/>
      <c r="L214" s="44"/>
    </row>
    <row r="215" spans="2:12" ht="29" x14ac:dyDescent="0.35">
      <c r="B215" s="43"/>
      <c r="C215" s="46" t="s">
        <v>153</v>
      </c>
      <c r="D215" s="43" t="s">
        <v>45</v>
      </c>
      <c r="E215" s="43">
        <v>18</v>
      </c>
      <c r="F215" s="44">
        <v>700</v>
      </c>
      <c r="G215" s="66">
        <f>ROUND(F215*E215,2)</f>
        <v>12600</v>
      </c>
      <c r="H215" s="46" t="s">
        <v>96</v>
      </c>
      <c r="I215" s="43" t="s">
        <v>45</v>
      </c>
      <c r="J215" s="45">
        <v>18</v>
      </c>
      <c r="K215" s="44"/>
      <c r="L215" s="44"/>
    </row>
    <row r="216" spans="2:12" x14ac:dyDescent="0.35">
      <c r="B216" s="43"/>
      <c r="C216" s="43"/>
      <c r="D216" s="43"/>
      <c r="E216" s="43"/>
      <c r="F216" s="44"/>
      <c r="G216" s="44"/>
      <c r="H216" s="46" t="s">
        <v>73</v>
      </c>
      <c r="I216" s="43" t="s">
        <v>61</v>
      </c>
      <c r="J216" s="45">
        <f>7*E215</f>
        <v>126</v>
      </c>
      <c r="K216" s="44"/>
      <c r="L216" s="44"/>
    </row>
    <row r="217" spans="2:12" x14ac:dyDescent="0.35">
      <c r="B217" s="43"/>
      <c r="C217" s="43"/>
      <c r="D217" s="43"/>
      <c r="E217" s="43"/>
      <c r="F217" s="44"/>
      <c r="G217" s="44"/>
      <c r="H217" s="46" t="s">
        <v>74</v>
      </c>
      <c r="I217" s="43" t="s">
        <v>61</v>
      </c>
      <c r="J217" s="45">
        <f>0.45*E215</f>
        <v>8.1</v>
      </c>
      <c r="K217" s="44"/>
      <c r="L217" s="44"/>
    </row>
    <row r="218" spans="2:12" x14ac:dyDescent="0.35">
      <c r="B218" s="43"/>
      <c r="C218" s="43"/>
      <c r="D218" s="43"/>
      <c r="E218" s="43"/>
      <c r="F218" s="44"/>
      <c r="G218" s="44"/>
      <c r="H218" s="46" t="s">
        <v>82</v>
      </c>
      <c r="I218" s="43" t="s">
        <v>44</v>
      </c>
      <c r="J218" s="47">
        <f>8*E215</f>
        <v>144</v>
      </c>
      <c r="K218" s="44"/>
      <c r="L218" s="44"/>
    </row>
    <row r="219" spans="2:12" x14ac:dyDescent="0.35">
      <c r="B219" s="43"/>
      <c r="C219" s="46" t="s">
        <v>100</v>
      </c>
      <c r="D219" s="43" t="s">
        <v>45</v>
      </c>
      <c r="E219" s="43">
        <v>42</v>
      </c>
      <c r="F219" s="44">
        <v>20</v>
      </c>
      <c r="G219" s="66">
        <f>ROUND(F219*E219,2)</f>
        <v>840</v>
      </c>
      <c r="H219" s="46" t="s">
        <v>104</v>
      </c>
      <c r="I219" s="43" t="s">
        <v>46</v>
      </c>
      <c r="J219" s="45">
        <f>0.2*E219</f>
        <v>8.4</v>
      </c>
      <c r="K219" s="44"/>
      <c r="L219" s="44"/>
    </row>
    <row r="220" spans="2:12" x14ac:dyDescent="0.35">
      <c r="B220" s="43"/>
      <c r="C220" s="46" t="s">
        <v>109</v>
      </c>
      <c r="D220" s="43" t="s">
        <v>45</v>
      </c>
      <c r="E220" s="43">
        <f>E219</f>
        <v>42</v>
      </c>
      <c r="F220" s="44">
        <v>220</v>
      </c>
      <c r="G220" s="66">
        <f t="shared" ref="G220:G227" si="11">ROUND(F220*E220,2)</f>
        <v>9240</v>
      </c>
      <c r="H220" s="46" t="s">
        <v>101</v>
      </c>
      <c r="I220" s="43" t="s">
        <v>61</v>
      </c>
      <c r="J220" s="45">
        <f>E220</f>
        <v>42</v>
      </c>
      <c r="K220" s="44"/>
      <c r="L220" s="44"/>
    </row>
    <row r="221" spans="2:12" ht="29" x14ac:dyDescent="0.35">
      <c r="B221" s="43"/>
      <c r="C221" s="46" t="s">
        <v>102</v>
      </c>
      <c r="D221" s="43" t="s">
        <v>45</v>
      </c>
      <c r="E221" s="43">
        <f>E219</f>
        <v>42</v>
      </c>
      <c r="F221" s="44">
        <v>20</v>
      </c>
      <c r="G221" s="66">
        <f t="shared" si="11"/>
        <v>840</v>
      </c>
      <c r="H221" s="46" t="s">
        <v>103</v>
      </c>
      <c r="I221" s="43" t="s">
        <v>46</v>
      </c>
      <c r="J221" s="45">
        <f>0.2*E221</f>
        <v>8.4</v>
      </c>
      <c r="K221" s="44"/>
      <c r="L221" s="44"/>
    </row>
    <row r="222" spans="2:12" ht="29" x14ac:dyDescent="0.35">
      <c r="B222" s="43"/>
      <c r="C222" s="46" t="s">
        <v>105</v>
      </c>
      <c r="D222" s="43" t="s">
        <v>45</v>
      </c>
      <c r="E222" s="43">
        <f>E219</f>
        <v>42</v>
      </c>
      <c r="F222" s="44">
        <v>110</v>
      </c>
      <c r="G222" s="66">
        <f t="shared" si="11"/>
        <v>4620</v>
      </c>
      <c r="H222" s="46" t="s">
        <v>106</v>
      </c>
      <c r="I222" s="43" t="s">
        <v>46</v>
      </c>
      <c r="J222" s="45">
        <f>0.3*E222</f>
        <v>12.6</v>
      </c>
      <c r="K222" s="44"/>
      <c r="L222" s="44"/>
    </row>
    <row r="223" spans="2:12" x14ac:dyDescent="0.35">
      <c r="B223" s="57"/>
      <c r="C223" s="57" t="s">
        <v>48</v>
      </c>
      <c r="D223" s="57"/>
      <c r="E223" s="57"/>
      <c r="F223" s="58"/>
      <c r="G223" s="58"/>
      <c r="H223" s="57"/>
      <c r="I223" s="57"/>
      <c r="J223" s="59"/>
      <c r="K223" s="58"/>
      <c r="L223" s="58"/>
    </row>
    <row r="224" spans="2:12" ht="29" x14ac:dyDescent="0.35">
      <c r="B224" s="43"/>
      <c r="C224" s="46" t="s">
        <v>49</v>
      </c>
      <c r="D224" s="43" t="s">
        <v>45</v>
      </c>
      <c r="E224" s="43">
        <v>34</v>
      </c>
      <c r="F224" s="44">
        <v>30</v>
      </c>
      <c r="G224" s="66">
        <f t="shared" si="11"/>
        <v>1020</v>
      </c>
      <c r="H224" s="46" t="s">
        <v>104</v>
      </c>
      <c r="I224" s="43" t="s">
        <v>46</v>
      </c>
      <c r="J224" s="45">
        <f>0.2*E224</f>
        <v>6.8000000000000007</v>
      </c>
      <c r="K224" s="44"/>
      <c r="L224" s="44"/>
    </row>
    <row r="225" spans="2:12" x14ac:dyDescent="0.35">
      <c r="B225" s="43"/>
      <c r="C225" s="46" t="s">
        <v>55</v>
      </c>
      <c r="D225" s="43" t="s">
        <v>45</v>
      </c>
      <c r="E225" s="43">
        <v>34</v>
      </c>
      <c r="F225" s="44">
        <v>45</v>
      </c>
      <c r="G225" s="66">
        <f t="shared" si="11"/>
        <v>1530</v>
      </c>
      <c r="H225" s="46" t="s">
        <v>56</v>
      </c>
      <c r="I225" s="43" t="s">
        <v>45</v>
      </c>
      <c r="J225" s="45">
        <f>1.1*E225</f>
        <v>37.400000000000006</v>
      </c>
      <c r="K225" s="44"/>
      <c r="L225" s="44"/>
    </row>
    <row r="226" spans="2:12" x14ac:dyDescent="0.35">
      <c r="B226" s="43"/>
      <c r="C226" s="46"/>
      <c r="D226" s="43"/>
      <c r="E226" s="43"/>
      <c r="F226" s="44"/>
      <c r="G226" s="44"/>
      <c r="H226" s="46" t="s">
        <v>57</v>
      </c>
      <c r="I226" s="43" t="s">
        <v>44</v>
      </c>
      <c r="J226" s="45">
        <v>5</v>
      </c>
      <c r="K226" s="44"/>
      <c r="L226" s="44"/>
    </row>
    <row r="227" spans="2:12" ht="29" x14ac:dyDescent="0.35">
      <c r="B227" s="43"/>
      <c r="C227" s="46" t="s">
        <v>83</v>
      </c>
      <c r="D227" s="43" t="s">
        <v>45</v>
      </c>
      <c r="E227" s="43">
        <v>34</v>
      </c>
      <c r="F227" s="65">
        <v>260</v>
      </c>
      <c r="G227" s="66">
        <f t="shared" si="11"/>
        <v>8840</v>
      </c>
      <c r="H227" s="46" t="s">
        <v>51</v>
      </c>
      <c r="I227" s="43" t="s">
        <v>52</v>
      </c>
      <c r="J227" s="45">
        <f>2.52*1.1</f>
        <v>2.7720000000000002</v>
      </c>
      <c r="K227" s="44"/>
      <c r="L227" s="44"/>
    </row>
    <row r="228" spans="2:12" x14ac:dyDescent="0.35">
      <c r="B228" s="43"/>
      <c r="C228" s="43"/>
      <c r="D228" s="43"/>
      <c r="E228" s="43"/>
      <c r="F228" s="44"/>
      <c r="G228" s="44"/>
      <c r="H228" s="46" t="s">
        <v>53</v>
      </c>
      <c r="I228" s="43" t="s">
        <v>52</v>
      </c>
      <c r="J228" s="45">
        <f>6.6*1.1</f>
        <v>7.26</v>
      </c>
      <c r="K228" s="44"/>
      <c r="L228" s="44"/>
    </row>
    <row r="229" spans="2:12" x14ac:dyDescent="0.35">
      <c r="B229" s="43"/>
      <c r="C229" s="43"/>
      <c r="D229" s="43"/>
      <c r="E229" s="43"/>
      <c r="F229" s="44"/>
      <c r="G229" s="44"/>
      <c r="H229" s="46" t="s">
        <v>64</v>
      </c>
      <c r="I229" s="43" t="s">
        <v>61</v>
      </c>
      <c r="J229" s="45">
        <f>0.9*5.5</f>
        <v>4.95</v>
      </c>
      <c r="K229" s="44"/>
      <c r="L229" s="44"/>
    </row>
    <row r="230" spans="2:12" x14ac:dyDescent="0.35">
      <c r="B230" s="43"/>
      <c r="C230" s="43"/>
      <c r="D230" s="43"/>
      <c r="E230" s="43"/>
      <c r="F230" s="44"/>
      <c r="G230" s="44"/>
      <c r="H230" s="46" t="s">
        <v>84</v>
      </c>
      <c r="I230" s="43" t="s">
        <v>47</v>
      </c>
      <c r="J230" s="45">
        <v>200</v>
      </c>
      <c r="K230" s="44"/>
      <c r="L230" s="44"/>
    </row>
    <row r="231" spans="2:12" x14ac:dyDescent="0.35">
      <c r="B231" s="43"/>
      <c r="C231" s="46" t="s">
        <v>70</v>
      </c>
      <c r="D231" s="43" t="s">
        <v>45</v>
      </c>
      <c r="E231" s="43">
        <v>34</v>
      </c>
      <c r="F231" s="44">
        <v>20</v>
      </c>
      <c r="G231" s="66">
        <f t="shared" ref="G231:G234" si="12">ROUND(F231*E231,2)</f>
        <v>680</v>
      </c>
      <c r="H231" s="46" t="s">
        <v>104</v>
      </c>
      <c r="I231" s="43" t="s">
        <v>46</v>
      </c>
      <c r="J231" s="45">
        <f>0.2*E231</f>
        <v>6.8000000000000007</v>
      </c>
      <c r="K231" s="44"/>
      <c r="L231" s="44"/>
    </row>
    <row r="232" spans="2:12" ht="29" x14ac:dyDescent="0.35">
      <c r="B232" s="43"/>
      <c r="C232" s="46" t="s">
        <v>66</v>
      </c>
      <c r="D232" s="43" t="s">
        <v>45</v>
      </c>
      <c r="E232" s="43">
        <v>30.4</v>
      </c>
      <c r="F232" s="44">
        <v>180</v>
      </c>
      <c r="G232" s="66">
        <f t="shared" si="12"/>
        <v>5472</v>
      </c>
      <c r="H232" s="46" t="s">
        <v>65</v>
      </c>
      <c r="I232" s="43" t="s">
        <v>61</v>
      </c>
      <c r="J232" s="45">
        <f>1.8*5*E232</f>
        <v>273.59999999999997</v>
      </c>
      <c r="K232" s="44"/>
      <c r="L232" s="44"/>
    </row>
    <row r="233" spans="2:12" x14ac:dyDescent="0.35">
      <c r="B233" s="43"/>
      <c r="C233" s="46" t="s">
        <v>69</v>
      </c>
      <c r="D233" s="43" t="s">
        <v>43</v>
      </c>
      <c r="E233" s="43">
        <v>30.4</v>
      </c>
      <c r="F233" s="44">
        <v>20</v>
      </c>
      <c r="G233" s="66">
        <f t="shared" si="12"/>
        <v>608</v>
      </c>
      <c r="H233" s="46" t="s">
        <v>104</v>
      </c>
      <c r="I233" s="43" t="s">
        <v>46</v>
      </c>
      <c r="J233" s="45">
        <f>0.2*E233</f>
        <v>6.08</v>
      </c>
      <c r="K233" s="44"/>
      <c r="L233" s="44"/>
    </row>
    <row r="234" spans="2:12" ht="43.5" x14ac:dyDescent="0.35">
      <c r="B234" s="43"/>
      <c r="C234" s="46" t="s">
        <v>67</v>
      </c>
      <c r="D234" s="43" t="s">
        <v>45</v>
      </c>
      <c r="E234" s="43">
        <v>30.4</v>
      </c>
      <c r="F234" s="44">
        <v>160</v>
      </c>
      <c r="G234" s="66">
        <f t="shared" si="12"/>
        <v>4864</v>
      </c>
      <c r="H234" s="46" t="s">
        <v>91</v>
      </c>
      <c r="I234" s="43" t="s">
        <v>45</v>
      </c>
      <c r="J234" s="45">
        <v>93</v>
      </c>
      <c r="K234" s="44"/>
      <c r="L234" s="44"/>
    </row>
    <row r="235" spans="2:12" x14ac:dyDescent="0.35">
      <c r="B235" s="43"/>
      <c r="C235" s="43"/>
      <c r="D235" s="43"/>
      <c r="E235" s="43"/>
      <c r="F235" s="44"/>
      <c r="G235" s="44"/>
      <c r="H235" s="46" t="s">
        <v>68</v>
      </c>
      <c r="I235" s="43" t="s">
        <v>61</v>
      </c>
      <c r="J235" s="45">
        <f>0.3*E234</f>
        <v>9.1199999999999992</v>
      </c>
      <c r="K235" s="44"/>
      <c r="L235" s="44"/>
    </row>
    <row r="236" spans="2:12" ht="29" x14ac:dyDescent="0.35">
      <c r="B236" s="43"/>
      <c r="C236" s="43"/>
      <c r="D236" s="43"/>
      <c r="E236" s="43"/>
      <c r="F236" s="44"/>
      <c r="G236" s="44"/>
      <c r="H236" s="46" t="s">
        <v>71</v>
      </c>
      <c r="I236" s="43" t="s">
        <v>47</v>
      </c>
      <c r="J236" s="45">
        <v>33</v>
      </c>
      <c r="K236" s="44"/>
      <c r="L236" s="44"/>
    </row>
    <row r="237" spans="2:12" ht="29" x14ac:dyDescent="0.35">
      <c r="B237" s="43"/>
      <c r="C237" s="46" t="s">
        <v>72</v>
      </c>
      <c r="D237" s="43" t="s">
        <v>45</v>
      </c>
      <c r="E237" s="43">
        <v>3.6</v>
      </c>
      <c r="F237" s="44">
        <v>700</v>
      </c>
      <c r="G237" s="66">
        <f t="shared" ref="G237" si="13">ROUND(F237*E237,2)</f>
        <v>2520</v>
      </c>
      <c r="H237" s="46" t="s">
        <v>92</v>
      </c>
      <c r="I237" s="43" t="s">
        <v>45</v>
      </c>
      <c r="J237" s="45">
        <v>12</v>
      </c>
      <c r="K237" s="44"/>
      <c r="L237" s="44"/>
    </row>
    <row r="238" spans="2:12" ht="29" x14ac:dyDescent="0.35">
      <c r="B238" s="43"/>
      <c r="C238" s="46"/>
      <c r="D238" s="43"/>
      <c r="E238" s="43"/>
      <c r="F238" s="44"/>
      <c r="G238" s="44"/>
      <c r="H238" s="46" t="s">
        <v>93</v>
      </c>
      <c r="I238" s="43" t="s">
        <v>45</v>
      </c>
      <c r="J238" s="45">
        <v>8</v>
      </c>
      <c r="K238" s="44"/>
      <c r="L238" s="44"/>
    </row>
    <row r="239" spans="2:12" ht="29" x14ac:dyDescent="0.35">
      <c r="B239" s="43"/>
      <c r="C239" s="46"/>
      <c r="D239" s="43"/>
      <c r="E239" s="43"/>
      <c r="F239" s="44"/>
      <c r="G239" s="44"/>
      <c r="H239" s="46" t="s">
        <v>94</v>
      </c>
      <c r="I239" s="43" t="s">
        <v>45</v>
      </c>
      <c r="J239" s="45">
        <v>11</v>
      </c>
      <c r="K239" s="44"/>
      <c r="L239" s="44"/>
    </row>
    <row r="240" spans="2:12" x14ac:dyDescent="0.35">
      <c r="B240" s="43"/>
      <c r="C240" s="43"/>
      <c r="D240" s="43"/>
      <c r="E240" s="43"/>
      <c r="F240" s="44"/>
      <c r="G240" s="44"/>
      <c r="H240" s="46" t="s">
        <v>73</v>
      </c>
      <c r="I240" s="43" t="s">
        <v>61</v>
      </c>
      <c r="J240" s="45">
        <f>7*E237</f>
        <v>25.2</v>
      </c>
      <c r="K240" s="44"/>
      <c r="L240" s="44"/>
    </row>
    <row r="241" spans="2:12" x14ac:dyDescent="0.35">
      <c r="B241" s="43"/>
      <c r="C241" s="43"/>
      <c r="D241" s="43"/>
      <c r="E241" s="43"/>
      <c r="F241" s="44"/>
      <c r="G241" s="44"/>
      <c r="H241" s="46" t="s">
        <v>74</v>
      </c>
      <c r="I241" s="43" t="s">
        <v>61</v>
      </c>
      <c r="J241" s="45">
        <f>0.45*E237</f>
        <v>1.62</v>
      </c>
      <c r="K241" s="44"/>
      <c r="L241" s="44"/>
    </row>
    <row r="242" spans="2:12" x14ac:dyDescent="0.35">
      <c r="B242" s="43"/>
      <c r="C242" s="43"/>
      <c r="D242" s="43"/>
      <c r="E242" s="43"/>
      <c r="F242" s="44"/>
      <c r="G242" s="44"/>
      <c r="H242" s="46" t="s">
        <v>82</v>
      </c>
      <c r="I242" s="43" t="s">
        <v>44</v>
      </c>
      <c r="J242" s="47">
        <f>8*E237</f>
        <v>28.8</v>
      </c>
      <c r="K242" s="44"/>
      <c r="L242" s="44"/>
    </row>
    <row r="243" spans="2:12" x14ac:dyDescent="0.35">
      <c r="B243" s="43"/>
      <c r="C243" s="46" t="s">
        <v>77</v>
      </c>
      <c r="D243" s="43" t="s">
        <v>75</v>
      </c>
      <c r="E243" s="43">
        <v>30</v>
      </c>
      <c r="F243" s="44">
        <v>75</v>
      </c>
      <c r="G243" s="66">
        <f t="shared" ref="G243" si="14">ROUND(F243*E243,2)</f>
        <v>2250</v>
      </c>
      <c r="H243" s="46" t="s">
        <v>78</v>
      </c>
      <c r="I243" s="43" t="s">
        <v>79</v>
      </c>
      <c r="J243" s="45">
        <f>E243</f>
        <v>30</v>
      </c>
      <c r="K243" s="44"/>
      <c r="L243" s="44"/>
    </row>
    <row r="244" spans="2:12" x14ac:dyDescent="0.35">
      <c r="B244" s="43"/>
      <c r="C244" s="46"/>
      <c r="D244" s="43"/>
      <c r="E244" s="43"/>
      <c r="F244" s="44"/>
      <c r="G244" s="44"/>
      <c r="H244" s="46" t="s">
        <v>81</v>
      </c>
      <c r="I244" s="43" t="s">
        <v>44</v>
      </c>
      <c r="J244" s="47">
        <f>4*E243</f>
        <v>120</v>
      </c>
      <c r="K244" s="44"/>
      <c r="L244" s="44"/>
    </row>
    <row r="245" spans="2:12" ht="29" x14ac:dyDescent="0.35">
      <c r="B245" s="43"/>
      <c r="C245" s="43"/>
      <c r="D245" s="43"/>
      <c r="E245" s="43"/>
      <c r="F245" s="44"/>
      <c r="G245" s="44"/>
      <c r="H245" s="46" t="s">
        <v>80</v>
      </c>
      <c r="I245" s="43"/>
      <c r="J245" s="45"/>
      <c r="K245" s="44"/>
      <c r="L245" s="44"/>
    </row>
    <row r="246" spans="2:12" x14ac:dyDescent="0.35">
      <c r="B246" s="54"/>
      <c r="C246" s="54" t="s">
        <v>178</v>
      </c>
      <c r="D246" s="54"/>
      <c r="E246" s="54"/>
      <c r="F246" s="55"/>
      <c r="G246" s="55"/>
      <c r="H246" s="54"/>
      <c r="I246" s="54"/>
      <c r="J246" s="56"/>
      <c r="K246" s="55"/>
      <c r="L246" s="55"/>
    </row>
    <row r="247" spans="2:12" ht="29" x14ac:dyDescent="0.35">
      <c r="B247" s="43"/>
      <c r="C247" s="43" t="s">
        <v>179</v>
      </c>
      <c r="D247" s="43" t="s">
        <v>44</v>
      </c>
      <c r="E247" s="43">
        <v>3</v>
      </c>
      <c r="F247" s="44">
        <v>2300</v>
      </c>
      <c r="G247" s="66">
        <f t="shared" ref="G247:G249" si="15">ROUND(F247*E247,2)</f>
        <v>6900</v>
      </c>
      <c r="H247" s="46" t="s">
        <v>181</v>
      </c>
      <c r="I247" s="43" t="s">
        <v>44</v>
      </c>
      <c r="J247" s="45">
        <v>3</v>
      </c>
      <c r="K247" s="44"/>
      <c r="L247" s="44"/>
    </row>
    <row r="248" spans="2:12" x14ac:dyDescent="0.35">
      <c r="B248" s="43"/>
      <c r="C248" s="46" t="s">
        <v>180</v>
      </c>
      <c r="D248" s="43" t="s">
        <v>44</v>
      </c>
      <c r="E248" s="43">
        <v>3</v>
      </c>
      <c r="F248" s="44">
        <v>1800</v>
      </c>
      <c r="G248" s="66">
        <f t="shared" si="15"/>
        <v>5400</v>
      </c>
      <c r="H248" s="46" t="s">
        <v>182</v>
      </c>
      <c r="I248" s="43" t="s">
        <v>44</v>
      </c>
      <c r="J248" s="45">
        <v>3</v>
      </c>
      <c r="K248" s="44"/>
      <c r="L248" s="44"/>
    </row>
    <row r="249" spans="2:12" x14ac:dyDescent="0.35">
      <c r="B249" s="43"/>
      <c r="C249" s="46" t="s">
        <v>183</v>
      </c>
      <c r="D249" s="43" t="s">
        <v>44</v>
      </c>
      <c r="E249" s="43">
        <v>18</v>
      </c>
      <c r="F249" s="44">
        <v>1800</v>
      </c>
      <c r="G249" s="66">
        <f t="shared" si="15"/>
        <v>32400</v>
      </c>
      <c r="H249" s="46" t="s">
        <v>184</v>
      </c>
      <c r="I249" s="43" t="s">
        <v>44</v>
      </c>
      <c r="J249" s="45">
        <v>9</v>
      </c>
      <c r="K249" s="44"/>
      <c r="L249" s="44"/>
    </row>
    <row r="250" spans="2:12" x14ac:dyDescent="0.35">
      <c r="B250" s="43"/>
      <c r="C250" s="43"/>
      <c r="D250" s="43"/>
      <c r="E250" s="43"/>
      <c r="F250" s="44"/>
      <c r="G250" s="44"/>
      <c r="H250" s="46" t="s">
        <v>185</v>
      </c>
      <c r="I250" s="43" t="s">
        <v>44</v>
      </c>
      <c r="J250" s="45">
        <v>5</v>
      </c>
      <c r="K250" s="44"/>
      <c r="L250" s="44"/>
    </row>
    <row r="251" spans="2:12" x14ac:dyDescent="0.35">
      <c r="B251" s="43"/>
      <c r="C251" s="43"/>
      <c r="D251" s="43"/>
      <c r="E251" s="43"/>
      <c r="F251" s="44"/>
      <c r="G251" s="44"/>
      <c r="H251" s="46" t="s">
        <v>186</v>
      </c>
      <c r="I251" s="43" t="s">
        <v>44</v>
      </c>
      <c r="J251" s="45">
        <v>3</v>
      </c>
      <c r="K251" s="44"/>
      <c r="L251" s="44"/>
    </row>
    <row r="252" spans="2:12" x14ac:dyDescent="0.35">
      <c r="B252" s="43"/>
      <c r="C252" s="43"/>
      <c r="D252" s="43"/>
      <c r="E252" s="43"/>
      <c r="F252" s="44"/>
      <c r="G252" s="44"/>
      <c r="H252" s="46" t="s">
        <v>187</v>
      </c>
      <c r="I252" s="43" t="s">
        <v>44</v>
      </c>
      <c r="J252" s="45">
        <v>1</v>
      </c>
      <c r="K252" s="44"/>
      <c r="L252" s="44"/>
    </row>
    <row r="253" spans="2:12" x14ac:dyDescent="0.35">
      <c r="B253" s="43"/>
      <c r="C253" s="43"/>
      <c r="D253" s="43"/>
      <c r="E253" s="43"/>
      <c r="F253" s="44"/>
      <c r="G253" s="44"/>
      <c r="H253" s="46" t="s">
        <v>188</v>
      </c>
      <c r="I253" s="43"/>
      <c r="J253" s="45"/>
      <c r="K253" s="44"/>
      <c r="L253" s="44"/>
    </row>
    <row r="254" spans="2:12" ht="29" x14ac:dyDescent="0.35">
      <c r="B254" s="43"/>
      <c r="C254" s="43"/>
      <c r="D254" s="43"/>
      <c r="E254" s="43"/>
      <c r="F254" s="44"/>
      <c r="G254" s="44"/>
      <c r="H254" s="46" t="s">
        <v>189</v>
      </c>
      <c r="I254" s="43" t="s">
        <v>44</v>
      </c>
      <c r="J254" s="45">
        <f>4*SUM(J247:J252)</f>
        <v>96</v>
      </c>
      <c r="K254" s="44"/>
      <c r="L254" s="44"/>
    </row>
    <row r="255" spans="2:12" x14ac:dyDescent="0.35">
      <c r="B255" s="43"/>
      <c r="C255" s="43"/>
      <c r="D255" s="43"/>
      <c r="E255" s="43"/>
      <c r="F255" s="44"/>
      <c r="G255" s="44"/>
      <c r="H255" s="46" t="s">
        <v>190</v>
      </c>
      <c r="I255" s="43" t="s">
        <v>44</v>
      </c>
      <c r="J255" s="45">
        <f>24/2</f>
        <v>12</v>
      </c>
      <c r="K255" s="44"/>
      <c r="L255" s="44"/>
    </row>
    <row r="256" spans="2:12" ht="29" x14ac:dyDescent="0.35">
      <c r="B256" s="43"/>
      <c r="C256" s="46" t="s">
        <v>199</v>
      </c>
      <c r="D256" s="43" t="s">
        <v>44</v>
      </c>
      <c r="E256" s="43">
        <v>1</v>
      </c>
      <c r="F256" s="44">
        <v>1100</v>
      </c>
      <c r="G256" s="66">
        <f t="shared" ref="G256:G257" si="16">ROUND(F256*E256,2)</f>
        <v>1100</v>
      </c>
      <c r="H256" s="46" t="s">
        <v>200</v>
      </c>
      <c r="I256" s="43" t="s">
        <v>44</v>
      </c>
      <c r="J256" s="45">
        <v>1</v>
      </c>
      <c r="K256" s="44"/>
      <c r="L256" s="44"/>
    </row>
    <row r="257" spans="2:12" ht="29" x14ac:dyDescent="0.35">
      <c r="B257" s="43"/>
      <c r="C257" s="46" t="s">
        <v>191</v>
      </c>
      <c r="D257" s="43" t="s">
        <v>45</v>
      </c>
      <c r="E257" s="43">
        <v>17</v>
      </c>
      <c r="F257" s="44">
        <v>650</v>
      </c>
      <c r="G257" s="66">
        <f t="shared" si="16"/>
        <v>11050</v>
      </c>
      <c r="H257" s="46" t="s">
        <v>192</v>
      </c>
      <c r="I257" s="43" t="s">
        <v>45</v>
      </c>
      <c r="J257" s="45">
        <v>17</v>
      </c>
      <c r="K257" s="44"/>
      <c r="L257" s="44"/>
    </row>
    <row r="258" spans="2:12" x14ac:dyDescent="0.35">
      <c r="B258" s="43"/>
      <c r="C258" s="43"/>
      <c r="D258" s="43"/>
      <c r="E258" s="43"/>
      <c r="F258" s="44"/>
      <c r="G258" s="44"/>
      <c r="H258" s="46"/>
      <c r="I258" s="43"/>
      <c r="J258" s="45"/>
      <c r="K258" s="44"/>
      <c r="L258" s="44"/>
    </row>
    <row r="259" spans="2:12" x14ac:dyDescent="0.35">
      <c r="B259" s="54"/>
      <c r="C259" s="54" t="s">
        <v>138</v>
      </c>
      <c r="D259" s="54"/>
      <c r="E259" s="54"/>
      <c r="F259" s="55"/>
      <c r="G259" s="55"/>
      <c r="H259" s="54"/>
      <c r="I259" s="54"/>
      <c r="J259" s="56"/>
      <c r="K259" s="55"/>
      <c r="L259" s="55"/>
    </row>
    <row r="260" spans="2:12" x14ac:dyDescent="0.35">
      <c r="B260" s="57"/>
      <c r="C260" s="57" t="s">
        <v>139</v>
      </c>
      <c r="D260" s="57"/>
      <c r="E260" s="57"/>
      <c r="F260" s="58"/>
      <c r="G260" s="58"/>
      <c r="H260" s="57"/>
      <c r="I260" s="57"/>
      <c r="J260" s="59"/>
      <c r="K260" s="58"/>
      <c r="L260" s="58"/>
    </row>
    <row r="261" spans="2:12" ht="29" x14ac:dyDescent="0.35">
      <c r="B261" s="43"/>
      <c r="C261" s="46" t="s">
        <v>129</v>
      </c>
      <c r="D261" s="43" t="s">
        <v>45</v>
      </c>
      <c r="E261" s="43">
        <v>30</v>
      </c>
      <c r="F261" s="44">
        <v>1200</v>
      </c>
      <c r="G261" s="66">
        <f t="shared" ref="G261" si="17">ROUND(F261*E261,2)</f>
        <v>36000</v>
      </c>
      <c r="H261" s="46" t="s">
        <v>130</v>
      </c>
      <c r="I261" s="43" t="s">
        <v>45</v>
      </c>
      <c r="J261" s="45">
        <f>0.3*0.6*56</f>
        <v>10.08</v>
      </c>
      <c r="K261" s="44"/>
      <c r="L261" s="44"/>
    </row>
    <row r="262" spans="2:12" ht="29" x14ac:dyDescent="0.35">
      <c r="B262" s="43"/>
      <c r="C262" s="43"/>
      <c r="D262" s="43"/>
      <c r="E262" s="43"/>
      <c r="F262" s="44"/>
      <c r="G262" s="44"/>
      <c r="H262" s="46" t="s">
        <v>131</v>
      </c>
      <c r="I262" s="43" t="s">
        <v>45</v>
      </c>
      <c r="J262" s="45">
        <f>0.3*0.6*57</f>
        <v>10.26</v>
      </c>
      <c r="K262" s="44"/>
      <c r="L262" s="44"/>
    </row>
    <row r="263" spans="2:12" ht="29" x14ac:dyDescent="0.35">
      <c r="B263" s="43"/>
      <c r="C263" s="43"/>
      <c r="D263" s="43"/>
      <c r="E263" s="43"/>
      <c r="F263" s="44"/>
      <c r="G263" s="44"/>
      <c r="H263" s="43" t="s">
        <v>132</v>
      </c>
      <c r="I263" s="43" t="s">
        <v>45</v>
      </c>
      <c r="J263" s="45">
        <f>0.3*0.6*30</f>
        <v>5.3999999999999995</v>
      </c>
      <c r="K263" s="44"/>
      <c r="L263" s="44"/>
    </row>
    <row r="264" spans="2:12" ht="29" x14ac:dyDescent="0.35">
      <c r="B264" s="43"/>
      <c r="C264" s="43"/>
      <c r="D264" s="43"/>
      <c r="E264" s="43"/>
      <c r="F264" s="44"/>
      <c r="G264" s="44"/>
      <c r="H264" s="43" t="s">
        <v>133</v>
      </c>
      <c r="I264" s="43" t="s">
        <v>45</v>
      </c>
      <c r="J264" s="45">
        <f>0.3*0.6*30</f>
        <v>5.3999999999999995</v>
      </c>
      <c r="K264" s="44"/>
      <c r="L264" s="44"/>
    </row>
    <row r="265" spans="2:12" x14ac:dyDescent="0.35">
      <c r="B265" s="43"/>
      <c r="C265" s="43"/>
      <c r="D265" s="43"/>
      <c r="E265" s="43"/>
      <c r="F265" s="44"/>
      <c r="G265" s="44"/>
      <c r="H265" s="46" t="s">
        <v>73</v>
      </c>
      <c r="I265" s="43" t="s">
        <v>61</v>
      </c>
      <c r="J265" s="45">
        <f>7*E261</f>
        <v>210</v>
      </c>
      <c r="K265" s="44"/>
      <c r="L265" s="44"/>
    </row>
    <row r="266" spans="2:12" x14ac:dyDescent="0.35">
      <c r="B266" s="43"/>
      <c r="C266" s="43"/>
      <c r="D266" s="43"/>
      <c r="E266" s="43"/>
      <c r="F266" s="44"/>
      <c r="G266" s="44"/>
      <c r="H266" s="46" t="s">
        <v>74</v>
      </c>
      <c r="I266" s="43" t="s">
        <v>61</v>
      </c>
      <c r="J266" s="45">
        <f>0.45*E261</f>
        <v>13.5</v>
      </c>
      <c r="K266" s="44"/>
      <c r="L266" s="44"/>
    </row>
    <row r="267" spans="2:12" x14ac:dyDescent="0.35">
      <c r="B267" s="43"/>
      <c r="C267" s="43"/>
      <c r="D267" s="43"/>
      <c r="E267" s="43"/>
      <c r="F267" s="44"/>
      <c r="G267" s="44"/>
      <c r="H267" s="46" t="s">
        <v>82</v>
      </c>
      <c r="I267" s="43" t="s">
        <v>44</v>
      </c>
      <c r="J267" s="47">
        <f>8*E261</f>
        <v>240</v>
      </c>
      <c r="K267" s="44"/>
      <c r="L267" s="44"/>
    </row>
    <row r="268" spans="2:12" x14ac:dyDescent="0.35">
      <c r="B268" s="57"/>
      <c r="C268" s="57" t="s">
        <v>140</v>
      </c>
      <c r="D268" s="57"/>
      <c r="E268" s="57"/>
      <c r="F268" s="58"/>
      <c r="G268" s="58"/>
      <c r="H268" s="57"/>
      <c r="I268" s="57"/>
      <c r="J268" s="59"/>
      <c r="K268" s="58"/>
      <c r="L268" s="58"/>
    </row>
    <row r="269" spans="2:12" s="52" customFormat="1" ht="29" x14ac:dyDescent="0.35">
      <c r="B269" s="48"/>
      <c r="C269" s="49" t="s">
        <v>136</v>
      </c>
      <c r="D269" s="48" t="s">
        <v>75</v>
      </c>
      <c r="E269" s="48">
        <v>65</v>
      </c>
      <c r="F269" s="50">
        <v>300</v>
      </c>
      <c r="G269" s="66">
        <f t="shared" ref="G269" si="18">ROUND(F269*E269,2)</f>
        <v>19500</v>
      </c>
      <c r="H269" s="49" t="s">
        <v>135</v>
      </c>
      <c r="I269" s="48" t="s">
        <v>45</v>
      </c>
      <c r="J269" s="51">
        <f>E269*1.05*0.07</f>
        <v>4.7775000000000007</v>
      </c>
      <c r="K269" s="50"/>
      <c r="L269" s="50"/>
    </row>
    <row r="270" spans="2:12" s="52" customFormat="1" x14ac:dyDescent="0.35">
      <c r="B270" s="48"/>
      <c r="C270" s="48"/>
      <c r="D270" s="48"/>
      <c r="E270" s="48"/>
      <c r="F270" s="50"/>
      <c r="G270" s="50"/>
      <c r="H270" s="49" t="s">
        <v>73</v>
      </c>
      <c r="I270" s="48" t="s">
        <v>61</v>
      </c>
      <c r="J270" s="51">
        <f>7*J269</f>
        <v>33.442500000000003</v>
      </c>
      <c r="K270" s="50"/>
      <c r="L270" s="50"/>
    </row>
    <row r="271" spans="2:12" s="52" customFormat="1" x14ac:dyDescent="0.35">
      <c r="B271" s="48"/>
      <c r="C271" s="48"/>
      <c r="D271" s="48"/>
      <c r="E271" s="48"/>
      <c r="F271" s="50"/>
      <c r="G271" s="50"/>
      <c r="H271" s="49" t="s">
        <v>74</v>
      </c>
      <c r="I271" s="48" t="s">
        <v>61</v>
      </c>
      <c r="J271" s="51">
        <f>0.45*J269</f>
        <v>2.1498750000000002</v>
      </c>
      <c r="K271" s="50"/>
      <c r="L271" s="50"/>
    </row>
    <row r="272" spans="2:12" s="52" customFormat="1" x14ac:dyDescent="0.35">
      <c r="B272" s="48"/>
      <c r="C272" s="48"/>
      <c r="D272" s="48"/>
      <c r="E272" s="48"/>
      <c r="F272" s="50"/>
      <c r="G272" s="50"/>
      <c r="H272" s="49" t="s">
        <v>82</v>
      </c>
      <c r="I272" s="48" t="s">
        <v>44</v>
      </c>
      <c r="J272" s="53">
        <f>8*J269</f>
        <v>38.220000000000006</v>
      </c>
      <c r="K272" s="50"/>
      <c r="L272" s="50"/>
    </row>
    <row r="273" spans="2:12" s="52" customFormat="1" x14ac:dyDescent="0.35">
      <c r="B273" s="48"/>
      <c r="C273" s="48"/>
      <c r="D273" s="48"/>
      <c r="E273" s="48"/>
      <c r="F273" s="50"/>
      <c r="G273" s="50"/>
      <c r="H273" s="49"/>
      <c r="I273" s="48"/>
      <c r="J273" s="53"/>
      <c r="K273" s="50"/>
      <c r="L273" s="50"/>
    </row>
    <row r="274" spans="2:12" x14ac:dyDescent="0.35">
      <c r="B274" s="57"/>
      <c r="C274" s="57" t="s">
        <v>195</v>
      </c>
      <c r="D274" s="57"/>
      <c r="E274" s="57"/>
      <c r="F274" s="58"/>
      <c r="G274" s="58"/>
      <c r="H274" s="57"/>
      <c r="I274" s="57"/>
      <c r="J274" s="59"/>
      <c r="K274" s="58"/>
      <c r="L274" s="58"/>
    </row>
    <row r="275" spans="2:12" s="52" customFormat="1" x14ac:dyDescent="0.35">
      <c r="B275" s="48"/>
      <c r="C275" s="49" t="s">
        <v>194</v>
      </c>
      <c r="D275" s="48" t="s">
        <v>75</v>
      </c>
      <c r="E275" s="48">
        <v>50</v>
      </c>
      <c r="F275" s="50">
        <v>25</v>
      </c>
      <c r="G275" s="66">
        <f t="shared" ref="G275:G278" si="19">ROUND(F275*E275,2)</f>
        <v>1250</v>
      </c>
      <c r="H275" s="49"/>
      <c r="I275" s="48"/>
      <c r="J275" s="53"/>
      <c r="K275" s="50"/>
      <c r="L275" s="50"/>
    </row>
    <row r="276" spans="2:12" s="52" customFormat="1" x14ac:dyDescent="0.35">
      <c r="B276" s="48"/>
      <c r="C276" s="49" t="s">
        <v>193</v>
      </c>
      <c r="D276" s="48" t="s">
        <v>75</v>
      </c>
      <c r="E276" s="48">
        <v>50</v>
      </c>
      <c r="F276" s="50">
        <v>40</v>
      </c>
      <c r="G276" s="66">
        <f t="shared" si="19"/>
        <v>2000</v>
      </c>
      <c r="H276" s="49" t="s">
        <v>197</v>
      </c>
      <c r="I276" s="48" t="s">
        <v>61</v>
      </c>
      <c r="J276" s="53">
        <f>E275</f>
        <v>50</v>
      </c>
      <c r="K276" s="50"/>
      <c r="L276" s="50"/>
    </row>
    <row r="277" spans="2:12" s="52" customFormat="1" x14ac:dyDescent="0.35">
      <c r="B277" s="48"/>
      <c r="C277" s="49" t="s">
        <v>218</v>
      </c>
      <c r="D277" s="48" t="s">
        <v>75</v>
      </c>
      <c r="E277" s="48">
        <v>100</v>
      </c>
      <c r="F277" s="50">
        <v>25</v>
      </c>
      <c r="G277" s="66">
        <f t="shared" si="19"/>
        <v>2500</v>
      </c>
      <c r="H277" s="49"/>
      <c r="I277" s="48"/>
      <c r="J277" s="53"/>
      <c r="K277" s="50"/>
      <c r="L277" s="50"/>
    </row>
    <row r="278" spans="2:12" s="52" customFormat="1" x14ac:dyDescent="0.35">
      <c r="B278" s="48"/>
      <c r="C278" s="49" t="s">
        <v>214</v>
      </c>
      <c r="D278" s="48" t="s">
        <v>75</v>
      </c>
      <c r="E278" s="48">
        <v>100</v>
      </c>
      <c r="F278" s="50">
        <v>200</v>
      </c>
      <c r="G278" s="66">
        <f t="shared" si="19"/>
        <v>20000</v>
      </c>
      <c r="H278" s="49" t="s">
        <v>196</v>
      </c>
      <c r="I278" s="48" t="s">
        <v>75</v>
      </c>
      <c r="J278" s="53">
        <f>E278</f>
        <v>100</v>
      </c>
      <c r="K278" s="50"/>
      <c r="L278" s="50"/>
    </row>
    <row r="279" spans="2:12" s="52" customFormat="1" x14ac:dyDescent="0.35">
      <c r="B279" s="48"/>
      <c r="C279" s="48"/>
      <c r="D279" s="48"/>
      <c r="E279" s="48"/>
      <c r="F279" s="50"/>
      <c r="G279" s="50"/>
      <c r="H279" s="49" t="s">
        <v>197</v>
      </c>
      <c r="I279" s="48" t="s">
        <v>61</v>
      </c>
      <c r="J279" s="53">
        <f>E278</f>
        <v>100</v>
      </c>
      <c r="K279" s="50"/>
      <c r="L279" s="50"/>
    </row>
    <row r="280" spans="2:12" x14ac:dyDescent="0.35">
      <c r="B280" s="57"/>
      <c r="C280" s="57" t="s">
        <v>198</v>
      </c>
      <c r="D280" s="57"/>
      <c r="E280" s="57"/>
      <c r="F280" s="58"/>
      <c r="G280" s="58"/>
      <c r="H280" s="57"/>
      <c r="I280" s="57"/>
      <c r="J280" s="59"/>
      <c r="K280" s="58"/>
      <c r="L280" s="58"/>
    </row>
    <row r="281" spans="2:12" s="52" customFormat="1" x14ac:dyDescent="0.35">
      <c r="B281" s="48"/>
      <c r="C281" s="49" t="s">
        <v>201</v>
      </c>
      <c r="D281" s="48" t="s">
        <v>45</v>
      </c>
      <c r="E281" s="48">
        <v>23</v>
      </c>
      <c r="F281" s="50">
        <v>600</v>
      </c>
      <c r="G281" s="66">
        <f t="shared" ref="G281" si="20">ROUND(F281*E281,2)</f>
        <v>13800</v>
      </c>
      <c r="H281" s="49" t="s">
        <v>202</v>
      </c>
      <c r="I281" s="48" t="s">
        <v>44</v>
      </c>
      <c r="J281" s="53">
        <v>2300</v>
      </c>
      <c r="K281" s="50"/>
      <c r="L281" s="50"/>
    </row>
    <row r="282" spans="2:12" s="52" customFormat="1" x14ac:dyDescent="0.35">
      <c r="B282" s="48"/>
      <c r="C282" s="48"/>
      <c r="D282" s="48"/>
      <c r="E282" s="48"/>
      <c r="F282" s="50"/>
      <c r="G282" s="50"/>
      <c r="H282" s="49" t="s">
        <v>203</v>
      </c>
      <c r="I282" s="48" t="s">
        <v>61</v>
      </c>
      <c r="J282" s="53">
        <v>2500</v>
      </c>
      <c r="K282" s="50"/>
      <c r="L282" s="50"/>
    </row>
    <row r="283" spans="2:12" s="52" customFormat="1" ht="29" x14ac:dyDescent="0.35">
      <c r="B283" s="48"/>
      <c r="C283" s="49" t="s">
        <v>220</v>
      </c>
      <c r="D283" s="48" t="s">
        <v>45</v>
      </c>
      <c r="E283" s="48">
        <v>7</v>
      </c>
      <c r="F283" s="50">
        <v>800</v>
      </c>
      <c r="G283" s="66">
        <f t="shared" ref="G283" si="21">ROUND(F283*E283,2)</f>
        <v>5600</v>
      </c>
      <c r="H283" s="49"/>
      <c r="I283" s="48"/>
      <c r="J283" s="53"/>
      <c r="K283" s="50"/>
      <c r="L283" s="50"/>
    </row>
    <row r="284" spans="2:12" x14ac:dyDescent="0.35">
      <c r="B284" s="57"/>
      <c r="C284" s="57" t="s">
        <v>205</v>
      </c>
      <c r="D284" s="57"/>
      <c r="E284" s="57"/>
      <c r="F284" s="58"/>
      <c r="G284" s="58"/>
      <c r="H284" s="57"/>
      <c r="I284" s="57"/>
      <c r="J284" s="59"/>
      <c r="K284" s="58"/>
      <c r="L284" s="58"/>
    </row>
    <row r="285" spans="2:12" s="12" customFormat="1" x14ac:dyDescent="0.35">
      <c r="B285" s="64"/>
      <c r="C285" s="63" t="s">
        <v>206</v>
      </c>
      <c r="D285" s="64" t="s">
        <v>45</v>
      </c>
      <c r="E285" s="64">
        <v>56.15</v>
      </c>
      <c r="F285" s="65">
        <v>45</v>
      </c>
      <c r="G285" s="66">
        <f>ROUND(F285*E285,2)</f>
        <v>2526.75</v>
      </c>
      <c r="H285" s="63" t="s">
        <v>158</v>
      </c>
      <c r="I285" s="64" t="s">
        <v>45</v>
      </c>
      <c r="J285" s="67">
        <f>1.15*E285</f>
        <v>64.572499999999991</v>
      </c>
      <c r="K285" s="66"/>
      <c r="L285" s="66"/>
    </row>
    <row r="286" spans="2:12" s="12" customFormat="1" ht="29" x14ac:dyDescent="0.35">
      <c r="B286" s="64"/>
      <c r="C286" s="63" t="s">
        <v>212</v>
      </c>
      <c r="D286" s="64" t="s">
        <v>45</v>
      </c>
      <c r="E286" s="64">
        <v>56.15</v>
      </c>
      <c r="F286" s="65">
        <v>80</v>
      </c>
      <c r="G286" s="66">
        <f>ROUND(F286*E286,2)</f>
        <v>4492</v>
      </c>
      <c r="H286" s="63" t="s">
        <v>213</v>
      </c>
      <c r="I286" s="64" t="s">
        <v>43</v>
      </c>
      <c r="J286" s="67">
        <f>56.15*0.1</f>
        <v>5.6150000000000002</v>
      </c>
      <c r="K286" s="66"/>
      <c r="L286" s="66"/>
    </row>
    <row r="287" spans="2:12" s="12" customFormat="1" x14ac:dyDescent="0.35">
      <c r="B287" s="64"/>
      <c r="C287" s="63" t="s">
        <v>207</v>
      </c>
      <c r="D287" s="64" t="s">
        <v>45</v>
      </c>
      <c r="E287" s="64">
        <v>56.15</v>
      </c>
      <c r="F287" s="65">
        <v>45</v>
      </c>
      <c r="G287" s="66">
        <f>ROUND(F287*E287,2)</f>
        <v>2526.75</v>
      </c>
      <c r="H287" s="63" t="s">
        <v>208</v>
      </c>
      <c r="I287" s="64" t="s">
        <v>45</v>
      </c>
      <c r="J287" s="67">
        <f>1.15*E287</f>
        <v>64.572499999999991</v>
      </c>
      <c r="K287" s="66"/>
      <c r="L287" s="66"/>
    </row>
    <row r="288" spans="2:12" s="12" customFormat="1" x14ac:dyDescent="0.35">
      <c r="B288" s="64"/>
      <c r="C288" s="63" t="s">
        <v>209</v>
      </c>
      <c r="D288" s="64" t="s">
        <v>45</v>
      </c>
      <c r="E288" s="64">
        <v>56.15</v>
      </c>
      <c r="F288" s="65">
        <v>45</v>
      </c>
      <c r="G288" s="66">
        <f>ROUND(F288*E288,2)</f>
        <v>2526.75</v>
      </c>
      <c r="H288" s="63" t="s">
        <v>211</v>
      </c>
      <c r="I288" s="64" t="s">
        <v>45</v>
      </c>
      <c r="J288" s="67">
        <f>1.1*E288</f>
        <v>61.765000000000001</v>
      </c>
      <c r="K288" s="66"/>
      <c r="L288" s="66"/>
    </row>
    <row r="289" spans="2:12" s="12" customFormat="1" x14ac:dyDescent="0.35">
      <c r="B289" s="64"/>
      <c r="C289" s="63" t="s">
        <v>219</v>
      </c>
      <c r="D289" s="64" t="s">
        <v>45</v>
      </c>
      <c r="E289" s="64">
        <v>56.15</v>
      </c>
      <c r="F289" s="65">
        <v>260</v>
      </c>
      <c r="G289" s="66">
        <f>ROUND(F289*E289,2)</f>
        <v>14599</v>
      </c>
      <c r="H289" s="63" t="s">
        <v>210</v>
      </c>
      <c r="I289" s="64" t="s">
        <v>43</v>
      </c>
      <c r="J289" s="67">
        <f>0.04*E289*1.02</f>
        <v>2.2909199999999998</v>
      </c>
      <c r="K289" s="66"/>
      <c r="L289" s="66"/>
    </row>
    <row r="290" spans="2:12" s="12" customFormat="1" ht="15" thickBot="1" x14ac:dyDescent="0.4">
      <c r="B290" s="73"/>
      <c r="C290" s="74"/>
      <c r="D290" s="73"/>
      <c r="E290" s="73"/>
      <c r="F290" s="75"/>
      <c r="G290" s="76"/>
      <c r="H290" s="74"/>
      <c r="I290" s="73"/>
      <c r="J290" s="77"/>
      <c r="K290" s="76"/>
      <c r="L290" s="76"/>
    </row>
    <row r="291" spans="2:12" s="12" customFormat="1" ht="15" thickBot="1" x14ac:dyDescent="0.4">
      <c r="B291" s="41"/>
      <c r="C291" s="89" t="s">
        <v>215</v>
      </c>
      <c r="D291" s="84"/>
      <c r="E291" s="84"/>
      <c r="F291" s="85"/>
      <c r="G291" s="86">
        <f>SUM(G6:G290)</f>
        <v>1237564.3999999999</v>
      </c>
      <c r="H291" s="83"/>
      <c r="I291" s="84"/>
      <c r="J291" s="87"/>
      <c r="K291" s="86"/>
      <c r="L291" s="88"/>
    </row>
    <row r="292" spans="2:12" s="12" customFormat="1" x14ac:dyDescent="0.35">
      <c r="B292" s="78"/>
      <c r="C292" s="79"/>
      <c r="D292" s="78"/>
      <c r="E292" s="78"/>
      <c r="F292" s="80"/>
      <c r="G292" s="81"/>
      <c r="H292" s="79"/>
      <c r="I292" s="78"/>
      <c r="J292" s="82"/>
      <c r="K292" s="81"/>
      <c r="L292" s="81"/>
    </row>
    <row r="293" spans="2:12" s="12" customFormat="1" x14ac:dyDescent="0.35">
      <c r="B293" s="64"/>
      <c r="C293" s="63"/>
      <c r="D293" s="64"/>
      <c r="E293" s="64"/>
      <c r="F293" s="65"/>
      <c r="G293" s="66"/>
      <c r="H293" s="63"/>
      <c r="I293" s="64"/>
      <c r="J293" s="67"/>
      <c r="K293" s="66"/>
      <c r="L293" s="66"/>
    </row>
    <row r="294" spans="2:12" s="12" customFormat="1" x14ac:dyDescent="0.35">
      <c r="B294" s="64"/>
      <c r="C294" s="63"/>
      <c r="D294" s="64"/>
      <c r="E294" s="64"/>
      <c r="F294" s="65"/>
      <c r="G294" s="66"/>
      <c r="H294" s="63"/>
      <c r="I294" s="64"/>
      <c r="J294" s="67"/>
      <c r="K294" s="66"/>
      <c r="L294" s="66"/>
    </row>
    <row r="296" spans="2:12" x14ac:dyDescent="0.35">
      <c r="B296" s="42"/>
      <c r="C296" s="69"/>
      <c r="D296" s="42"/>
      <c r="E296" s="42"/>
      <c r="F296" s="70"/>
      <c r="G296" s="71"/>
      <c r="H296" s="69"/>
      <c r="I296" s="42"/>
      <c r="J296" s="72"/>
      <c r="K296" s="71"/>
      <c r="L296" s="71"/>
    </row>
    <row r="297" spans="2:12" x14ac:dyDescent="0.35">
      <c r="B297" s="42"/>
      <c r="C297" s="69"/>
      <c r="D297" s="42"/>
      <c r="E297" s="42"/>
      <c r="F297" s="70"/>
      <c r="G297" s="71"/>
      <c r="H297" s="69"/>
      <c r="I297" s="42"/>
      <c r="J297" s="72"/>
      <c r="K297" s="71"/>
      <c r="L297" s="71"/>
    </row>
    <row r="298" spans="2:12" x14ac:dyDescent="0.35">
      <c r="B298" s="42"/>
      <c r="C298" s="69"/>
      <c r="D298" s="42"/>
      <c r="E298" s="42"/>
      <c r="F298" s="70"/>
      <c r="G298" s="71"/>
      <c r="H298" s="69"/>
      <c r="I298" s="42"/>
      <c r="J298" s="72"/>
      <c r="K298" s="71"/>
      <c r="L298" s="71"/>
    </row>
  </sheetData>
  <autoFilter ref="C3:C300" xr:uid="{00000000-0009-0000-0000-000001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ОБСЯГИ</vt:lpstr>
      <vt:lpstr>РОБОТИ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</dc:creator>
  <cp:lastModifiedBy>Пользователь</cp:lastModifiedBy>
  <cp:lastPrinted>2026-11-04T13:20:06Z</cp:lastPrinted>
  <dcterms:created xsi:type="dcterms:W3CDTF">2026-10-13T11:18:24Z</dcterms:created>
  <dcterms:modified xsi:type="dcterms:W3CDTF">2026-11-04T13:25:46Z</dcterms:modified>
</cp:coreProperties>
</file>