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\Documents\Taranenko\Personal\Строительство\Dom4m\"/>
    </mc:Choice>
  </mc:AlternateContent>
  <bookViews>
    <workbookView xWindow="360" yWindow="30" windowWidth="7455" windowHeight="6240" tabRatio="983"/>
  </bookViews>
  <sheets>
    <sheet name="Фундамент" sheetId="9" r:id="rId1"/>
    <sheet name="Каркас" sheetId="8" r:id="rId2"/>
    <sheet name="Кровля" sheetId="7" r:id="rId3"/>
    <sheet name="Фасад" sheetId="6" r:id="rId4"/>
    <sheet name="Окна и двери" sheetId="5" r:id="rId5"/>
    <sheet name="Отделка" sheetId="4" r:id="rId6"/>
    <sheet name="Водопровод и канализация" sheetId="3" r:id="rId7"/>
    <sheet name="Отопление и вентиляция" sheetId="2" r:id="rId8"/>
    <sheet name="Электрика" sheetId="10" r:id="rId9"/>
  </sheets>
  <definedNames>
    <definedName name="_xlnm._FilterDatabase" localSheetId="6" hidden="1">'Водопровод и канализация'!$G$3:$G$100</definedName>
    <definedName name="_xlnm._FilterDatabase" localSheetId="1" hidden="1">Каркас!$G$3:$G$104</definedName>
    <definedName name="_xlnm._FilterDatabase" localSheetId="2" hidden="1">Кровля!$G$3:$G$85</definedName>
    <definedName name="_xlnm._FilterDatabase" localSheetId="4" hidden="1">'Окна и двери'!$G$3:$G$57</definedName>
    <definedName name="_xlnm._FilterDatabase" localSheetId="5" hidden="1">Отделка!$G$3:$G$74</definedName>
    <definedName name="_xlnm._FilterDatabase" localSheetId="7" hidden="1">'Отопление и вентиляция'!$G$3:$G$131</definedName>
    <definedName name="_xlnm._FilterDatabase" localSheetId="3" hidden="1">Фасад!$G$3:$G$84</definedName>
    <definedName name="_xlnm._FilterDatabase" localSheetId="0" hidden="1">Фундамент!$G$3:$G$72</definedName>
    <definedName name="_xlnm._FilterDatabase" localSheetId="8" hidden="1">Электрика!$G$3:$G$84</definedName>
  </definedNames>
  <calcPr calcId="162913" refMode="R1C1"/>
  <fileRecoveryPr repairLoad="1"/>
</workbook>
</file>

<file path=xl/calcChain.xml><?xml version="1.0" encoding="utf-8"?>
<calcChain xmlns="http://schemas.openxmlformats.org/spreadsheetml/2006/main">
  <c r="D33" i="10" l="1"/>
  <c r="D108" i="2" l="1"/>
  <c r="D102" i="2"/>
  <c r="K99" i="2"/>
  <c r="K73" i="2" l="1"/>
  <c r="K72" i="2"/>
  <c r="K54" i="2" l="1"/>
  <c r="F54" i="2"/>
  <c r="D38" i="2"/>
  <c r="D43" i="2" s="1"/>
  <c r="D21" i="2"/>
  <c r="I64" i="7" l="1"/>
  <c r="I63" i="7"/>
  <c r="I62" i="7"/>
  <c r="I60" i="7"/>
  <c r="I59" i="7"/>
  <c r="I54" i="7"/>
  <c r="I42" i="7"/>
  <c r="I28" i="7" l="1"/>
  <c r="D20" i="7"/>
  <c r="I78" i="8"/>
  <c r="I76" i="8"/>
  <c r="I75" i="8"/>
  <c r="I74" i="8"/>
  <c r="I73" i="8"/>
  <c r="I72" i="8"/>
  <c r="D58" i="8"/>
  <c r="I58" i="8" s="1"/>
  <c r="D50" i="8"/>
  <c r="I55" i="8" s="1"/>
  <c r="I48" i="8"/>
  <c r="I49" i="8" s="1"/>
  <c r="I50" i="8" l="1"/>
  <c r="D57" i="8"/>
  <c r="I57" i="8" s="1"/>
  <c r="D44" i="10" l="1"/>
  <c r="D30" i="7" l="1"/>
  <c r="D37" i="7" s="1"/>
  <c r="D38" i="8"/>
  <c r="I39" i="8" s="1"/>
  <c r="K47" i="8"/>
  <c r="F47" i="8"/>
  <c r="K46" i="8"/>
  <c r="F46" i="8"/>
  <c r="D45" i="8"/>
  <c r="F45" i="8" s="1"/>
  <c r="F44" i="8"/>
  <c r="F42" i="8"/>
  <c r="F41" i="8"/>
  <c r="F40" i="8"/>
  <c r="F39" i="8"/>
  <c r="I37" i="8"/>
  <c r="F37" i="8"/>
  <c r="I36" i="8"/>
  <c r="F36" i="8"/>
  <c r="I35" i="8"/>
  <c r="F35" i="8"/>
  <c r="D39" i="7" l="1"/>
  <c r="I37" i="7"/>
  <c r="I38" i="7"/>
  <c r="F38" i="8"/>
  <c r="I38" i="8"/>
  <c r="D43" i="8"/>
  <c r="I45" i="8"/>
  <c r="D44" i="7" l="1"/>
  <c r="I40" i="7"/>
  <c r="I39" i="7"/>
  <c r="I44" i="8"/>
  <c r="F43" i="8"/>
  <c r="I43" i="8"/>
  <c r="I44" i="7" l="1"/>
  <c r="D47" i="7"/>
  <c r="I48" i="7" s="1"/>
  <c r="I45" i="7"/>
  <c r="D27" i="8"/>
  <c r="F29" i="8"/>
  <c r="D50" i="9"/>
  <c r="D39" i="9"/>
  <c r="I67" i="8"/>
  <c r="D46" i="3" l="1"/>
  <c r="D25" i="3"/>
  <c r="I60" i="8" l="1"/>
  <c r="I54" i="4" l="1"/>
  <c r="D52" i="4"/>
  <c r="I53" i="4" s="1"/>
  <c r="I49" i="4"/>
  <c r="I52" i="4" l="1"/>
  <c r="F32" i="8" l="1"/>
  <c r="F31" i="8"/>
  <c r="F30" i="8"/>
  <c r="F28" i="8"/>
  <c r="I31" i="8"/>
  <c r="F27" i="8" l="1"/>
  <c r="I32" i="8"/>
  <c r="I69" i="8" l="1"/>
  <c r="I25" i="8"/>
  <c r="I24" i="8"/>
  <c r="I22" i="8"/>
  <c r="I20" i="8"/>
  <c r="D34" i="7"/>
  <c r="I33" i="7"/>
  <c r="I32" i="7"/>
  <c r="I31" i="7"/>
  <c r="I30" i="7"/>
  <c r="I29" i="7"/>
  <c r="I20" i="7"/>
  <c r="I23" i="7" l="1"/>
  <c r="F77" i="3" l="1"/>
  <c r="F76" i="3"/>
  <c r="F73" i="3"/>
  <c r="F72" i="3"/>
  <c r="F71" i="3"/>
  <c r="F70" i="3"/>
  <c r="F69" i="3"/>
  <c r="F68" i="3"/>
  <c r="F67" i="3"/>
  <c r="F66" i="3"/>
  <c r="F65" i="3"/>
  <c r="K59" i="3"/>
  <c r="F58" i="3"/>
  <c r="F57" i="3"/>
  <c r="F56" i="3"/>
  <c r="K55" i="3"/>
  <c r="F39" i="3" l="1"/>
  <c r="D42" i="3"/>
  <c r="I40" i="6" l="1"/>
  <c r="I38" i="6"/>
  <c r="I37" i="6"/>
  <c r="I36" i="6"/>
  <c r="I35" i="6"/>
  <c r="I34" i="6"/>
  <c r="I33" i="6"/>
  <c r="I32" i="6"/>
  <c r="D26" i="6"/>
  <c r="I29" i="6" s="1"/>
  <c r="I22" i="6"/>
  <c r="D21" i="6"/>
  <c r="I23" i="6" s="1"/>
  <c r="I25" i="6" l="1"/>
  <c r="I24" i="6"/>
  <c r="I26" i="6"/>
  <c r="I28" i="6"/>
  <c r="I30" i="6"/>
  <c r="I27" i="6"/>
  <c r="I33" i="9" l="1"/>
  <c r="I31" i="9"/>
  <c r="I30" i="9"/>
  <c r="I29" i="9"/>
  <c r="F43" i="5" l="1"/>
  <c r="K63" i="10"/>
  <c r="F63" i="10"/>
  <c r="F57" i="10"/>
  <c r="F56" i="10"/>
  <c r="F55" i="10"/>
  <c r="F54" i="10"/>
  <c r="F53" i="10"/>
  <c r="F52" i="10"/>
  <c r="D51" i="10"/>
  <c r="K44" i="10"/>
  <c r="K32" i="10"/>
  <c r="D51" i="9"/>
  <c r="I49" i="9"/>
  <c r="I48" i="9"/>
  <c r="I47" i="9"/>
  <c r="I45" i="9"/>
  <c r="D43" i="9"/>
  <c r="I37" i="9"/>
  <c r="I36" i="9"/>
  <c r="I35" i="9"/>
  <c r="I34" i="9"/>
  <c r="I64" i="6"/>
  <c r="I63" i="6"/>
  <c r="I62" i="6"/>
  <c r="I59" i="6"/>
  <c r="I58" i="6"/>
  <c r="I57" i="6"/>
  <c r="I56" i="6"/>
  <c r="I55" i="6"/>
  <c r="I53" i="6"/>
  <c r="F52" i="6"/>
  <c r="D51" i="6"/>
  <c r="D49" i="6"/>
  <c r="D45" i="6"/>
  <c r="I46" i="6" s="1"/>
  <c r="D44" i="6"/>
  <c r="I42" i="6"/>
  <c r="K41" i="6"/>
  <c r="F41" i="6"/>
  <c r="K31" i="5"/>
  <c r="K48" i="4"/>
  <c r="F48" i="4"/>
  <c r="D43" i="4"/>
  <c r="I46" i="4" s="1"/>
  <c r="D40" i="4"/>
  <c r="I41" i="4" s="1"/>
  <c r="I39" i="4"/>
  <c r="I38" i="4"/>
  <c r="I37" i="4"/>
  <c r="I36" i="4"/>
  <c r="I35" i="4"/>
  <c r="I34" i="4"/>
  <c r="I33" i="4"/>
  <c r="F32" i="4"/>
  <c r="G32" i="4" s="1"/>
  <c r="I30" i="4"/>
  <c r="I29" i="4"/>
  <c r="I28" i="4"/>
  <c r="I27" i="4"/>
  <c r="I26" i="4"/>
  <c r="I25" i="4"/>
  <c r="I24" i="4"/>
  <c r="I23" i="4"/>
  <c r="I22" i="4"/>
  <c r="I21" i="4"/>
  <c r="K54" i="3"/>
  <c r="F54" i="3"/>
  <c r="K53" i="3"/>
  <c r="K42" i="3"/>
  <c r="F41" i="3"/>
  <c r="F40" i="3"/>
  <c r="F36" i="3"/>
  <c r="F35" i="3"/>
  <c r="F34" i="3"/>
  <c r="F33" i="3"/>
  <c r="F29" i="3"/>
  <c r="K25" i="3"/>
  <c r="D53" i="3"/>
  <c r="K24" i="3"/>
  <c r="F24" i="3"/>
  <c r="F23" i="3"/>
  <c r="F22" i="3"/>
  <c r="F21" i="3"/>
  <c r="K19" i="2"/>
  <c r="K68" i="2"/>
  <c r="K79" i="2"/>
  <c r="K81" i="2"/>
  <c r="K91" i="2"/>
  <c r="F68" i="2"/>
  <c r="F85" i="2"/>
  <c r="F86" i="2"/>
  <c r="F87" i="2"/>
  <c r="F88" i="2"/>
  <c r="F89" i="2"/>
  <c r="F90" i="2"/>
  <c r="F91" i="2"/>
  <c r="I39" i="9"/>
  <c r="I47" i="4" l="1"/>
  <c r="I50" i="6"/>
  <c r="I43" i="4"/>
  <c r="I44" i="4"/>
  <c r="I45" i="4"/>
  <c r="I42" i="4"/>
  <c r="K55" i="4" s="1"/>
  <c r="H14" i="4" s="1"/>
  <c r="I51" i="6"/>
  <c r="I45" i="6"/>
  <c r="F60" i="4"/>
  <c r="I47" i="6"/>
  <c r="I44" i="6"/>
  <c r="H14" i="3"/>
  <c r="K112" i="2"/>
  <c r="H14" i="2" s="1"/>
  <c r="F38" i="5"/>
  <c r="F41" i="5" s="1"/>
  <c r="H15" i="5" s="1"/>
  <c r="K38" i="5"/>
  <c r="F70" i="6"/>
  <c r="D61" i="6"/>
  <c r="H15" i="7"/>
  <c r="F58" i="9"/>
  <c r="I43" i="9"/>
  <c r="I44" i="9"/>
  <c r="H14" i="9" l="1"/>
  <c r="F53" i="9"/>
  <c r="F56" i="9" s="1"/>
  <c r="H15" i="9" s="1"/>
  <c r="F45" i="5"/>
  <c r="F55" i="4"/>
  <c r="F58" i="4" s="1"/>
  <c r="H15" i="4" s="1"/>
  <c r="F63" i="4"/>
  <c r="F59" i="4"/>
  <c r="H15" i="3"/>
  <c r="F39" i="5"/>
  <c r="F42" i="5"/>
  <c r="F44" i="5" s="1"/>
  <c r="H14" i="5"/>
  <c r="F46" i="5"/>
  <c r="F65" i="6"/>
  <c r="I61" i="6"/>
  <c r="H14" i="7"/>
  <c r="H15" i="8"/>
  <c r="F57" i="9" l="1"/>
  <c r="F61" i="9"/>
  <c r="F54" i="9"/>
  <c r="F61" i="4"/>
  <c r="F56" i="4"/>
  <c r="F62" i="4"/>
  <c r="H13" i="2"/>
  <c r="H15" i="2"/>
  <c r="F59" i="9"/>
  <c r="F60" i="9"/>
  <c r="H13" i="3"/>
  <c r="F47" i="5"/>
  <c r="H13" i="5" s="1"/>
  <c r="F68" i="6"/>
  <c r="F66" i="6"/>
  <c r="H14" i="6"/>
  <c r="F69" i="6"/>
  <c r="F73" i="6"/>
  <c r="H13" i="7"/>
  <c r="H14" i="8"/>
  <c r="H13" i="8"/>
  <c r="F62" i="9" l="1"/>
  <c r="H13" i="9" s="1"/>
  <c r="F64" i="4"/>
  <c r="H13" i="4" s="1"/>
  <c r="F71" i="6"/>
  <c r="F72" i="6"/>
  <c r="H15" i="6"/>
  <c r="F74" i="6" l="1"/>
  <c r="H13" i="6" s="1"/>
</calcChain>
</file>

<file path=xl/sharedStrings.xml><?xml version="1.0" encoding="utf-8"?>
<sst xmlns="http://schemas.openxmlformats.org/spreadsheetml/2006/main" count="1473" uniqueCount="489">
  <si>
    <t xml:space="preserve">Заказчик:   </t>
  </si>
  <si>
    <t xml:space="preserve">Генподрядчик:   </t>
  </si>
  <si>
    <t xml:space="preserve">Субподрядчик:   </t>
  </si>
  <si>
    <t xml:space="preserve"> Договор № ________ от "_____" ______________ 20__года</t>
  </si>
  <si>
    <t xml:space="preserve">Объект:   </t>
  </si>
  <si>
    <t>КОММЕРЧЕСКАЯ СМЕТА № _____</t>
  </si>
  <si>
    <t xml:space="preserve">Всего к оплате: </t>
  </si>
  <si>
    <t xml:space="preserve">Стоимость материалов: </t>
  </si>
  <si>
    <t xml:space="preserve">Стоимость работ: </t>
  </si>
  <si>
    <t>№ п/п</t>
  </si>
  <si>
    <t>Наименование работ и затрат.</t>
  </si>
  <si>
    <t>Единица измерения.</t>
  </si>
  <si>
    <t>Коли чество</t>
  </si>
  <si>
    <t>единицы</t>
  </si>
  <si>
    <t>всего</t>
  </si>
  <si>
    <t>Наименование.</t>
  </si>
  <si>
    <t>Стоимость единицы</t>
  </si>
  <si>
    <t>Всего</t>
  </si>
  <si>
    <t>Планировка участка под застройку</t>
  </si>
  <si>
    <t>уч</t>
  </si>
  <si>
    <t>Круги  отрезные</t>
  </si>
  <si>
    <t>шт</t>
  </si>
  <si>
    <t>Горячекатаная арматурная сталь периодического профиля, класс А-III, диаметр 8 мм</t>
  </si>
  <si>
    <t>т</t>
  </si>
  <si>
    <t>Нитки капроновые</t>
  </si>
  <si>
    <t>м</t>
  </si>
  <si>
    <t>Трактор</t>
  </si>
  <si>
    <t>маш-см</t>
  </si>
  <si>
    <t>Разработка грунта механизированным способом с погрузкой в автосамосвалы ( обьемы уточнить по месту)</t>
  </si>
  <si>
    <t>м3</t>
  </si>
  <si>
    <t>Экскаватор</t>
  </si>
  <si>
    <t>Автомобиль бортовой</t>
  </si>
  <si>
    <t>Разработка грунта вручную</t>
  </si>
  <si>
    <t>м.п</t>
  </si>
  <si>
    <t>Плиты OSB в листах 12х1200х2500мм</t>
  </si>
  <si>
    <t>м2</t>
  </si>
  <si>
    <t>Брус 50х50мм</t>
  </si>
  <si>
    <t>уп</t>
  </si>
  <si>
    <t>Диск по дереву</t>
  </si>
  <si>
    <t>Сборка и разборка щитовой опалубки для устройства ж/б фундаментов</t>
  </si>
  <si>
    <t>1 м2 конструкций</t>
  </si>
  <si>
    <t>Катанка горячекатаная в мотках, диаметр 6,3-6,5 мм</t>
  </si>
  <si>
    <t>Изготовление арматурных каркасов железобетонных фундаментов</t>
  </si>
  <si>
    <t>1т</t>
  </si>
  <si>
    <t>Проволока стальная низкоуглеродистая разного назначения черная, диаметр 1,1 мм</t>
  </si>
  <si>
    <t>Горячекатаная арматурная сталь , класс А-3, диаметр 12 мм</t>
  </si>
  <si>
    <t>Горячекатаная арматурная сталь , класс А-1, диаметр 6 мм</t>
  </si>
  <si>
    <t>Установка арматурных сеток башмака вручную</t>
  </si>
  <si>
    <t>Фиксатор пластмассовый одинарный с защелкой диам. 16х2 мм</t>
  </si>
  <si>
    <t>Укладка бетонной смеси в конструкции при помощи бетононасоса</t>
  </si>
  <si>
    <t>100 м3 бетона или железобетона в деле</t>
  </si>
  <si>
    <t>100м3</t>
  </si>
  <si>
    <t>Устройство гидроизоляции обмазочной битумной мастикой в два слоя толщиной 2 мм</t>
  </si>
  <si>
    <t>100м2</t>
  </si>
  <si>
    <t>Праймер битумный</t>
  </si>
  <si>
    <t>кг</t>
  </si>
  <si>
    <t>100м</t>
  </si>
  <si>
    <t>Засыпка траншей и котлованов экскаватором</t>
  </si>
  <si>
    <t>1000м3</t>
  </si>
  <si>
    <t>Уплотнение грунта пневматическими трамбовками, группа грунтов 3-4</t>
  </si>
  <si>
    <t>Вибротрамбовка</t>
  </si>
  <si>
    <t>Итого прямые затраты по смете:</t>
  </si>
  <si>
    <t>Устройство уплотняемых трамбовками подстилающих щебеночных слоев (под пол - обьем уточнить по месту))</t>
  </si>
  <si>
    <t>Щебень с доставкой, фракция 40-70 мм</t>
  </si>
  <si>
    <t>Устройство уплотняемых трамбовками подстилающих песчаных слоев (под пол  - обьем уточнить по месту)</t>
  </si>
  <si>
    <t>Устройство монолитной плиты (пол 1-го эт.)</t>
  </si>
  <si>
    <t>Шлифмашина</t>
  </si>
  <si>
    <t>Автотягач</t>
  </si>
  <si>
    <t>Автокран стреловой</t>
  </si>
  <si>
    <t>Горячекатаная арматурная сталь , класс А-3, диаметр 10 мм</t>
  </si>
  <si>
    <t>Горячекатаная арматурная сталь гладкая, класс А-1, диаметр 6 мм</t>
  </si>
  <si>
    <t>Сталь угловая 50х50х5мм</t>
  </si>
  <si>
    <t>Электроды, диаметр 4 мм, марка Э42</t>
  </si>
  <si>
    <t>Грунтовка ГФ антикоррозионная</t>
  </si>
  <si>
    <t>Саморезы  3,5 х 75мм (250шт. в упаковке)</t>
  </si>
  <si>
    <t>Укладка перемычек</t>
  </si>
  <si>
    <t>к-т</t>
  </si>
  <si>
    <t>Вакафлекс (изоляционная лента)  Schiedel</t>
  </si>
  <si>
    <t>рул</t>
  </si>
  <si>
    <t>Кладка вентканалов труб (система Sciedel Ventilation)</t>
  </si>
  <si>
    <t>Антисептирование деревянных конструкций кровли</t>
  </si>
  <si>
    <t>Антисептик "Remmers"</t>
  </si>
  <si>
    <t>л</t>
  </si>
  <si>
    <t>Детали  крепления стропильной системы</t>
  </si>
  <si>
    <t>Крепления для балок</t>
  </si>
  <si>
    <t>Гвозди</t>
  </si>
  <si>
    <t>Устройство гидроизоляции из супердиффузионной мембраны</t>
  </si>
  <si>
    <t>Супердиффузионная мембрана Delta N Plus</t>
  </si>
  <si>
    <t>Лента дельта для швов</t>
  </si>
  <si>
    <t>Брус50х30</t>
  </si>
  <si>
    <t>Карнизная планка</t>
  </si>
  <si>
    <t>Саморез кровельные 4,8х35мм (250 шт уп)</t>
  </si>
  <si>
    <t>Планка примыкания</t>
  </si>
  <si>
    <t>Устройство  подшивной  доски с окраской</t>
  </si>
  <si>
    <t>Брус 20х40</t>
  </si>
  <si>
    <t>Подшивная доска</t>
  </si>
  <si>
    <t>Уголок</t>
  </si>
  <si>
    <t>Пропитка ВАЛТИ-ПОХЬЮСТЕ</t>
  </si>
  <si>
    <t>Краска  УЛЬТРА фасадная краска по дереву</t>
  </si>
  <si>
    <t>Автокран</t>
  </si>
  <si>
    <t>Установка и разборка  лесов</t>
  </si>
  <si>
    <t>м2 вп</t>
  </si>
  <si>
    <t>Аренда лесов</t>
  </si>
  <si>
    <t>м2/мес</t>
  </si>
  <si>
    <t>Наружная облицовка цоколя камнем</t>
  </si>
  <si>
    <t>Грунтовка "Баумит "</t>
  </si>
  <si>
    <t>Клей "Церезит СМ-117"</t>
  </si>
  <si>
    <t>Затирка для швов</t>
  </si>
  <si>
    <t>Декоративный камень</t>
  </si>
  <si>
    <t>Устройство уплотняемых трамбовками подстилающих песчаных слоев</t>
  </si>
  <si>
    <t>Песок природный</t>
  </si>
  <si>
    <t>Устройство гидроизоляции из рулонных материалов</t>
  </si>
  <si>
    <t>Гидроизоляционная пленка (200мкм)</t>
  </si>
  <si>
    <t>Изготовление и монтаж перемитральной опалубки для устройства отмостки</t>
  </si>
  <si>
    <t>Вязальная проволока</t>
  </si>
  <si>
    <t>100кг</t>
  </si>
  <si>
    <t>Сетка проволочная 50х50х3</t>
  </si>
  <si>
    <t>Устройство  бетонной отмостки</t>
  </si>
  <si>
    <t>Устройство уплотняемых трамбовками подстилающих песчаных слоев (т=250мм)</t>
  </si>
  <si>
    <t>Армирование ж/б плиты террасы</t>
  </si>
  <si>
    <t>Заполнение оконных проемов готовыми  блоками</t>
  </si>
  <si>
    <t>Заполнение дверных проемов готовыми  блоками</t>
  </si>
  <si>
    <t>Раздел № 1 Стены</t>
  </si>
  <si>
    <t>Лента стекловолокно самоклеющая</t>
  </si>
  <si>
    <t>Шлифшкурка</t>
  </si>
  <si>
    <t>Шпаклевка стартовая</t>
  </si>
  <si>
    <t>Шпаклевка финишная</t>
  </si>
  <si>
    <t>Грунтовка баумит</t>
  </si>
  <si>
    <t>Профиль перфорированный</t>
  </si>
  <si>
    <t>Раздел № 2 Потолки</t>
  </si>
  <si>
    <t>Облицовка  потолков ГКЛ</t>
  </si>
  <si>
    <t>Саморезы  3,5 х 25мм</t>
  </si>
  <si>
    <t>Профиль CD 60/27</t>
  </si>
  <si>
    <t>Подвес</t>
  </si>
  <si>
    <t>Листы гипсокартонные влагостойкие, толщина 12,5 мм</t>
  </si>
  <si>
    <t>Профиль UD 28/27</t>
  </si>
  <si>
    <t>Потолочный дюбель</t>
  </si>
  <si>
    <t>Соединитель профилей</t>
  </si>
  <si>
    <t>Заделка швов при устройстве потолка из ГКЛ</t>
  </si>
  <si>
    <t>Шпаклевка для швов ("Фугенфюллер")</t>
  </si>
  <si>
    <t>Стеклосетка</t>
  </si>
  <si>
    <t>Шпатлевание потолков по ГКЛ</t>
  </si>
  <si>
    <t>Раздел № 3 Полы</t>
  </si>
  <si>
    <t>Устройство горизонтальной изоляции из плит пенополистирольных</t>
  </si>
  <si>
    <t>Плиты теплоизоляционные из пенопласта полистирольного, экструдированного 100мм</t>
  </si>
  <si>
    <t>Приготовление  раствора</t>
  </si>
  <si>
    <t>Цемент, марка 400</t>
  </si>
  <si>
    <t>Устройство стяжек цементных толщиной  30- 60 мм</t>
  </si>
  <si>
    <t>Раздел № 1 Наружный водопровод от скважины</t>
  </si>
  <si>
    <t>Раздел № 2 Система внутреннего водопровода</t>
  </si>
  <si>
    <t>Латунные фасонные элементы ( тройники, муфты, нипеля, и т.д.)</t>
  </si>
  <si>
    <t>компл</t>
  </si>
  <si>
    <t>Изоляция трубопроводов</t>
  </si>
  <si>
    <t>10м</t>
  </si>
  <si>
    <t>Гидравлическое испытание трубопроводов систем отопления, водопровода и горячего водоснабжения диаметром до 50 мм</t>
  </si>
  <si>
    <t>Раздел № 3 Внутренняя канализация</t>
  </si>
  <si>
    <t>Прокладка трубопроводов канализации из труб  диаметром 50 мм</t>
  </si>
  <si>
    <t>Прокладка трубопроводов канализации из  труб  диаметром 100 мм</t>
  </si>
  <si>
    <t>Заделка сальников при проходе труб через фундаменты, диаметр труб до 100 мм</t>
  </si>
  <si>
    <t>сальник</t>
  </si>
  <si>
    <t>Цемент гипсоглиноземистый расширяющийся</t>
  </si>
  <si>
    <t>Пакля пропитанная</t>
  </si>
  <si>
    <t>Вытяжной колпак ф100мм</t>
  </si>
  <si>
    <t>Проходной элемент для трубы ф110-160мм (Vilpe-732562)</t>
  </si>
  <si>
    <t>Отвод 45град ф50мм</t>
  </si>
  <si>
    <t>Прокладка трубопроводов водоснабжения и отопления  из  труб</t>
  </si>
  <si>
    <t>Установка  распределителей, узлов</t>
  </si>
  <si>
    <t>Установка шкафов</t>
  </si>
  <si>
    <t>Расходные материалы</t>
  </si>
  <si>
    <t>Установка  регуляторов давления</t>
  </si>
  <si>
    <t>Регулятор давления Honeywell D06FS-3/4A</t>
  </si>
  <si>
    <t>Установка кранов шаровых, клапанов обратных, фильтров</t>
  </si>
  <si>
    <t>Кран  шаровый Valtec 1/2" Вн-Вн</t>
  </si>
  <si>
    <t>Клапан обратный Valtec 1/2"</t>
  </si>
  <si>
    <t>Материалы для крепления</t>
  </si>
  <si>
    <t>Установка вентиляторов</t>
  </si>
  <si>
    <t>Вентилятор настенный Silent-100 CRZ 230V</t>
  </si>
  <si>
    <t>Установка решеток жалюзийных</t>
  </si>
  <si>
    <t>Решетка нерегулируемая пластиковая НУП 200х200мм</t>
  </si>
  <si>
    <t>Прокладка воздуховодов гибких, диаметром до 250 мм</t>
  </si>
  <si>
    <t>Воздуховод пластиковый ( круглый ПВХ канал) ф125мм L=350 (Vents)</t>
  </si>
  <si>
    <t>Держатель каналов  ( круглый ПВХ канал) ф128 (Vents)</t>
  </si>
  <si>
    <t>Установка  рубильника</t>
  </si>
  <si>
    <t>Автоматический выключатель на 16А</t>
  </si>
  <si>
    <t>Установка щитов навесных</t>
  </si>
  <si>
    <t>Монтаж вводно-распределительных устройств</t>
  </si>
  <si>
    <t>шкаф</t>
  </si>
  <si>
    <t>Щит силовой в комплекте с силовыми автоматами</t>
  </si>
  <si>
    <t>Изолента</t>
  </si>
  <si>
    <t>Прокладка гофротруб</t>
  </si>
  <si>
    <t>Затягивание в проложенные трубы или металлические рукава провода</t>
  </si>
  <si>
    <t>Пробивка в бетонных стенах и полах борозд (штробление)</t>
  </si>
  <si>
    <t>Штроборез</t>
  </si>
  <si>
    <t>Прокладка провода при скрытой проводке</t>
  </si>
  <si>
    <t>Кабель силовой ВВГнг 3х2,5мм2</t>
  </si>
  <si>
    <t>Кабель силовой ВВГнг 3х1,5мм2</t>
  </si>
  <si>
    <t>Пробивка отверстий в бетонных стенах под розетки, выключатели</t>
  </si>
  <si>
    <t>Коронка по бетону ф65мм</t>
  </si>
  <si>
    <t>Дрель</t>
  </si>
  <si>
    <t>Установка выключателей утопленного типа при скрытой проводке</t>
  </si>
  <si>
    <t>Выключатель скрытой установки однополюсный IP20</t>
  </si>
  <si>
    <t>Установка штепсельных розеток утопленного типа при скрытой проводке</t>
  </si>
  <si>
    <t>Розетка штепсельная, 2р,  скрытой установки, однополюсная IP20</t>
  </si>
  <si>
    <t>Розетка 3р, для подключения эл. плиты, IP20, 380В, 25А</t>
  </si>
  <si>
    <t>Рамка для одной розетки</t>
  </si>
  <si>
    <t>Рамка для блока розеток, две розетки</t>
  </si>
  <si>
    <t>Рамка для блока розеток, три розетки</t>
  </si>
  <si>
    <t>Установка распределительных коробок</t>
  </si>
  <si>
    <t>Коробка распределительная Д80</t>
  </si>
  <si>
    <t>Установка установочных коробок</t>
  </si>
  <si>
    <t>Коробка установочная универсальная К U61-1901</t>
  </si>
  <si>
    <t>Грозозащита и заземление</t>
  </si>
  <si>
    <t>Прямые затраты</t>
  </si>
  <si>
    <t xml:space="preserve"> </t>
  </si>
  <si>
    <t>в том числе</t>
  </si>
  <si>
    <t>Заработная плата строителей и монтажников</t>
  </si>
  <si>
    <t>Стоимость материальных ресурсов</t>
  </si>
  <si>
    <t>Стоимость эксплуатации строительных машин и механизмов</t>
  </si>
  <si>
    <t>Всего прямые затраты и общепроизводственные расходы</t>
  </si>
  <si>
    <t>Накладные расходы</t>
  </si>
  <si>
    <t>Транспортные расходы</t>
  </si>
  <si>
    <t>Итого договорная цена</t>
  </si>
  <si>
    <t xml:space="preserve">ЗАКАЗЧИК </t>
  </si>
  <si>
    <t xml:space="preserve">ПОДРЯДЧИК </t>
  </si>
  <si>
    <t xml:space="preserve"> ______________________</t>
  </si>
  <si>
    <t>___________________/__________________/</t>
  </si>
  <si>
    <t>Прокладка трубопроводов водоснабжения из  труб наружным диаметром до 32 мм</t>
  </si>
  <si>
    <t xml:space="preserve">Установка кранов шаровых и фасонных элементов </t>
  </si>
  <si>
    <t xml:space="preserve">Трубка медная для сместителя </t>
  </si>
  <si>
    <t xml:space="preserve">Шкафчик встраиваемый SWPSE для распределителя </t>
  </si>
  <si>
    <t>мп</t>
  </si>
  <si>
    <t>Отмостка</t>
  </si>
  <si>
    <t>Стоимость работ, грн.</t>
  </si>
  <si>
    <t>Стоимость материалов, оборудования, грн.</t>
  </si>
  <si>
    <t xml:space="preserve">Бетононасос стреловой </t>
  </si>
  <si>
    <t>Горячекатаная арматурная сталь , класс А-3, диаметр 8 мм</t>
  </si>
  <si>
    <t>Бетононасос</t>
  </si>
  <si>
    <t>Саморезы 3,5х75мм (250шт. в упаковке)</t>
  </si>
  <si>
    <t>м1</t>
  </si>
  <si>
    <t>м/п</t>
  </si>
  <si>
    <t>Армирование отмостки</t>
  </si>
  <si>
    <t>1 м2</t>
  </si>
  <si>
    <t>1м2</t>
  </si>
  <si>
    <t xml:space="preserve">Бетонирование ж/б армированной плиты и ступеней террасы </t>
  </si>
  <si>
    <t>Смеси бетонные готовые тяжелые, класс бетона В20</t>
  </si>
  <si>
    <t>Смеси бетонные готовые тяжелые, класс бетона В 25</t>
  </si>
  <si>
    <t xml:space="preserve">Смеси бетонные готовые тяжелые, класс бетона В 25 </t>
  </si>
  <si>
    <t xml:space="preserve">Мастика гидроизоляционная </t>
  </si>
  <si>
    <t>Плита пенополистирольная т=50мм</t>
  </si>
  <si>
    <t>Утепление цоколя плитами ППС</t>
  </si>
  <si>
    <t>Устройство  шпатлевания стен</t>
  </si>
  <si>
    <t>Шпатлевание откосов</t>
  </si>
  <si>
    <t>Кран  шаровый  15мм Вн-Нр</t>
  </si>
  <si>
    <t>Гофра пластиковая  ф20</t>
  </si>
  <si>
    <t>Кабель силовой ВВГнг 5х4мм2</t>
  </si>
  <si>
    <t>Кабель ПВЗ 1х6мм2</t>
  </si>
  <si>
    <t xml:space="preserve">шт </t>
  </si>
  <si>
    <t>1  Устройство фундамента</t>
  </si>
  <si>
    <t>2  Каркас</t>
  </si>
  <si>
    <t>3 Кровля</t>
  </si>
  <si>
    <t>4  Фасад</t>
  </si>
  <si>
    <t>5  Окна, двери</t>
  </si>
  <si>
    <t>6  Внутренние отделочные работы ( I этап)</t>
  </si>
  <si>
    <t>7  Водопровод и канализация</t>
  </si>
  <si>
    <t>8 Отопление и вентиляция</t>
  </si>
  <si>
    <t>9 Электромонтажные работы</t>
  </si>
  <si>
    <t xml:space="preserve">Объект:  </t>
  </si>
  <si>
    <t>Устройство перемитральной опалубки для устройства бетонной подготовки</t>
  </si>
  <si>
    <t>Шурупы 75мм по дереву для крепления щитов опалубки, 250шт в уп.</t>
  </si>
  <si>
    <t>Устройство бетонной подготовки</t>
  </si>
  <si>
    <t>Смеси бетонные готовые тяжелые, класс бетона В7,5 [М100], крупность заполнителя более 20 до 40 мм</t>
  </si>
  <si>
    <t>Устройство пароизоляции с проклейкой швов лентой</t>
  </si>
  <si>
    <t>Пленка пароизоляционная</t>
  </si>
  <si>
    <t>Маты минераловатные базальтовые 100мм</t>
  </si>
  <si>
    <t>Утепление фасада плитами из минеральной ваты  в один слой</t>
  </si>
  <si>
    <t>Утеплитель технофас  50мм</t>
  </si>
  <si>
    <t>Дюбель для крепления теплоизоляционных плит</t>
  </si>
  <si>
    <t>Клей "Проконтакт" ("Баумит")</t>
  </si>
  <si>
    <t>Декоративная штукатурка фасадов</t>
  </si>
  <si>
    <t>Сетка</t>
  </si>
  <si>
    <t>Саморезы  3,5 х 75мм</t>
  </si>
  <si>
    <t>Финишная силиконовая  штукатурка ("Баумит")</t>
  </si>
  <si>
    <t>Декоративная штукатурка откосов</t>
  </si>
  <si>
    <t>Сборка и разборка щитовой опалубки для устройства ж/б террас</t>
  </si>
  <si>
    <t>Терраса</t>
  </si>
  <si>
    <t>Труба многослойная PE-RT/Al/PE-HD Multi Universal 32х4,4 (KAN-term)</t>
  </si>
  <si>
    <t>Труба многослойная PE-RT/Al/PE-HD Multi Universal 25х3,5 (KAN-term)</t>
  </si>
  <si>
    <t>Тройник PPSU Press  с пресс-кольцом 32х32х32</t>
  </si>
  <si>
    <t>Колено равнопроходное диам. 25</t>
  </si>
  <si>
    <t>Колено равнопроходное диам. 32</t>
  </si>
  <si>
    <t>Трубная изоляция в защитной пленке 6мм Tubolit S ф35х6мм</t>
  </si>
  <si>
    <t>Трубная изоляция в защитной пленке 6мм Tubolit S ф28х6мм</t>
  </si>
  <si>
    <t>Трубная изоляция в защитной пленке 6мм Tubolit S ф22х6мм</t>
  </si>
  <si>
    <t>Кран  шаровый  25мм Вн-Нр</t>
  </si>
  <si>
    <t>Клапан обратный диам. 15</t>
  </si>
  <si>
    <t>Клапан обратный диам. 25</t>
  </si>
  <si>
    <t xml:space="preserve">Фильтер грубой очистки косой диам. 25 </t>
  </si>
  <si>
    <t xml:space="preserve">Монтаж системы водоподготовки </t>
  </si>
  <si>
    <t>Система водопождготовки Ecosoft Ecosmart 2</t>
  </si>
  <si>
    <t>Труба канализационная ф50мм, длина 2000мм</t>
  </si>
  <si>
    <t>Труба канализационная ф50мм, длина 1000мм</t>
  </si>
  <si>
    <t>Труба канализационная ф50мм, длина 500мм</t>
  </si>
  <si>
    <t>Труба канализационная ф100мм, длина 250мм</t>
  </si>
  <si>
    <t>Труба канализационная ф100мм, длина 500мм</t>
  </si>
  <si>
    <t>Труба канализационная ф100мм, длина 1000мм</t>
  </si>
  <si>
    <t>Труба канализационная ф100мм, длина 2000мм</t>
  </si>
  <si>
    <t>Отвод 45град ф100мм</t>
  </si>
  <si>
    <t>Переходник 100/50</t>
  </si>
  <si>
    <t>Тройник 45град 100/100</t>
  </si>
  <si>
    <t>Тройник 45град 100/50</t>
  </si>
  <si>
    <t xml:space="preserve">Установка больера объемом свыше 100л </t>
  </si>
  <si>
    <t xml:space="preserve">Больер косвеного нагрева BSA 150, емкость 150л </t>
  </si>
  <si>
    <t>Насосный модуль с трехходовым клапаном VMK</t>
  </si>
  <si>
    <t>Насосный модуль UK</t>
  </si>
  <si>
    <t>Насос для системі ГВС Lowara EB 15-1/65 RU, N=9Bm, 9B</t>
  </si>
  <si>
    <t xml:space="preserve">Установка насосов </t>
  </si>
  <si>
    <t>Труба полиетиленовая  PEX-c (KAN-term) диам. 20х2,8</t>
  </si>
  <si>
    <t>Трубная изоляция Climaflex диам. 20х6</t>
  </si>
  <si>
    <t>Виключатель крестовой IP20</t>
  </si>
  <si>
    <t>Выключатель скрытой установки однополюсный IP44</t>
  </si>
  <si>
    <t>Комп.</t>
  </si>
  <si>
    <t xml:space="preserve">Монтаж заземления ZUVER </t>
  </si>
  <si>
    <t>Монтаж деревянной стропильной конструкции кровли</t>
  </si>
  <si>
    <t>Устройство горизонтального утеплителя из базальтовой минваты ( между несущими балками, кроквами и нахлестом на стены ) т=250 мм</t>
  </si>
  <si>
    <t>Кладка стен из газобетона</t>
  </si>
  <si>
    <t xml:space="preserve">Блоки газобетонные шир. 100мм </t>
  </si>
  <si>
    <t>Горячекатаная арматурная сталь гладкая, класс А-1, диаметр 8 мм</t>
  </si>
  <si>
    <t xml:space="preserve">Клей д/блоков газобетонных 25 кг </t>
  </si>
  <si>
    <t>Изготовление металлических перемычек ПР-6</t>
  </si>
  <si>
    <t>Кладка дымовых труб (система Sciedel UNI)</t>
  </si>
  <si>
    <t xml:space="preserve">Стройка:   Жилой индивидуальный дом </t>
  </si>
  <si>
    <t>Проволока стальная , диаметр 1,1 мм</t>
  </si>
  <si>
    <t>Стройка:   Жилой индивидуальный дом</t>
  </si>
  <si>
    <t>Труба PE-HD 80  водопроводная Kaczmarek ф32х2,3</t>
  </si>
  <si>
    <t xml:space="preserve">Муфта ПЕ-сталь наружная резьба  ф32-5/4" </t>
  </si>
  <si>
    <t>Колено  ПЕ-ПЕ ф32х32</t>
  </si>
  <si>
    <t>Стройка:    Жилой индивидуальный дом</t>
  </si>
  <si>
    <t>Установка трапов диаметром 50 мм</t>
  </si>
  <si>
    <t>10компл.</t>
  </si>
  <si>
    <t>Каболка</t>
  </si>
  <si>
    <t>Труба полиетиленовая  PEX-c (KAN-term) диам. 32х4,4</t>
  </si>
  <si>
    <t>Распределитель колектор для радиаторного отопления на 7 отводов</t>
  </si>
  <si>
    <t>Устройство теплого пола</t>
  </si>
  <si>
    <t>Плита пенополистирольная с пленкой толщиной 30 мм F=5м2</t>
  </si>
  <si>
    <t>Профиль для разделительного щва К-501000</t>
  </si>
  <si>
    <t xml:space="preserve">Краевая лента </t>
  </si>
  <si>
    <t xml:space="preserve">Добавка в бетон </t>
  </si>
  <si>
    <t>Гарпун-скоба 22022N</t>
  </si>
  <si>
    <t>Кабель силовой ВВГнгд 4х10мм2</t>
  </si>
  <si>
    <t>Кабель ПВЗ 1х25мм2</t>
  </si>
  <si>
    <t>Выключатель скрытой установки двохклавишный  IP20</t>
  </si>
  <si>
    <t>Розетка штепсельная, 2р,  скрытой установки, однополюсная IP44</t>
  </si>
  <si>
    <t>Горячекатаная арматурная сталь , класс А-3, диаметр 16 мм</t>
  </si>
  <si>
    <t>Блоки газобетонные шир. 380 мм</t>
  </si>
  <si>
    <t>Блоки газобетонные шир. 250 мм</t>
  </si>
  <si>
    <t>Сборка и разборка деревянной щитовой опалубки для устройства колонн высотой до 6 м, периметрдо 1,2 м</t>
  </si>
  <si>
    <t>1 м3 бетона и железобетона в деле</t>
  </si>
  <si>
    <t>Изготовление арматурных каркасов колонн и стоек рам с хомутами сложной формы при помощи крана, в условиях строительной площадки, диаметр арматуры свыше 6 до 8 мм</t>
  </si>
  <si>
    <t>Электроды, диаметр 2 мм, марка Э50</t>
  </si>
  <si>
    <t>Установка двойных сеток и пространственных каркасов в колонны вручную, масса элемента до 20 кг</t>
  </si>
  <si>
    <t>Укладка бетонной смеси в конструкции автокраном, колонны и стойки рам при наименьшей стороне поперечного сечения свыше 300 до 500 мм</t>
  </si>
  <si>
    <t>Вибратор погружной</t>
  </si>
  <si>
    <t>Блоки оконные Ок-1 1500х1500</t>
  </si>
  <si>
    <t>Д-5 900х2100</t>
  </si>
  <si>
    <t>Вакумний клапан Ду 100</t>
  </si>
  <si>
    <t>Сервомотор электрический 230В</t>
  </si>
  <si>
    <t>Адаптер к сервомотору М28х1,5</t>
  </si>
  <si>
    <t>Труба полиетиленовая  PEX-c (KAN-term) диам. 25х3,5</t>
  </si>
  <si>
    <t>Автоматический выключатель на 20А</t>
  </si>
  <si>
    <t>Заземление ZUVER 4.4</t>
  </si>
  <si>
    <t>Выключатель скрытой установки однополюсный проходной IP20</t>
  </si>
  <si>
    <t>Смеси бетонные готовые тяжелые, класс бетона В25</t>
  </si>
  <si>
    <t>Сборка и разборка деревянной щитовой опалубки для устройства перекрытий (безбалочных) с площадью между осями колонн до 5 м2, толщина свыше 120 до 200 мм</t>
  </si>
  <si>
    <t>Аренда опалубки</t>
  </si>
  <si>
    <t>Изготовление арматурных каркасов  в перекрытие безбалочное при помощи крана, в условиях строительной площадки, диаметр арматуры свыше 6 до 8 мм</t>
  </si>
  <si>
    <t>Горячекатаная арматурная сталь гладкая, класс А-3, диаметр 12 мм</t>
  </si>
  <si>
    <t>Горячекатаная арматурная сталь гладкая, класс А-1, диаметр 10 мм</t>
  </si>
  <si>
    <t>Установка двойных сеток и пространственных каркасов в перекрытиях вручную, масса элемента до 20 кг</t>
  </si>
  <si>
    <t>Укладка бетонной смеси в конструкции бетононасосами, перекрытие безбалочное при площади между осями колонн до 10 м2</t>
  </si>
  <si>
    <t>1 м3 бетона или железобетона в деле</t>
  </si>
  <si>
    <t>Смеси бетонные готовые тяжелые, класс бетона В25 с доставкой</t>
  </si>
  <si>
    <t>Горячекатаная арматурная сталь гладкая, класс А-3, диаметр 16 мм</t>
  </si>
  <si>
    <t>Устройство монолитного пояса при помощи бетононасоса</t>
  </si>
  <si>
    <t>Пиломатериалы для распорок опалубки</t>
  </si>
  <si>
    <t>Смеси бетонные готовые тяжелые, Клас бетона В30</t>
  </si>
  <si>
    <t>Сборка и разборка  опалубки для устройства перемычек</t>
  </si>
  <si>
    <t>уп.</t>
  </si>
  <si>
    <t>Изготовление перемычек бетонных (Пр-2.... Пр-4)</t>
  </si>
  <si>
    <t>Комплект дымохода Schiedel  (высота h=7,33м)</t>
  </si>
  <si>
    <t>Комплект вентканалов Schiedel 2-х ходовий (высота h=7,33)</t>
  </si>
  <si>
    <t>Комплект вентканалов Schiedel 3-х ходовий (высота h=7,82)</t>
  </si>
  <si>
    <t>Стропила, диагональная стропильная нога</t>
  </si>
  <si>
    <t xml:space="preserve">Мауэрлат, балки, стойки </t>
  </si>
  <si>
    <t>Маты минераловатные базальтовые 50мм</t>
  </si>
  <si>
    <t>Устройство обрешетки под кровлю из битумной черепици</t>
  </si>
  <si>
    <t>Устройство покрытий из плит OSB</t>
  </si>
  <si>
    <t>Плиты OSB, толщина 12х1200х2500 мм</t>
  </si>
  <si>
    <t>Монтаж карнизных свесов  при устройстве кровель из битумно черепицы</t>
  </si>
  <si>
    <t>Устройство подкладочного ковра под битумную черепицу</t>
  </si>
  <si>
    <t>Подкладочный ковер под битумную черепицу</t>
  </si>
  <si>
    <t>Гвозди кровельные</t>
  </si>
  <si>
    <t>Мастика для гибкой черепицы "Фіксер" ТН №23 (310мл), картридж</t>
  </si>
  <si>
    <t>Устройство покрытия кровли из битумной черепицы</t>
  </si>
  <si>
    <t>Битумна черепиця ШИНГЛАС "УЛЬТРА"</t>
  </si>
  <si>
    <t>ШИНГЛАС Коньково-карнизная черепица</t>
  </si>
  <si>
    <t>Монтаж конькового аэратора Риджмастер</t>
  </si>
  <si>
    <t>Коньковый аэратор Риджмастер (1100 мм)</t>
  </si>
  <si>
    <t>Монтаж лобовой доски</t>
  </si>
  <si>
    <t>м.п.</t>
  </si>
  <si>
    <t>Лобовая  доска</t>
  </si>
  <si>
    <t>Саморезы по дереву 3,5х75мм</t>
  </si>
  <si>
    <t>Монтаж примыканий  при устройстве кровель из битумной черепицы</t>
  </si>
  <si>
    <t>ТЕХНОНИКОЛЬ № 23 (Фиксер)</t>
  </si>
  <si>
    <t>Блоки оконные Ок-2 1500х1600</t>
  </si>
  <si>
    <t>Блоки оконные Ок-3 1500х500</t>
  </si>
  <si>
    <t>Блоки оконные Ок-4 1500х2400</t>
  </si>
  <si>
    <t>Блоки оконные Ок-5 2000х2000</t>
  </si>
  <si>
    <t>Блоки оконные Ок-6 3495х2000</t>
  </si>
  <si>
    <t>Блоки оконные Ок-7 1800х1060</t>
  </si>
  <si>
    <t>Блоки оконные Ок-8 800х800</t>
  </si>
  <si>
    <t>Блоки оконные ОМ-1 940х1600</t>
  </si>
  <si>
    <t>Блоки оконные ОМ-2 980х1340</t>
  </si>
  <si>
    <t>Д-1 1800х2700</t>
  </si>
  <si>
    <t>Д-2 1800х2700</t>
  </si>
  <si>
    <t>Д-3 2000х2500</t>
  </si>
  <si>
    <t>Д-4 2100х2200</t>
  </si>
  <si>
    <t>Д-6 800х2100</t>
  </si>
  <si>
    <t>Плиты теплоизоляционные из пенопласта полистирольного, экструдированного 50мм</t>
  </si>
  <si>
    <t>Труба многослойная PE-RT/Al/PE-HD Multi Universal 20х2,8 (KAN-term)</t>
  </si>
  <si>
    <t>Тройник PPSU Press  с пресс-кольцом 32х20х32</t>
  </si>
  <si>
    <t>Тройник PPSU Press  с пресс-кольцом 32х20х25</t>
  </si>
  <si>
    <t>Тройник PPSU Press  с пресс-кольцом 25х20х25</t>
  </si>
  <si>
    <t>Тройник PPSU Press  с пресс-кольцом 25х20х20</t>
  </si>
  <si>
    <t>Тройник PPSU Press  с пресс-кольцом 20х20х20</t>
  </si>
  <si>
    <t>Колено равнопроходное диам. 20</t>
  </si>
  <si>
    <t>Крестовина одноплоскостная 100х100х45</t>
  </si>
  <si>
    <t>Трап с сухим гидрозатвором ДУ50</t>
  </si>
  <si>
    <t>Ревизия ДУ100мм</t>
  </si>
  <si>
    <t>Прочистка с пробкой и крышкой Ду100</t>
  </si>
  <si>
    <t>Раздел № 1 Система отопления дома</t>
  </si>
  <si>
    <t>Труба полиетиленовая  PEX-c (KAN-term) диам.20х2,8</t>
  </si>
  <si>
    <t>Соединитель Press  с пресс-кольцом с наружной резьбой 15хG3/4"</t>
  </si>
  <si>
    <t>Тройник диам. 25х25х25</t>
  </si>
  <si>
    <t>Тройник диам.  20х20х20</t>
  </si>
  <si>
    <t>Отвод 20х2</t>
  </si>
  <si>
    <t>Отвод 25х3</t>
  </si>
  <si>
    <t>Отвод 32х4</t>
  </si>
  <si>
    <t>Кран шаровый 3/4ВН-ВН</t>
  </si>
  <si>
    <t>Соединитель конусный для многослойных труб PE-RT/Al/PE-HD 16 G3/4"</t>
  </si>
  <si>
    <t>Крюк с дюбилем на 2 трубы в изоляции</t>
  </si>
  <si>
    <t>Трубная изоляция Climaflex диам.32х6</t>
  </si>
  <si>
    <t>Трубная изоляция Climaflex диам. 25х6</t>
  </si>
  <si>
    <t>Раздел № 2 Радиаторы "Kermi"</t>
  </si>
  <si>
    <t>Установка радиаторов стальных</t>
  </si>
  <si>
    <t>Радиатор RADIK  VK 33 500X800</t>
  </si>
  <si>
    <t>Крепление для приборов отопления</t>
  </si>
  <si>
    <t>Арматура нижнего подключения угол  Vecotec  (0551-50.000)</t>
  </si>
  <si>
    <t>Термостат - головка жидк. DX</t>
  </si>
  <si>
    <t>Радиатор RADIK  VK 22 500X900</t>
  </si>
  <si>
    <t>Радиатор RADIK  VK 22 500X1000</t>
  </si>
  <si>
    <t>Радиатор RADIK  VK 33 500X1400</t>
  </si>
  <si>
    <t>Радиатор RADIK  VK 33 500X1600</t>
  </si>
  <si>
    <t>Тройник диам. 25х20х25</t>
  </si>
  <si>
    <t>Распределитель колктор для радиаторного отопления на 7 отводов</t>
  </si>
  <si>
    <t xml:space="preserve">Термостат комнатний электронный </t>
  </si>
  <si>
    <t>Клемная колодка для подпольного отопления 230В</t>
  </si>
  <si>
    <t>Ящик встраиваемый SWOP-11/7</t>
  </si>
  <si>
    <t xml:space="preserve">Раздел № 3 Устройство теплого пола </t>
  </si>
  <si>
    <t>Грязевик сетчатый латунь Valtec 1"</t>
  </si>
  <si>
    <t>Клапан обратный Valtec 1"</t>
  </si>
  <si>
    <t>Кран  шаровый Valtec 3/4" Вн-Вн</t>
  </si>
  <si>
    <t>Кран  шаровый Valtec 1" Вн-Вн</t>
  </si>
  <si>
    <t>Установка настенных электроных котлов</t>
  </si>
  <si>
    <t>Ктел электрический настенный тепловой мошность 24 кВт</t>
  </si>
  <si>
    <t>Установка наружного блока теплового насоса</t>
  </si>
  <si>
    <t>Наружний блок теплового насоса HITACHI RAS 8HRNME-AF</t>
  </si>
  <si>
    <t xml:space="preserve">Установка гидромодуля </t>
  </si>
  <si>
    <t>Гидромодуль HITACHI RWM 8,0 FSN3E</t>
  </si>
  <si>
    <t>Установка вакуумных солнечных коллекторов</t>
  </si>
  <si>
    <t xml:space="preserve">Вакуумный солнечный коллектор </t>
  </si>
  <si>
    <t>Монтаж фанкойлов</t>
  </si>
  <si>
    <t>Фанкойл  MCFS-150T2</t>
  </si>
  <si>
    <t>Фанкойл  MCFS-220T2</t>
  </si>
  <si>
    <t>Тройник диам.  25х20х20</t>
  </si>
  <si>
    <t>Раздел № 4 Отпительные приборы   (24кВт)</t>
  </si>
  <si>
    <t>Раздел № 5 Вентиляция</t>
  </si>
  <si>
    <t xml:space="preserve">Раздел № 6 Система кондиционирования </t>
  </si>
  <si>
    <t>Держатель двухкомпонентный</t>
  </si>
  <si>
    <t>Выключатель двохклавишный  скрытой установки проходной IP20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</si>
</sst>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#,##0.00;\-#,##0.00;\ \-"/>
    <numFmt numFmtId="165" formatCode="#,##0.0######;\-#,##0.0######;\ "/>
    <numFmt numFmtId="166" formatCode="#,##0;\-#,##0;\ \-\ "/>
    <numFmt numFmtId="167" formatCode="#,##0.0####;\-#,##0.0####;\ "/>
    <numFmt numFmtId="168" formatCode="#,##0.0###;\-#,##0.0###;\ "/>
    <numFmt numFmtId="169" formatCode="#,##0.00_ ;\-#,##0.00\ "/>
    <numFmt numFmtId="170" formatCode="#,##0.0##;\-#,##0.0##;\ "/>
    <numFmt numFmtId="171" formatCode="#,##0.000_ ;\-#,##0.000\ "/>
    <numFmt numFmtId="172" formatCode="#,##0_ ;\-#,##0\ "/>
    <numFmt numFmtId="173" formatCode="#,##0.0#;\-#,##0.0#;\ "/>
    <numFmt numFmtId="174" formatCode="#,##0.0;\-#,##0.0;\ "/>
    <numFmt numFmtId="175" formatCode="#,##0;\-#,##0;\ "/>
    <numFmt numFmtId="176" formatCode="#,##0.0_ ;\-#,##0.0\ "/>
    <numFmt numFmtId="177" formatCode="0.0000"/>
    <numFmt numFmtId="178" formatCode="0.000"/>
  </numFmts>
  <fonts count="8">
    <font>
      <sz val="10"/>
      <color indexed="8"/>
      <name val="Arial"/>
      <charset val="1"/>
    </font>
    <font>
      <sz val="9"/>
      <color indexed="8"/>
      <name val="Times New Roman Cyr"/>
      <charset val="1"/>
    </font>
    <font>
      <sz val="12"/>
      <color indexed="8"/>
      <name val="Times New Roman Cyr"/>
      <charset val="1"/>
    </font>
    <font>
      <sz val="8"/>
      <color indexed="8"/>
      <name val="Times New Roman Cyr"/>
      <charset val="1"/>
    </font>
    <font>
      <b/>
      <sz val="9"/>
      <color indexed="8"/>
      <name val="Times New Roman Cyr"/>
      <charset val="204"/>
    </font>
    <font>
      <b/>
      <sz val="9"/>
      <color indexed="8"/>
      <name val="Times New Roman Cyr"/>
      <charset val="1"/>
    </font>
    <font>
      <b/>
      <sz val="10"/>
      <color indexed="8"/>
      <name val="Arial"/>
      <family val="2"/>
      <charset val="204"/>
    </font>
    <font>
      <sz val="9"/>
      <color indexed="8"/>
      <name val="Times New Roman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/>
    <xf numFmtId="0" fontId="0" fillId="0" borderId="0" xfId="0" applyFill="1"/>
    <xf numFmtId="166" fontId="0" fillId="0" borderId="0" xfId="0" applyNumberFormat="1" applyFill="1"/>
    <xf numFmtId="0" fontId="6" fillId="0" borderId="0" xfId="0" applyFont="1" applyFill="1"/>
    <xf numFmtId="165" fontId="1" fillId="0" borderId="1" xfId="0" applyNumberFormat="1" applyFont="1" applyFill="1" applyBorder="1" applyAlignment="1">
      <alignment horizontal="center" vertical="top" wrapText="1"/>
    </xf>
    <xf numFmtId="169" fontId="1" fillId="0" borderId="1" xfId="0" applyNumberFormat="1" applyFont="1" applyFill="1" applyBorder="1" applyAlignment="1">
      <alignment horizontal="center" vertical="top" wrapText="1"/>
    </xf>
    <xf numFmtId="172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/>
    <xf numFmtId="0" fontId="0" fillId="0" borderId="0" xfId="0" applyFill="1" applyProtection="1">
      <protection hidden="1"/>
    </xf>
    <xf numFmtId="164" fontId="1" fillId="0" borderId="0" xfId="0" applyNumberFormat="1" applyFont="1" applyFill="1" applyBorder="1" applyAlignment="1" applyProtection="1">
      <alignment horizontal="right" wrapText="1"/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top" wrapText="1"/>
      <protection hidden="1"/>
    </xf>
    <xf numFmtId="165" fontId="1" fillId="0" borderId="1" xfId="0" applyNumberFormat="1" applyFont="1" applyFill="1" applyBorder="1" applyAlignment="1" applyProtection="1">
      <alignment horizontal="center" vertical="top" wrapText="1"/>
      <protection hidden="1"/>
    </xf>
    <xf numFmtId="164" fontId="1" fillId="0" borderId="1" xfId="0" applyNumberFormat="1" applyFont="1" applyFill="1" applyBorder="1" applyAlignment="1" applyProtection="1">
      <alignment horizontal="center" vertical="top" wrapText="1"/>
      <protection hidden="1"/>
    </xf>
    <xf numFmtId="166" fontId="1" fillId="0" borderId="1" xfId="0" applyNumberFormat="1" applyFont="1" applyFill="1" applyBorder="1" applyAlignment="1" applyProtection="1">
      <alignment horizontal="right" vertical="top" wrapText="1"/>
      <protection hidden="1"/>
    </xf>
    <xf numFmtId="0" fontId="1" fillId="0" borderId="3" xfId="0" applyNumberFormat="1" applyFont="1" applyFill="1" applyBorder="1" applyAlignment="1" applyProtection="1">
      <alignment horizontal="center" vertical="top" wrapText="1"/>
      <protection hidden="1"/>
    </xf>
    <xf numFmtId="0" fontId="1" fillId="0" borderId="3" xfId="0" applyNumberFormat="1" applyFont="1" applyFill="1" applyBorder="1" applyAlignment="1" applyProtection="1">
      <alignment horizontal="left" vertical="top" wrapText="1"/>
      <protection hidden="1"/>
    </xf>
    <xf numFmtId="165" fontId="1" fillId="0" borderId="3" xfId="0" applyNumberFormat="1" applyFont="1" applyFill="1" applyBorder="1" applyAlignment="1" applyProtection="1">
      <alignment horizontal="center" vertical="top" wrapText="1"/>
      <protection hidden="1"/>
    </xf>
    <xf numFmtId="164" fontId="1" fillId="0" borderId="3" xfId="0" applyNumberFormat="1" applyFont="1" applyFill="1" applyBorder="1" applyAlignment="1" applyProtection="1">
      <alignment horizontal="center" vertical="top" wrapText="1"/>
      <protection hidden="1"/>
    </xf>
    <xf numFmtId="169" fontId="1" fillId="0" borderId="1" xfId="0" applyNumberFormat="1" applyFont="1" applyFill="1" applyBorder="1" applyAlignment="1" applyProtection="1">
      <alignment horizontal="center" vertical="top" wrapText="1"/>
      <protection hidden="1"/>
    </xf>
    <xf numFmtId="170" fontId="1" fillId="0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2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left" vertical="top" wrapText="1"/>
      <protection hidden="1"/>
    </xf>
    <xf numFmtId="176" fontId="1" fillId="0" borderId="1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left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/>
    <xf numFmtId="0" fontId="1" fillId="0" borderId="8" xfId="0" applyNumberFormat="1" applyFont="1" applyFill="1" applyBorder="1" applyAlignment="1">
      <alignment horizontal="center" vertical="top" wrapText="1"/>
    </xf>
    <xf numFmtId="166" fontId="1" fillId="0" borderId="8" xfId="0" applyNumberFormat="1" applyFont="1" applyFill="1" applyBorder="1" applyAlignment="1">
      <alignment horizontal="right" vertical="top" wrapText="1"/>
    </xf>
    <xf numFmtId="0" fontId="1" fillId="0" borderId="8" xfId="0" applyNumberFormat="1" applyFont="1" applyFill="1" applyBorder="1" applyAlignment="1"/>
    <xf numFmtId="1" fontId="1" fillId="0" borderId="1" xfId="0" applyNumberFormat="1" applyFont="1" applyFill="1" applyBorder="1" applyAlignment="1">
      <alignment horizontal="center" vertical="top" wrapText="1"/>
    </xf>
    <xf numFmtId="170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171" fontId="1" fillId="0" borderId="1" xfId="0" applyNumberFormat="1" applyFont="1" applyFill="1" applyBorder="1" applyAlignment="1" applyProtection="1">
      <alignment horizontal="center" vertical="top" wrapText="1"/>
      <protection hidden="1"/>
    </xf>
    <xf numFmtId="168" fontId="1" fillId="0" borderId="1" xfId="0" applyNumberFormat="1" applyFont="1" applyFill="1" applyBorder="1" applyAlignment="1" applyProtection="1">
      <alignment horizontal="center" vertical="top" wrapText="1"/>
      <protection hidden="1"/>
    </xf>
    <xf numFmtId="172" fontId="1" fillId="0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8" xfId="0" applyNumberFormat="1" applyFont="1" applyFill="1" applyBorder="1" applyAlignment="1" applyProtection="1">
      <alignment horizontal="center" vertical="top" wrapText="1"/>
      <protection hidden="1"/>
    </xf>
    <xf numFmtId="166" fontId="1" fillId="0" borderId="8" xfId="0" applyNumberFormat="1" applyFont="1" applyFill="1" applyBorder="1" applyAlignment="1" applyProtection="1">
      <alignment horizontal="right" vertical="top" wrapText="1"/>
      <protection hidden="1"/>
    </xf>
    <xf numFmtId="0" fontId="1" fillId="0" borderId="8" xfId="0" applyNumberFormat="1" applyFont="1" applyFill="1" applyBorder="1" applyAlignment="1" applyProtection="1">
      <protection hidden="1"/>
    </xf>
    <xf numFmtId="168" fontId="1" fillId="0" borderId="1" xfId="0" applyNumberFormat="1" applyFont="1" applyFill="1" applyBorder="1" applyAlignment="1">
      <alignment horizontal="center" vertical="top" wrapText="1"/>
    </xf>
    <xf numFmtId="166" fontId="1" fillId="0" borderId="3" xfId="0" applyNumberFormat="1" applyFont="1" applyFill="1" applyBorder="1" applyAlignment="1">
      <alignment horizontal="right" vertical="top" wrapText="1"/>
    </xf>
    <xf numFmtId="175" fontId="1" fillId="0" borderId="1" xfId="0" applyNumberFormat="1" applyFont="1" applyFill="1" applyBorder="1" applyAlignment="1">
      <alignment horizontal="center" vertical="top" wrapText="1"/>
    </xf>
    <xf numFmtId="173" fontId="1" fillId="0" borderId="1" xfId="0" applyNumberFormat="1" applyFont="1" applyFill="1" applyBorder="1" applyAlignment="1">
      <alignment horizontal="center" vertical="top" wrapText="1"/>
    </xf>
    <xf numFmtId="167" fontId="1" fillId="0" borderId="1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wrapText="1"/>
      <protection hidden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 vertical="top" wrapText="1"/>
    </xf>
    <xf numFmtId="177" fontId="1" fillId="0" borderId="1" xfId="0" applyNumberFormat="1" applyFont="1" applyFill="1" applyBorder="1" applyAlignment="1">
      <alignment horizontal="center" vertical="top" wrapText="1"/>
    </xf>
    <xf numFmtId="178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left" vertical="top" wrapText="1" indent="1"/>
    </xf>
    <xf numFmtId="174" fontId="1" fillId="0" borderId="1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horizontal="right" vertical="top" wrapText="1"/>
    </xf>
    <xf numFmtId="166" fontId="1" fillId="0" borderId="4" xfId="0" applyNumberFormat="1" applyFont="1" applyFill="1" applyBorder="1" applyAlignment="1">
      <alignment horizontal="right" vertical="top" wrapText="1"/>
    </xf>
    <xf numFmtId="0" fontId="1" fillId="0" borderId="3" xfId="0" applyNumberFormat="1" applyFont="1" applyFill="1" applyBorder="1" applyAlignment="1"/>
    <xf numFmtId="0" fontId="5" fillId="0" borderId="3" xfId="0" applyNumberFormat="1" applyFont="1" applyFill="1" applyBorder="1" applyAlignment="1"/>
    <xf numFmtId="0" fontId="5" fillId="0" borderId="4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/>
    <xf numFmtId="0" fontId="1" fillId="0" borderId="7" xfId="0" applyNumberFormat="1" applyFont="1" applyFill="1" applyBorder="1" applyAlignment="1"/>
    <xf numFmtId="0" fontId="1" fillId="0" borderId="4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165" fontId="1" fillId="0" borderId="5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5" fillId="0" borderId="8" xfId="0" applyNumberFormat="1" applyFont="1" applyFill="1" applyBorder="1" applyAlignment="1"/>
    <xf numFmtId="166" fontId="1" fillId="0" borderId="13" xfId="0" applyNumberFormat="1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vertical="center" wrapText="1"/>
    </xf>
    <xf numFmtId="166" fontId="7" fillId="0" borderId="1" xfId="0" applyNumberFormat="1" applyFont="1" applyFill="1" applyBorder="1" applyAlignment="1">
      <alignment horizontal="right" vertical="top" wrapText="1"/>
    </xf>
    <xf numFmtId="0" fontId="7" fillId="0" borderId="3" xfId="0" applyNumberFormat="1" applyFont="1" applyFill="1" applyBorder="1" applyAlignment="1">
      <alignment wrapText="1"/>
    </xf>
    <xf numFmtId="0" fontId="7" fillId="0" borderId="4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/>
      <protection hidden="1"/>
    </xf>
    <xf numFmtId="0" fontId="1" fillId="0" borderId="5" xfId="0" applyNumberFormat="1" applyFont="1" applyFill="1" applyBorder="1" applyAlignment="1" applyProtection="1">
      <alignment horizontal="left" vertical="center" wrapText="1"/>
      <protection hidden="1"/>
    </xf>
    <xf numFmtId="0" fontId="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1" fillId="0" borderId="4" xfId="0" applyNumberFormat="1" applyFont="1" applyFill="1" applyBorder="1" applyAlignment="1" applyProtection="1">
      <alignment horizontal="left" vertical="top" wrapText="1"/>
      <protection hidden="1"/>
    </xf>
    <xf numFmtId="0" fontId="1" fillId="0" borderId="5" xfId="0" applyNumberFormat="1" applyFont="1" applyFill="1" applyBorder="1" applyAlignment="1" applyProtection="1">
      <alignment horizontal="left" vertical="top" wrapText="1"/>
      <protection hidden="1"/>
    </xf>
    <xf numFmtId="0" fontId="1" fillId="0" borderId="6" xfId="0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NumberFormat="1" applyFont="1" applyFill="1" applyBorder="1" applyAlignment="1" applyProtection="1">
      <alignment horizontal="left" vertical="top" wrapText="1"/>
      <protection hidden="1"/>
    </xf>
    <xf numFmtId="0" fontId="1" fillId="0" borderId="2" xfId="0" applyNumberFormat="1" applyFont="1" applyFill="1" applyBorder="1" applyAlignment="1" applyProtection="1">
      <alignment horizontal="left" vertical="top" wrapText="1"/>
      <protection hidden="1"/>
    </xf>
    <xf numFmtId="0" fontId="1" fillId="0" borderId="12" xfId="0" applyNumberFormat="1" applyFont="1" applyFill="1" applyBorder="1" applyAlignment="1" applyProtection="1">
      <alignment horizontal="left" vertical="top" wrapText="1"/>
      <protection hidden="1"/>
    </xf>
    <xf numFmtId="0" fontId="1" fillId="0" borderId="9" xfId="0" applyNumberFormat="1" applyFont="1" applyFill="1" applyBorder="1" applyAlignment="1" applyProtection="1">
      <alignment horizontal="left" vertical="top" wrapText="1"/>
      <protection hidden="1"/>
    </xf>
    <xf numFmtId="0" fontId="1" fillId="0" borderId="10" xfId="0" applyNumberFormat="1" applyFont="1" applyFill="1" applyBorder="1" applyAlignment="1" applyProtection="1">
      <alignment horizontal="left" vertical="top" wrapText="1"/>
      <protection hidden="1"/>
    </xf>
    <xf numFmtId="0" fontId="1" fillId="0" borderId="11" xfId="0" applyNumberFormat="1" applyFont="1" applyFill="1" applyBorder="1" applyAlignment="1" applyProtection="1">
      <alignment horizontal="left" vertical="top" wrapText="1"/>
      <protection hidden="1"/>
    </xf>
    <xf numFmtId="0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wrapText="1"/>
      <protection hidden="1"/>
    </xf>
    <xf numFmtId="0" fontId="1" fillId="0" borderId="0" xfId="0" applyNumberFormat="1" applyFont="1" applyFill="1" applyBorder="1" applyAlignment="1" applyProtection="1">
      <alignment horizontal="right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wrapText="1"/>
      <protection hidden="1"/>
    </xf>
    <xf numFmtId="0" fontId="4" fillId="0" borderId="0" xfId="0" applyNumberFormat="1" applyFont="1" applyFill="1" applyBorder="1" applyAlignment="1" applyProtection="1">
      <alignment horizontal="left" wrapText="1"/>
      <protection hidden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right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48" zoomScale="115" zoomScaleNormal="115" workbookViewId="0">
      <selection activeCell="A53" sqref="A53"/>
    </sheetView>
  </sheetViews>
  <sheetFormatPr defaultRowHeight="12.75"/>
  <cols>
    <col min="1" max="1" width="3.7109375" customWidth="1"/>
    <col min="2" max="2" width="22.7109375" customWidth="1"/>
    <col min="3" max="5" width="8.7109375" customWidth="1"/>
    <col min="6" max="6" width="10.7109375" customWidth="1"/>
    <col min="7" max="7" width="22.7109375" customWidth="1"/>
    <col min="8" max="10" width="8.7109375" customWidth="1"/>
    <col min="11" max="11" width="10.7109375" customWidth="1"/>
  </cols>
  <sheetData>
    <row r="1" spans="1:11" s="3" customForma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3" customForma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3" customFormat="1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5"/>
      <c r="K3" s="15"/>
    </row>
    <row r="4" spans="1:11" s="3" customFormat="1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5"/>
      <c r="K4" s="15"/>
    </row>
    <row r="5" spans="1:11" s="3" customFormat="1">
      <c r="A5" s="113" t="s">
        <v>2</v>
      </c>
      <c r="B5" s="113"/>
      <c r="C5" s="113"/>
      <c r="D5" s="113"/>
      <c r="E5" s="113"/>
      <c r="F5" s="113"/>
      <c r="G5" s="113"/>
      <c r="H5" s="113"/>
      <c r="I5" s="113"/>
      <c r="J5" s="15"/>
      <c r="K5" s="15"/>
    </row>
    <row r="6" spans="1:11" s="3" customFormat="1">
      <c r="A6" s="113" t="s">
        <v>3</v>
      </c>
      <c r="B6" s="113"/>
      <c r="C6" s="113"/>
      <c r="D6" s="113"/>
      <c r="E6" s="113"/>
      <c r="F6" s="113"/>
      <c r="G6" s="113"/>
      <c r="H6" s="113"/>
      <c r="I6" s="113"/>
      <c r="J6" s="15"/>
      <c r="K6" s="15"/>
    </row>
    <row r="7" spans="1:11" s="3" customFormat="1">
      <c r="A7" s="114" t="s">
        <v>330</v>
      </c>
      <c r="B7" s="114"/>
      <c r="C7" s="114"/>
      <c r="D7" s="114"/>
      <c r="E7" s="114"/>
      <c r="F7" s="114"/>
      <c r="G7" s="114"/>
      <c r="H7" s="114"/>
      <c r="I7" s="114"/>
      <c r="J7" s="15"/>
      <c r="K7" s="15"/>
    </row>
    <row r="8" spans="1:11" s="3" customFormat="1">
      <c r="A8" s="113" t="s">
        <v>266</v>
      </c>
      <c r="B8" s="113"/>
      <c r="C8" s="113"/>
      <c r="D8" s="113"/>
      <c r="E8" s="113"/>
      <c r="F8" s="113"/>
      <c r="G8" s="113"/>
      <c r="H8" s="113"/>
      <c r="I8" s="113"/>
      <c r="J8" s="15"/>
      <c r="K8" s="15"/>
    </row>
    <row r="9" spans="1:11" s="3" customForma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s="3" customForma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s="3" customFormat="1" ht="24.95" customHeight="1">
      <c r="A11" s="110" t="s">
        <v>5</v>
      </c>
      <c r="B11" s="110"/>
      <c r="C11" s="110"/>
      <c r="D11" s="110"/>
      <c r="E11" s="110"/>
      <c r="F11" s="110"/>
      <c r="G11" s="110"/>
      <c r="H11" s="110"/>
      <c r="I11" s="110"/>
      <c r="J11" s="15"/>
      <c r="K11" s="15"/>
    </row>
    <row r="12" spans="1:11" s="3" customForma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s="3" customFormat="1">
      <c r="A13" s="15"/>
      <c r="B13" s="15"/>
      <c r="C13" s="15"/>
      <c r="D13" s="111" t="s">
        <v>6</v>
      </c>
      <c r="E13" s="111"/>
      <c r="F13" s="111"/>
      <c r="G13" s="111"/>
      <c r="H13" s="16">
        <f>F62</f>
        <v>0</v>
      </c>
      <c r="I13" s="62"/>
      <c r="J13" s="15"/>
      <c r="K13" s="15"/>
    </row>
    <row r="14" spans="1:11" s="3" customFormat="1">
      <c r="A14" s="15"/>
      <c r="B14" s="15"/>
      <c r="C14" s="15"/>
      <c r="D14" s="111" t="s">
        <v>7</v>
      </c>
      <c r="E14" s="111"/>
      <c r="F14" s="111"/>
      <c r="G14" s="111"/>
      <c r="H14" s="16">
        <f>K53</f>
        <v>0</v>
      </c>
      <c r="I14" s="62"/>
      <c r="J14" s="15"/>
      <c r="K14" s="15"/>
    </row>
    <row r="15" spans="1:11" s="3" customFormat="1">
      <c r="A15" s="15"/>
      <c r="B15" s="15"/>
      <c r="C15" s="15"/>
      <c r="D15" s="111" t="s">
        <v>8</v>
      </c>
      <c r="E15" s="111"/>
      <c r="F15" s="111"/>
      <c r="G15" s="111"/>
      <c r="H15" s="16">
        <f>F56</f>
        <v>0</v>
      </c>
      <c r="I15" s="62"/>
      <c r="J15" s="15"/>
      <c r="K15" s="15"/>
    </row>
    <row r="16" spans="1:11" s="3" customFormat="1">
      <c r="A16" s="112" t="s">
        <v>9</v>
      </c>
      <c r="B16" s="112" t="s">
        <v>10</v>
      </c>
      <c r="C16" s="112" t="s">
        <v>11</v>
      </c>
      <c r="D16" s="112" t="s">
        <v>12</v>
      </c>
      <c r="E16" s="112" t="s">
        <v>232</v>
      </c>
      <c r="F16" s="112"/>
      <c r="G16" s="112" t="s">
        <v>233</v>
      </c>
      <c r="H16" s="112"/>
      <c r="I16" s="112"/>
      <c r="J16" s="112"/>
      <c r="K16" s="112"/>
    </row>
    <row r="17" spans="1:11" s="3" customFormat="1" ht="22.5">
      <c r="A17" s="112"/>
      <c r="B17" s="112"/>
      <c r="C17" s="112"/>
      <c r="D17" s="112"/>
      <c r="E17" s="61" t="s">
        <v>13</v>
      </c>
      <c r="F17" s="61" t="s">
        <v>14</v>
      </c>
      <c r="G17" s="61" t="s">
        <v>15</v>
      </c>
      <c r="H17" s="61" t="s">
        <v>11</v>
      </c>
      <c r="I17" s="61" t="s">
        <v>12</v>
      </c>
      <c r="J17" s="61" t="s">
        <v>16</v>
      </c>
      <c r="K17" s="61" t="s">
        <v>17</v>
      </c>
    </row>
    <row r="18" spans="1:11" s="3" customFormat="1">
      <c r="A18" s="61">
        <v>1</v>
      </c>
      <c r="B18" s="61">
        <v>2</v>
      </c>
      <c r="C18" s="61">
        <v>4</v>
      </c>
      <c r="D18" s="61">
        <v>5</v>
      </c>
      <c r="E18" s="61">
        <v>6</v>
      </c>
      <c r="F18" s="61">
        <v>7</v>
      </c>
      <c r="G18" s="61">
        <v>8</v>
      </c>
      <c r="H18" s="61">
        <v>9</v>
      </c>
      <c r="I18" s="61">
        <v>11</v>
      </c>
      <c r="J18" s="61">
        <v>12</v>
      </c>
      <c r="K18" s="61">
        <v>13</v>
      </c>
    </row>
    <row r="19" spans="1:11" s="3" customFormat="1">
      <c r="A19" s="17"/>
      <c r="B19" s="109" t="s">
        <v>257</v>
      </c>
      <c r="C19" s="109"/>
      <c r="D19" s="109"/>
      <c r="E19" s="109"/>
      <c r="F19" s="109"/>
      <c r="G19" s="17"/>
      <c r="H19" s="17"/>
      <c r="I19" s="17"/>
      <c r="J19" s="17"/>
      <c r="K19" s="17"/>
    </row>
    <row r="20" spans="1:11" s="3" customFormat="1" ht="24">
      <c r="A20" s="18">
        <v>1</v>
      </c>
      <c r="B20" s="29" t="s">
        <v>18</v>
      </c>
      <c r="C20" s="18" t="s">
        <v>19</v>
      </c>
      <c r="D20" s="19">
        <v>1</v>
      </c>
      <c r="E20" s="20"/>
      <c r="F20" s="21"/>
      <c r="G20" s="29" t="s">
        <v>20</v>
      </c>
      <c r="H20" s="18" t="s">
        <v>21</v>
      </c>
      <c r="I20" s="19">
        <v>1</v>
      </c>
      <c r="J20" s="20"/>
      <c r="K20" s="21"/>
    </row>
    <row r="21" spans="1:11" s="3" customFormat="1" ht="48">
      <c r="A21" s="22"/>
      <c r="B21" s="23"/>
      <c r="C21" s="22"/>
      <c r="D21" s="24">
        <v>0</v>
      </c>
      <c r="E21" s="25"/>
      <c r="F21" s="21"/>
      <c r="G21" s="29" t="s">
        <v>22</v>
      </c>
      <c r="H21" s="18" t="s">
        <v>23</v>
      </c>
      <c r="I21" s="19">
        <v>5.0000000000000001E-3</v>
      </c>
      <c r="J21" s="20"/>
      <c r="K21" s="21"/>
    </row>
    <row r="22" spans="1:11" s="3" customFormat="1">
      <c r="A22" s="18"/>
      <c r="B22" s="23"/>
      <c r="C22" s="22"/>
      <c r="D22" s="24">
        <v>0</v>
      </c>
      <c r="E22" s="25"/>
      <c r="F22" s="21"/>
      <c r="G22" s="29" t="s">
        <v>24</v>
      </c>
      <c r="H22" s="18" t="s">
        <v>25</v>
      </c>
      <c r="I22" s="19">
        <v>300</v>
      </c>
      <c r="J22" s="20"/>
      <c r="K22" s="21"/>
    </row>
    <row r="23" spans="1:11" s="3" customFormat="1">
      <c r="A23" s="22">
        <v>2</v>
      </c>
      <c r="B23" s="29" t="s">
        <v>26</v>
      </c>
      <c r="C23" s="18" t="s">
        <v>27</v>
      </c>
      <c r="D23" s="19">
        <v>1</v>
      </c>
      <c r="E23" s="20"/>
      <c r="F23" s="21"/>
      <c r="G23" s="29"/>
      <c r="H23" s="18"/>
      <c r="I23" s="19">
        <v>0</v>
      </c>
      <c r="J23" s="20"/>
      <c r="K23" s="21"/>
    </row>
    <row r="24" spans="1:11" s="3" customFormat="1" ht="48">
      <c r="A24" s="18">
        <v>3</v>
      </c>
      <c r="B24" s="29" t="s">
        <v>28</v>
      </c>
      <c r="C24" s="18" t="s">
        <v>29</v>
      </c>
      <c r="D24" s="19">
        <v>268.60000000000002</v>
      </c>
      <c r="E24" s="20"/>
      <c r="F24" s="21"/>
      <c r="G24" s="29"/>
      <c r="H24" s="18"/>
      <c r="I24" s="19">
        <v>0</v>
      </c>
      <c r="J24" s="20"/>
      <c r="K24" s="21"/>
    </row>
    <row r="25" spans="1:11" s="3" customFormat="1">
      <c r="A25" s="22">
        <v>4</v>
      </c>
      <c r="B25" s="29" t="s">
        <v>30</v>
      </c>
      <c r="C25" s="18" t="s">
        <v>27</v>
      </c>
      <c r="D25" s="19">
        <v>6</v>
      </c>
      <c r="E25" s="20"/>
      <c r="F25" s="21"/>
      <c r="G25" s="29"/>
      <c r="H25" s="18"/>
      <c r="I25" s="19">
        <v>0</v>
      </c>
      <c r="J25" s="20"/>
      <c r="K25" s="21"/>
    </row>
    <row r="26" spans="1:11" s="3" customFormat="1">
      <c r="A26" s="18">
        <v>5</v>
      </c>
      <c r="B26" s="29" t="s">
        <v>31</v>
      </c>
      <c r="C26" s="18" t="s">
        <v>27</v>
      </c>
      <c r="D26" s="19">
        <v>12</v>
      </c>
      <c r="E26" s="20"/>
      <c r="F26" s="21"/>
      <c r="G26" s="29"/>
      <c r="H26" s="18"/>
      <c r="I26" s="19">
        <v>0</v>
      </c>
      <c r="J26" s="20"/>
      <c r="K26" s="21"/>
    </row>
    <row r="27" spans="1:11" s="3" customFormat="1">
      <c r="A27" s="22">
        <v>6</v>
      </c>
      <c r="B27" s="29" t="s">
        <v>32</v>
      </c>
      <c r="C27" s="18" t="s">
        <v>29</v>
      </c>
      <c r="D27" s="19">
        <v>7.4</v>
      </c>
      <c r="E27" s="20"/>
      <c r="F27" s="21"/>
      <c r="G27" s="29"/>
      <c r="H27" s="18"/>
      <c r="I27" s="19">
        <v>0</v>
      </c>
      <c r="J27" s="20"/>
      <c r="K27" s="21"/>
    </row>
    <row r="28" spans="1:11" s="3" customFormat="1" ht="36">
      <c r="A28" s="1">
        <v>7</v>
      </c>
      <c r="B28" s="63" t="s">
        <v>267</v>
      </c>
      <c r="C28" s="1" t="s">
        <v>33</v>
      </c>
      <c r="D28" s="6">
        <v>171.64</v>
      </c>
      <c r="E28" s="9"/>
      <c r="F28" s="10"/>
      <c r="G28" s="63"/>
      <c r="H28" s="1"/>
      <c r="I28" s="6">
        <v>0</v>
      </c>
      <c r="J28" s="9"/>
      <c r="K28" s="10"/>
    </row>
    <row r="29" spans="1:11" s="3" customFormat="1" ht="24">
      <c r="A29" s="1"/>
      <c r="B29" s="63"/>
      <c r="C29" s="1"/>
      <c r="D29" s="6">
        <v>0</v>
      </c>
      <c r="E29" s="9"/>
      <c r="F29" s="10"/>
      <c r="G29" s="63" t="s">
        <v>34</v>
      </c>
      <c r="H29" s="1" t="s">
        <v>35</v>
      </c>
      <c r="I29" s="8">
        <f>D28*0.11</f>
        <v>18.880399999999998</v>
      </c>
      <c r="J29" s="9"/>
      <c r="K29" s="10"/>
    </row>
    <row r="30" spans="1:11" s="3" customFormat="1">
      <c r="A30" s="1"/>
      <c r="B30" s="63"/>
      <c r="C30" s="1"/>
      <c r="D30" s="6">
        <v>0</v>
      </c>
      <c r="E30" s="9"/>
      <c r="F30" s="10"/>
      <c r="G30" s="63" t="s">
        <v>36</v>
      </c>
      <c r="H30" s="1" t="s">
        <v>29</v>
      </c>
      <c r="I30" s="30">
        <f>0.0075*D28</f>
        <v>1.2872999999999999</v>
      </c>
      <c r="J30" s="9"/>
      <c r="K30" s="10"/>
    </row>
    <row r="31" spans="1:11" s="3" customFormat="1" ht="36">
      <c r="A31" s="1"/>
      <c r="B31" s="63"/>
      <c r="C31" s="1"/>
      <c r="D31" s="6">
        <v>0</v>
      </c>
      <c r="E31" s="9"/>
      <c r="F31" s="10"/>
      <c r="G31" s="63" t="s">
        <v>268</v>
      </c>
      <c r="H31" s="1" t="s">
        <v>37</v>
      </c>
      <c r="I31" s="7">
        <f>0.026*D28</f>
        <v>4.4626399999999995</v>
      </c>
      <c r="J31" s="9"/>
      <c r="K31" s="10"/>
    </row>
    <row r="32" spans="1:11" s="3" customFormat="1">
      <c r="A32" s="1"/>
      <c r="B32" s="63"/>
      <c r="C32" s="1"/>
      <c r="D32" s="6">
        <v>0</v>
      </c>
      <c r="E32" s="9"/>
      <c r="F32" s="10"/>
      <c r="G32" s="63" t="s">
        <v>38</v>
      </c>
      <c r="H32" s="1" t="s">
        <v>21</v>
      </c>
      <c r="I32" s="8">
        <v>3</v>
      </c>
      <c r="J32" s="9"/>
      <c r="K32" s="10"/>
    </row>
    <row r="33" spans="1:11" s="3" customFormat="1" ht="60">
      <c r="A33" s="1">
        <v>8</v>
      </c>
      <c r="B33" s="63" t="s">
        <v>269</v>
      </c>
      <c r="C33" s="1" t="s">
        <v>29</v>
      </c>
      <c r="D33" s="6">
        <v>7.4</v>
      </c>
      <c r="E33" s="9"/>
      <c r="F33" s="10"/>
      <c r="G33" s="63" t="s">
        <v>270</v>
      </c>
      <c r="H33" s="1" t="s">
        <v>29</v>
      </c>
      <c r="I33" s="6">
        <f>D33*1.02</f>
        <v>7.5480000000000009</v>
      </c>
      <c r="J33" s="9"/>
      <c r="K33" s="10"/>
    </row>
    <row r="34" spans="1:11" s="3" customFormat="1" ht="36">
      <c r="A34" s="18">
        <v>9</v>
      </c>
      <c r="B34" s="29" t="s">
        <v>39</v>
      </c>
      <c r="C34" s="18" t="s">
        <v>40</v>
      </c>
      <c r="D34" s="19">
        <v>257.45999999999998</v>
      </c>
      <c r="E34" s="20"/>
      <c r="F34" s="21"/>
      <c r="G34" s="29" t="s">
        <v>41</v>
      </c>
      <c r="H34" s="18" t="s">
        <v>23</v>
      </c>
      <c r="I34" s="27">
        <f>D34*0.00002</f>
        <v>5.1491999999999996E-3</v>
      </c>
      <c r="J34" s="20"/>
      <c r="K34" s="21"/>
    </row>
    <row r="35" spans="1:11" s="3" customFormat="1" ht="24">
      <c r="A35" s="22"/>
      <c r="B35" s="29"/>
      <c r="C35" s="18"/>
      <c r="D35" s="19">
        <v>0</v>
      </c>
      <c r="E35" s="20"/>
      <c r="F35" s="21"/>
      <c r="G35" s="29" t="s">
        <v>34</v>
      </c>
      <c r="H35" s="18" t="s">
        <v>35</v>
      </c>
      <c r="I35" s="26">
        <f>D34*1.02</f>
        <v>262.60919999999999</v>
      </c>
      <c r="J35" s="20"/>
      <c r="K35" s="21"/>
    </row>
    <row r="36" spans="1:11" s="3" customFormat="1">
      <c r="A36" s="18"/>
      <c r="B36" s="29"/>
      <c r="C36" s="18"/>
      <c r="D36" s="19">
        <v>0</v>
      </c>
      <c r="E36" s="20"/>
      <c r="F36" s="21"/>
      <c r="G36" s="29" t="s">
        <v>36</v>
      </c>
      <c r="H36" s="18" t="s">
        <v>29</v>
      </c>
      <c r="I36" s="26">
        <f>0.015*D34</f>
        <v>3.8618999999999994</v>
      </c>
      <c r="J36" s="20"/>
      <c r="K36" s="21"/>
    </row>
    <row r="37" spans="1:11" s="3" customFormat="1" ht="24">
      <c r="A37" s="22"/>
      <c r="B37" s="29"/>
      <c r="C37" s="18"/>
      <c r="D37" s="19">
        <v>0</v>
      </c>
      <c r="E37" s="20"/>
      <c r="F37" s="21"/>
      <c r="G37" s="29" t="s">
        <v>237</v>
      </c>
      <c r="H37" s="18" t="s">
        <v>37</v>
      </c>
      <c r="I37" s="26">
        <f>0.096*D34</f>
        <v>24.716159999999999</v>
      </c>
      <c r="J37" s="20"/>
      <c r="K37" s="21"/>
    </row>
    <row r="38" spans="1:11" s="3" customFormat="1">
      <c r="A38" s="18"/>
      <c r="B38" s="29"/>
      <c r="C38" s="18"/>
      <c r="D38" s="19">
        <v>0</v>
      </c>
      <c r="E38" s="20"/>
      <c r="F38" s="21"/>
      <c r="G38" s="29" t="s">
        <v>38</v>
      </c>
      <c r="H38" s="18" t="s">
        <v>21</v>
      </c>
      <c r="I38" s="19">
        <v>8</v>
      </c>
      <c r="J38" s="20"/>
      <c r="K38" s="21"/>
    </row>
    <row r="39" spans="1:11" s="3" customFormat="1" ht="48">
      <c r="A39" s="22">
        <v>10</v>
      </c>
      <c r="B39" s="29" t="s">
        <v>42</v>
      </c>
      <c r="C39" s="18" t="s">
        <v>43</v>
      </c>
      <c r="D39" s="19">
        <f>I41+I42+I40</f>
        <v>3.5030000000000001</v>
      </c>
      <c r="E39" s="20"/>
      <c r="F39" s="21"/>
      <c r="G39" s="29" t="s">
        <v>44</v>
      </c>
      <c r="H39" s="18" t="s">
        <v>23</v>
      </c>
      <c r="I39" s="42">
        <f>D39*0.0005</f>
        <v>1.7515E-3</v>
      </c>
      <c r="J39" s="20"/>
      <c r="K39" s="21"/>
    </row>
    <row r="40" spans="1:11" s="3" customFormat="1" ht="36">
      <c r="A40" s="18"/>
      <c r="B40" s="29"/>
      <c r="C40" s="18"/>
      <c r="D40" s="19">
        <v>0</v>
      </c>
      <c r="E40" s="20"/>
      <c r="F40" s="21"/>
      <c r="G40" s="29" t="s">
        <v>45</v>
      </c>
      <c r="H40" s="18" t="s">
        <v>23</v>
      </c>
      <c r="I40" s="19">
        <v>3.214</v>
      </c>
      <c r="J40" s="20"/>
      <c r="K40" s="21"/>
    </row>
    <row r="41" spans="1:11" s="3" customFormat="1" ht="36">
      <c r="A41" s="18"/>
      <c r="B41" s="29"/>
      <c r="C41" s="18"/>
      <c r="D41" s="19">
        <v>0</v>
      </c>
      <c r="E41" s="20"/>
      <c r="F41" s="21"/>
      <c r="G41" s="29" t="s">
        <v>352</v>
      </c>
      <c r="H41" s="18" t="s">
        <v>23</v>
      </c>
      <c r="I41" s="19">
        <v>0.17199999999999999</v>
      </c>
      <c r="J41" s="20"/>
      <c r="K41" s="21"/>
    </row>
    <row r="42" spans="1:11" s="3" customFormat="1" ht="36">
      <c r="A42" s="22"/>
      <c r="B42" s="29"/>
      <c r="C42" s="18"/>
      <c r="D42" s="19">
        <v>0</v>
      </c>
      <c r="E42" s="20"/>
      <c r="F42" s="21"/>
      <c r="G42" s="29" t="s">
        <v>46</v>
      </c>
      <c r="H42" s="18" t="s">
        <v>23</v>
      </c>
      <c r="I42" s="19">
        <v>0.11700000000000001</v>
      </c>
      <c r="J42" s="20"/>
      <c r="K42" s="21"/>
    </row>
    <row r="43" spans="1:11" s="3" customFormat="1" ht="48">
      <c r="A43" s="18">
        <v>11</v>
      </c>
      <c r="B43" s="29" t="s">
        <v>47</v>
      </c>
      <c r="C43" s="18" t="s">
        <v>43</v>
      </c>
      <c r="D43" s="19">
        <f>D39</f>
        <v>3.5030000000000001</v>
      </c>
      <c r="E43" s="20"/>
      <c r="F43" s="21"/>
      <c r="G43" s="29" t="s">
        <v>44</v>
      </c>
      <c r="H43" s="18" t="s">
        <v>23</v>
      </c>
      <c r="I43" s="43">
        <f>0.0002*D43</f>
        <v>7.0060000000000001E-4</v>
      </c>
      <c r="J43" s="20"/>
      <c r="K43" s="21"/>
    </row>
    <row r="44" spans="1:11" s="3" customFormat="1" ht="36">
      <c r="A44" s="22"/>
      <c r="B44" s="29"/>
      <c r="C44" s="18"/>
      <c r="D44" s="19">
        <v>0</v>
      </c>
      <c r="E44" s="20"/>
      <c r="F44" s="21"/>
      <c r="G44" s="29" t="s">
        <v>48</v>
      </c>
      <c r="H44" s="18" t="s">
        <v>21</v>
      </c>
      <c r="I44" s="44">
        <f>D43*350</f>
        <v>1226.05</v>
      </c>
      <c r="J44" s="20"/>
      <c r="K44" s="21"/>
    </row>
    <row r="45" spans="1:11" s="3" customFormat="1" ht="48">
      <c r="A45" s="18">
        <v>12</v>
      </c>
      <c r="B45" s="29" t="s">
        <v>49</v>
      </c>
      <c r="C45" s="18" t="s">
        <v>50</v>
      </c>
      <c r="D45" s="19">
        <v>55.18</v>
      </c>
      <c r="E45" s="20"/>
      <c r="F45" s="21"/>
      <c r="G45" s="29" t="s">
        <v>371</v>
      </c>
      <c r="H45" s="18" t="s">
        <v>29</v>
      </c>
      <c r="I45" s="26">
        <f>D45*1.02</f>
        <v>56.2836</v>
      </c>
      <c r="J45" s="20"/>
      <c r="K45" s="21"/>
    </row>
    <row r="46" spans="1:11" s="3" customFormat="1">
      <c r="A46" s="22">
        <v>13</v>
      </c>
      <c r="B46" s="29" t="s">
        <v>234</v>
      </c>
      <c r="C46" s="18" t="s">
        <v>27</v>
      </c>
      <c r="D46" s="19">
        <v>2</v>
      </c>
      <c r="E46" s="20"/>
      <c r="F46" s="21"/>
      <c r="G46" s="29"/>
      <c r="H46" s="18"/>
      <c r="I46" s="19">
        <v>0</v>
      </c>
      <c r="J46" s="20"/>
      <c r="K46" s="21"/>
    </row>
    <row r="47" spans="1:11" s="3" customFormat="1" ht="48">
      <c r="A47" s="1">
        <v>14</v>
      </c>
      <c r="B47" s="29" t="s">
        <v>52</v>
      </c>
      <c r="C47" s="18" t="s">
        <v>53</v>
      </c>
      <c r="D47" s="19">
        <v>1.2649999999999999</v>
      </c>
      <c r="E47" s="20"/>
      <c r="F47" s="21"/>
      <c r="G47" s="29" t="s">
        <v>54</v>
      </c>
      <c r="H47" s="18" t="s">
        <v>55</v>
      </c>
      <c r="I47" s="66">
        <f>D47*25</f>
        <v>31.624999999999996</v>
      </c>
      <c r="J47" s="20"/>
      <c r="K47" s="21"/>
    </row>
    <row r="48" spans="1:11" s="3" customFormat="1">
      <c r="A48" s="1"/>
      <c r="B48" s="29"/>
      <c r="C48" s="18"/>
      <c r="D48" s="19">
        <v>0</v>
      </c>
      <c r="E48" s="20"/>
      <c r="F48" s="21"/>
      <c r="G48" s="29" t="s">
        <v>247</v>
      </c>
      <c r="H48" s="18" t="s">
        <v>55</v>
      </c>
      <c r="I48" s="66">
        <f>170*D47</f>
        <v>215.04999999999998</v>
      </c>
      <c r="J48" s="20"/>
      <c r="K48" s="21"/>
    </row>
    <row r="49" spans="1:13" s="3" customFormat="1" ht="24">
      <c r="A49" s="1">
        <v>15</v>
      </c>
      <c r="B49" s="29" t="s">
        <v>249</v>
      </c>
      <c r="C49" s="18" t="s">
        <v>56</v>
      </c>
      <c r="D49" s="19">
        <v>0.34499999999999997</v>
      </c>
      <c r="E49" s="20"/>
      <c r="F49" s="21"/>
      <c r="G49" s="29" t="s">
        <v>248</v>
      </c>
      <c r="H49" s="18" t="s">
        <v>35</v>
      </c>
      <c r="I49" s="66">
        <f>110*D49</f>
        <v>37.949999999999996</v>
      </c>
      <c r="J49" s="20"/>
      <c r="K49" s="21"/>
    </row>
    <row r="50" spans="1:13" s="3" customFormat="1" ht="24">
      <c r="A50" s="1">
        <v>16</v>
      </c>
      <c r="B50" s="29" t="s">
        <v>57</v>
      </c>
      <c r="C50" s="18" t="s">
        <v>58</v>
      </c>
      <c r="D50" s="19">
        <f>(D24-D45)/1000</f>
        <v>0.21342000000000003</v>
      </c>
      <c r="E50" s="20"/>
      <c r="F50" s="21"/>
      <c r="G50" s="29"/>
      <c r="H50" s="18"/>
      <c r="I50" s="19">
        <v>0</v>
      </c>
      <c r="J50" s="20"/>
      <c r="K50" s="21"/>
    </row>
    <row r="51" spans="1:13" s="3" customFormat="1" ht="48">
      <c r="A51" s="1">
        <v>17</v>
      </c>
      <c r="B51" s="29" t="s">
        <v>59</v>
      </c>
      <c r="C51" s="18" t="s">
        <v>51</v>
      </c>
      <c r="D51" s="19">
        <f>D50*10</f>
        <v>2.1342000000000003</v>
      </c>
      <c r="E51" s="20"/>
      <c r="F51" s="21"/>
      <c r="G51" s="29"/>
      <c r="H51" s="18"/>
      <c r="I51" s="19">
        <v>0</v>
      </c>
      <c r="J51" s="20"/>
      <c r="K51" s="21"/>
    </row>
    <row r="52" spans="1:13" s="3" customFormat="1">
      <c r="A52" s="1"/>
      <c r="B52" s="29" t="s">
        <v>60</v>
      </c>
      <c r="C52" s="18" t="s">
        <v>27</v>
      </c>
      <c r="D52" s="19">
        <v>4</v>
      </c>
      <c r="E52" s="20"/>
      <c r="F52" s="21"/>
      <c r="G52" s="29"/>
      <c r="H52" s="18"/>
      <c r="I52" s="19">
        <v>0</v>
      </c>
      <c r="J52" s="20"/>
      <c r="K52" s="21"/>
    </row>
    <row r="53" spans="1:13" s="3" customFormat="1" ht="12.75" customHeight="1">
      <c r="A53" s="17"/>
      <c r="B53" s="97" t="s">
        <v>61</v>
      </c>
      <c r="C53" s="98"/>
      <c r="D53" s="98"/>
      <c r="E53" s="99"/>
      <c r="F53" s="21">
        <f>SUM(F20:F52)</f>
        <v>0</v>
      </c>
      <c r="G53" s="17"/>
      <c r="H53" s="17"/>
      <c r="I53" s="17"/>
      <c r="J53" s="17"/>
      <c r="K53" s="21"/>
      <c r="M53" s="4"/>
    </row>
    <row r="54" spans="1:13" s="3" customFormat="1">
      <c r="A54" s="18"/>
      <c r="B54" s="100" t="s">
        <v>212</v>
      </c>
      <c r="C54" s="101"/>
      <c r="D54" s="101"/>
      <c r="E54" s="102"/>
      <c r="F54" s="21">
        <f>F53+K53</f>
        <v>0</v>
      </c>
      <c r="G54" s="17" t="s">
        <v>213</v>
      </c>
      <c r="H54" s="17" t="s">
        <v>213</v>
      </c>
      <c r="I54" s="17" t="s">
        <v>213</v>
      </c>
      <c r="J54" s="17"/>
      <c r="K54" s="17"/>
    </row>
    <row r="55" spans="1:13" s="3" customFormat="1">
      <c r="A55" s="18"/>
      <c r="B55" s="100" t="s">
        <v>214</v>
      </c>
      <c r="C55" s="101"/>
      <c r="D55" s="101"/>
      <c r="E55" s="102"/>
      <c r="F55" s="17"/>
      <c r="G55" s="17" t="s">
        <v>213</v>
      </c>
      <c r="H55" s="17" t="s">
        <v>213</v>
      </c>
      <c r="I55" s="17" t="s">
        <v>213</v>
      </c>
      <c r="J55" s="17"/>
      <c r="K55" s="17"/>
    </row>
    <row r="56" spans="1:13" s="3" customFormat="1" ht="12.75" customHeight="1">
      <c r="A56" s="18"/>
      <c r="B56" s="100" t="s">
        <v>215</v>
      </c>
      <c r="C56" s="101"/>
      <c r="D56" s="101"/>
      <c r="E56" s="102"/>
      <c r="F56" s="21">
        <f>F53-F58</f>
        <v>0</v>
      </c>
      <c r="G56" s="17" t="s">
        <v>213</v>
      </c>
      <c r="H56" s="17" t="s">
        <v>213</v>
      </c>
      <c r="I56" s="17" t="s">
        <v>213</v>
      </c>
      <c r="J56" s="17"/>
      <c r="K56" s="17"/>
    </row>
    <row r="57" spans="1:13" s="3" customFormat="1" ht="12.75" customHeight="1">
      <c r="A57" s="18"/>
      <c r="B57" s="100" t="s">
        <v>216</v>
      </c>
      <c r="C57" s="101"/>
      <c r="D57" s="101"/>
      <c r="E57" s="102"/>
      <c r="F57" s="21">
        <f>K53</f>
        <v>0</v>
      </c>
      <c r="G57" s="17" t="s">
        <v>213</v>
      </c>
      <c r="H57" s="17" t="s">
        <v>213</v>
      </c>
      <c r="I57" s="17" t="s">
        <v>213</v>
      </c>
      <c r="J57" s="17"/>
      <c r="K57" s="17"/>
    </row>
    <row r="58" spans="1:13" s="3" customFormat="1" ht="12.75" customHeight="1">
      <c r="A58" s="18"/>
      <c r="B58" s="100" t="s">
        <v>217</v>
      </c>
      <c r="C58" s="101"/>
      <c r="D58" s="101"/>
      <c r="E58" s="102"/>
      <c r="F58" s="21">
        <f>F52+F46+F26+F25+F23</f>
        <v>0</v>
      </c>
      <c r="G58" s="17" t="s">
        <v>213</v>
      </c>
      <c r="H58" s="17" t="s">
        <v>213</v>
      </c>
      <c r="I58" s="17" t="s">
        <v>213</v>
      </c>
      <c r="J58" s="17"/>
      <c r="K58" s="17"/>
    </row>
    <row r="59" spans="1:13" s="3" customFormat="1" ht="12.75" customHeight="1">
      <c r="A59" s="18"/>
      <c r="B59" s="100" t="s">
        <v>218</v>
      </c>
      <c r="C59" s="101"/>
      <c r="D59" s="101"/>
      <c r="E59" s="102"/>
      <c r="F59" s="21">
        <f>SUM(F56:F58)</f>
        <v>0</v>
      </c>
      <c r="G59" s="17" t="s">
        <v>213</v>
      </c>
      <c r="H59" s="17" t="s">
        <v>213</v>
      </c>
      <c r="I59" s="17" t="s">
        <v>213</v>
      </c>
      <c r="J59" s="17"/>
      <c r="K59" s="17"/>
    </row>
    <row r="60" spans="1:13" s="3" customFormat="1">
      <c r="A60" s="45"/>
      <c r="B60" s="103" t="s">
        <v>219</v>
      </c>
      <c r="C60" s="104"/>
      <c r="D60" s="104"/>
      <c r="E60" s="105"/>
      <c r="F60" s="46">
        <f>F56*0.15</f>
        <v>0</v>
      </c>
      <c r="G60" s="47"/>
      <c r="H60" s="47"/>
      <c r="I60" s="47"/>
      <c r="J60" s="47"/>
      <c r="K60" s="47"/>
    </row>
    <row r="61" spans="1:13" s="3" customFormat="1">
      <c r="A61" s="45"/>
      <c r="B61" s="106" t="s">
        <v>220</v>
      </c>
      <c r="C61" s="107"/>
      <c r="D61" s="107"/>
      <c r="E61" s="108"/>
      <c r="F61" s="46">
        <f>K53*0.1</f>
        <v>0</v>
      </c>
      <c r="G61" s="47"/>
      <c r="H61" s="47"/>
      <c r="I61" s="47"/>
      <c r="J61" s="47"/>
      <c r="K61" s="47"/>
    </row>
    <row r="62" spans="1:13" s="3" customFormat="1">
      <c r="A62" s="17"/>
      <c r="B62" s="100" t="s">
        <v>221</v>
      </c>
      <c r="C62" s="101"/>
      <c r="D62" s="101"/>
      <c r="E62" s="102"/>
      <c r="F62" s="21">
        <f>SUM(F59:F61)</f>
        <v>0</v>
      </c>
      <c r="G62" s="17"/>
      <c r="H62" s="17"/>
      <c r="I62" s="17"/>
      <c r="J62" s="17"/>
      <c r="K62" s="17"/>
    </row>
    <row r="63" spans="1:13" s="3" customForma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3" s="3" customForma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s="3" customForma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s="3" customFormat="1" ht="24.95" customHeight="1">
      <c r="A66" s="15"/>
      <c r="B66" s="96" t="s">
        <v>222</v>
      </c>
      <c r="C66" s="96"/>
      <c r="D66" s="96"/>
      <c r="E66" s="96"/>
      <c r="F66" s="96"/>
      <c r="G66" s="96" t="s">
        <v>223</v>
      </c>
      <c r="H66" s="96"/>
      <c r="I66" s="96"/>
      <c r="J66" s="96"/>
      <c r="K66" s="96"/>
    </row>
    <row r="67" spans="1:11" s="3" customFormat="1" ht="24.95" customHeight="1">
      <c r="A67" s="15"/>
      <c r="B67" s="96" t="s">
        <v>224</v>
      </c>
      <c r="C67" s="96"/>
      <c r="D67" s="96"/>
      <c r="E67" s="96"/>
      <c r="F67" s="96"/>
      <c r="G67" s="96" t="s">
        <v>224</v>
      </c>
      <c r="H67" s="96"/>
      <c r="I67" s="96"/>
      <c r="J67" s="96"/>
      <c r="K67" s="96"/>
    </row>
    <row r="68" spans="1:11" s="3" customFormat="1" ht="24.95" customHeight="1">
      <c r="A68" s="15"/>
      <c r="B68" s="96" t="s">
        <v>225</v>
      </c>
      <c r="C68" s="96"/>
      <c r="D68" s="96"/>
      <c r="E68" s="96"/>
      <c r="F68" s="96"/>
      <c r="G68" s="96" t="s">
        <v>225</v>
      </c>
      <c r="H68" s="96"/>
      <c r="I68" s="96"/>
      <c r="J68" s="96"/>
      <c r="K68" s="96"/>
    </row>
    <row r="72" spans="1:11">
      <c r="G72" s="3"/>
    </row>
  </sheetData>
  <mergeCells count="33">
    <mergeCell ref="A8:I8"/>
    <mergeCell ref="A3:I3"/>
    <mergeCell ref="A4:I4"/>
    <mergeCell ref="A5:I5"/>
    <mergeCell ref="A6:I6"/>
    <mergeCell ref="A7:I7"/>
    <mergeCell ref="B19:F19"/>
    <mergeCell ref="A11:I11"/>
    <mergeCell ref="D13:G13"/>
    <mergeCell ref="D14:G14"/>
    <mergeCell ref="D15:G15"/>
    <mergeCell ref="A16:A17"/>
    <mergeCell ref="B16:B17"/>
    <mergeCell ref="C16:C17"/>
    <mergeCell ref="D16:D17"/>
    <mergeCell ref="E16:F16"/>
    <mergeCell ref="G16:K16"/>
    <mergeCell ref="B68:F68"/>
    <mergeCell ref="B67:F67"/>
    <mergeCell ref="B53:E53"/>
    <mergeCell ref="G66:K66"/>
    <mergeCell ref="G67:K67"/>
    <mergeCell ref="G68:K68"/>
    <mergeCell ref="B54:E54"/>
    <mergeCell ref="B55:E55"/>
    <mergeCell ref="B56:E56"/>
    <mergeCell ref="B57:E57"/>
    <mergeCell ref="B66:F66"/>
    <mergeCell ref="B58:E58"/>
    <mergeCell ref="B59:E59"/>
    <mergeCell ref="B60:E60"/>
    <mergeCell ref="B61:E61"/>
    <mergeCell ref="B62:E62"/>
  </mergeCells>
  <pageMargins left="0.6" right="0.3" top="0.6" bottom="0.4" header="0.3" footer="0"/>
  <pageSetup paperSize="9" fitToHeight="0" orientation="landscape" r:id="rId1"/>
  <headerFooter alignWithMargins="0">
    <oddHeader>&amp;LСтроительные Технологии - Смета™ ред. 7.7.10&amp;C- &amp;P -&amp;R228_дцк_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opLeftCell="A61" zoomScale="115" zoomScaleNormal="115" workbookViewId="0">
      <selection activeCell="B86" sqref="B86:E86"/>
    </sheetView>
  </sheetViews>
  <sheetFormatPr defaultRowHeight="12.75"/>
  <cols>
    <col min="1" max="1" width="3.7109375" customWidth="1"/>
    <col min="2" max="2" width="22.7109375" customWidth="1"/>
    <col min="3" max="5" width="8.7109375" customWidth="1"/>
    <col min="6" max="6" width="10.7109375" customWidth="1"/>
    <col min="7" max="7" width="22.7109375" customWidth="1"/>
    <col min="8" max="8" width="11.5703125" customWidth="1"/>
    <col min="9" max="10" width="8.7109375" customWidth="1"/>
    <col min="11" max="11" width="10.7109375" customWidth="1"/>
  </cols>
  <sheetData>
    <row r="1" spans="1:11" s="3" customFormat="1"/>
    <row r="2" spans="1:11" s="3" customFormat="1"/>
    <row r="3" spans="1:11" s="3" customFormat="1">
      <c r="A3" s="119" t="s">
        <v>0</v>
      </c>
      <c r="B3" s="119"/>
      <c r="C3" s="119"/>
      <c r="D3" s="119"/>
      <c r="E3" s="119"/>
      <c r="F3" s="119"/>
      <c r="G3" s="119"/>
      <c r="H3" s="119"/>
      <c r="I3" s="119"/>
    </row>
    <row r="4" spans="1:11" s="3" customFormat="1">
      <c r="A4" s="119" t="s">
        <v>1</v>
      </c>
      <c r="B4" s="119"/>
      <c r="C4" s="119"/>
      <c r="D4" s="119"/>
      <c r="E4" s="119"/>
      <c r="F4" s="119"/>
      <c r="G4" s="119"/>
      <c r="H4" s="119"/>
      <c r="I4" s="119"/>
    </row>
    <row r="5" spans="1:11" s="3" customFormat="1">
      <c r="A5" s="119" t="s">
        <v>2</v>
      </c>
      <c r="B5" s="119"/>
      <c r="C5" s="119"/>
      <c r="D5" s="119"/>
      <c r="E5" s="119"/>
      <c r="F5" s="119"/>
      <c r="G5" s="119"/>
      <c r="H5" s="119"/>
      <c r="I5" s="119"/>
    </row>
    <row r="6" spans="1:11" s="3" customFormat="1">
      <c r="A6" s="119" t="s">
        <v>3</v>
      </c>
      <c r="B6" s="119"/>
      <c r="C6" s="119"/>
      <c r="D6" s="119"/>
      <c r="E6" s="119"/>
      <c r="F6" s="119"/>
      <c r="G6" s="119"/>
      <c r="H6" s="119"/>
      <c r="I6" s="119"/>
    </row>
    <row r="7" spans="1:11" s="3" customFormat="1">
      <c r="A7" s="120" t="s">
        <v>330</v>
      </c>
      <c r="B7" s="120"/>
      <c r="C7" s="120"/>
      <c r="D7" s="120"/>
      <c r="E7" s="120"/>
      <c r="F7" s="120"/>
      <c r="G7" s="120"/>
      <c r="H7" s="120"/>
      <c r="I7" s="120"/>
    </row>
    <row r="8" spans="1:11" s="3" customFormat="1">
      <c r="A8" s="119" t="s">
        <v>4</v>
      </c>
      <c r="B8" s="119"/>
      <c r="C8" s="119"/>
      <c r="D8" s="119"/>
      <c r="E8" s="119"/>
      <c r="F8" s="119"/>
      <c r="G8" s="119"/>
      <c r="H8" s="119"/>
      <c r="I8" s="119"/>
    </row>
    <row r="9" spans="1:11" s="3" customFormat="1"/>
    <row r="10" spans="1:11" s="3" customFormat="1"/>
    <row r="11" spans="1:11" s="3" customFormat="1" ht="24.95" customHeight="1">
      <c r="A11" s="123" t="s">
        <v>5</v>
      </c>
      <c r="B11" s="123"/>
      <c r="C11" s="123"/>
      <c r="D11" s="123"/>
      <c r="E11" s="123"/>
      <c r="F11" s="123"/>
      <c r="G11" s="123"/>
      <c r="H11" s="123"/>
      <c r="I11" s="123"/>
    </row>
    <row r="12" spans="1:11" s="3" customFormat="1"/>
    <row r="13" spans="1:11" s="3" customFormat="1">
      <c r="D13" s="124" t="s">
        <v>6</v>
      </c>
      <c r="E13" s="124"/>
      <c r="F13" s="124"/>
      <c r="G13" s="124"/>
      <c r="H13" s="13">
        <f>F94</f>
        <v>0</v>
      </c>
      <c r="I13" s="64"/>
    </row>
    <row r="14" spans="1:11" s="3" customFormat="1">
      <c r="D14" s="124" t="s">
        <v>7</v>
      </c>
      <c r="E14" s="124"/>
      <c r="F14" s="124"/>
      <c r="G14" s="124"/>
      <c r="H14" s="13">
        <f>K85</f>
        <v>0</v>
      </c>
      <c r="I14" s="64"/>
    </row>
    <row r="15" spans="1:11" s="3" customFormat="1">
      <c r="D15" s="124" t="s">
        <v>8</v>
      </c>
      <c r="E15" s="124"/>
      <c r="F15" s="124"/>
      <c r="G15" s="124"/>
      <c r="H15" s="13">
        <f>F88</f>
        <v>0</v>
      </c>
      <c r="I15" s="64"/>
    </row>
    <row r="16" spans="1:11" s="3" customFormat="1">
      <c r="A16" s="121" t="s">
        <v>9</v>
      </c>
      <c r="B16" s="121" t="s">
        <v>10</v>
      </c>
      <c r="C16" s="121" t="s">
        <v>11</v>
      </c>
      <c r="D16" s="121" t="s">
        <v>12</v>
      </c>
      <c r="E16" s="121" t="s">
        <v>232</v>
      </c>
      <c r="F16" s="121"/>
      <c r="G16" s="121" t="s">
        <v>233</v>
      </c>
      <c r="H16" s="121"/>
      <c r="I16" s="121"/>
      <c r="J16" s="121"/>
      <c r="K16" s="121"/>
    </row>
    <row r="17" spans="1:11" s="3" customFormat="1" ht="22.5">
      <c r="A17" s="121"/>
      <c r="B17" s="121"/>
      <c r="C17" s="121"/>
      <c r="D17" s="121"/>
      <c r="E17" s="65" t="s">
        <v>13</v>
      </c>
      <c r="F17" s="65" t="s">
        <v>14</v>
      </c>
      <c r="G17" s="65" t="s">
        <v>15</v>
      </c>
      <c r="H17" s="65" t="s">
        <v>11</v>
      </c>
      <c r="I17" s="65" t="s">
        <v>12</v>
      </c>
      <c r="J17" s="65" t="s">
        <v>16</v>
      </c>
      <c r="K17" s="65" t="s">
        <v>17</v>
      </c>
    </row>
    <row r="18" spans="1:11" s="3" customFormat="1">
      <c r="A18" s="65">
        <v>1</v>
      </c>
      <c r="B18" s="65">
        <v>2</v>
      </c>
      <c r="C18" s="65">
        <v>4</v>
      </c>
      <c r="D18" s="65">
        <v>5</v>
      </c>
      <c r="E18" s="65">
        <v>6</v>
      </c>
      <c r="F18" s="65">
        <v>7</v>
      </c>
      <c r="G18" s="65">
        <v>8</v>
      </c>
      <c r="H18" s="65">
        <v>9</v>
      </c>
      <c r="I18" s="65">
        <v>11</v>
      </c>
      <c r="J18" s="65">
        <v>12</v>
      </c>
      <c r="K18" s="65">
        <v>13</v>
      </c>
    </row>
    <row r="19" spans="1:11" s="5" customFormat="1">
      <c r="A19" s="14"/>
      <c r="B19" s="122" t="s">
        <v>258</v>
      </c>
      <c r="C19" s="122"/>
      <c r="D19" s="122"/>
      <c r="E19" s="122"/>
      <c r="F19" s="122"/>
      <c r="G19" s="14"/>
      <c r="H19" s="14"/>
      <c r="I19" s="14"/>
      <c r="J19" s="14"/>
      <c r="K19" s="14"/>
    </row>
    <row r="20" spans="1:11" s="3" customFormat="1" ht="48">
      <c r="A20" s="1">
        <v>1</v>
      </c>
      <c r="B20" s="63" t="s">
        <v>62</v>
      </c>
      <c r="C20" s="1" t="s">
        <v>29</v>
      </c>
      <c r="D20" s="6">
        <v>14.5</v>
      </c>
      <c r="E20" s="9"/>
      <c r="F20" s="10"/>
      <c r="G20" s="63" t="s">
        <v>63</v>
      </c>
      <c r="H20" s="1" t="s">
        <v>23</v>
      </c>
      <c r="I20" s="8">
        <f>(D20*1.5)*1.12</f>
        <v>24.360000000000003</v>
      </c>
      <c r="J20" s="9"/>
      <c r="K20" s="10"/>
    </row>
    <row r="21" spans="1:11" s="3" customFormat="1">
      <c r="A21" s="1"/>
      <c r="B21" s="63" t="s">
        <v>60</v>
      </c>
      <c r="C21" s="1" t="s">
        <v>27</v>
      </c>
      <c r="D21" s="6">
        <v>3</v>
      </c>
      <c r="E21" s="9"/>
      <c r="F21" s="10"/>
      <c r="G21" s="63"/>
      <c r="H21" s="1"/>
      <c r="I21" s="8">
        <v>0</v>
      </c>
      <c r="J21" s="9"/>
      <c r="K21" s="10"/>
    </row>
    <row r="22" spans="1:11" s="3" customFormat="1" ht="48">
      <c r="A22" s="1">
        <v>2</v>
      </c>
      <c r="B22" s="63" t="s">
        <v>64</v>
      </c>
      <c r="C22" s="1" t="s">
        <v>29</v>
      </c>
      <c r="D22" s="6">
        <v>14.5</v>
      </c>
      <c r="E22" s="9"/>
      <c r="F22" s="10"/>
      <c r="G22" s="63" t="s">
        <v>110</v>
      </c>
      <c r="H22" s="1" t="s">
        <v>23</v>
      </c>
      <c r="I22" s="8">
        <f>(1.6*D22)*1.12</f>
        <v>25.984000000000005</v>
      </c>
      <c r="J22" s="9"/>
      <c r="K22" s="10"/>
    </row>
    <row r="23" spans="1:11" s="3" customFormat="1">
      <c r="A23" s="1"/>
      <c r="B23" s="63" t="s">
        <v>60</v>
      </c>
      <c r="C23" s="1" t="s">
        <v>27</v>
      </c>
      <c r="D23" s="6">
        <v>3</v>
      </c>
      <c r="E23" s="9"/>
      <c r="F23" s="10"/>
      <c r="G23" s="63"/>
      <c r="H23" s="1"/>
      <c r="I23" s="6">
        <v>0</v>
      </c>
      <c r="J23" s="9"/>
      <c r="K23" s="10"/>
    </row>
    <row r="24" spans="1:11" s="3" customFormat="1" ht="24">
      <c r="A24" s="1">
        <v>3</v>
      </c>
      <c r="B24" s="63" t="s">
        <v>65</v>
      </c>
      <c r="C24" s="1" t="s">
        <v>29</v>
      </c>
      <c r="D24" s="6">
        <v>14.5</v>
      </c>
      <c r="E24" s="9"/>
      <c r="F24" s="10"/>
      <c r="G24" s="63" t="s">
        <v>244</v>
      </c>
      <c r="H24" s="1" t="s">
        <v>29</v>
      </c>
      <c r="I24" s="41">
        <f>D24*1.02</f>
        <v>14.790000000000001</v>
      </c>
      <c r="J24" s="9"/>
      <c r="K24" s="10"/>
    </row>
    <row r="25" spans="1:11" s="3" customFormat="1" ht="36">
      <c r="A25" s="1"/>
      <c r="B25" s="63"/>
      <c r="C25" s="1"/>
      <c r="D25" s="6">
        <v>0</v>
      </c>
      <c r="E25" s="9"/>
      <c r="F25" s="10"/>
      <c r="G25" s="63" t="s">
        <v>235</v>
      </c>
      <c r="H25" s="1" t="s">
        <v>23</v>
      </c>
      <c r="I25" s="41">
        <f>(D24*40)/1000</f>
        <v>0.57999999999999996</v>
      </c>
      <c r="J25" s="9"/>
      <c r="K25" s="10"/>
    </row>
    <row r="26" spans="1:11" s="3" customFormat="1">
      <c r="A26" s="1"/>
      <c r="B26" s="63" t="s">
        <v>66</v>
      </c>
      <c r="C26" s="1" t="s">
        <v>27</v>
      </c>
      <c r="D26" s="6">
        <v>3</v>
      </c>
      <c r="E26" s="9"/>
      <c r="F26" s="10"/>
      <c r="G26" s="63"/>
      <c r="H26" s="1"/>
      <c r="I26" s="41">
        <v>0</v>
      </c>
      <c r="J26" s="9"/>
      <c r="K26" s="10"/>
    </row>
    <row r="27" spans="1:11" s="3" customFormat="1">
      <c r="A27" s="1">
        <v>4</v>
      </c>
      <c r="B27" s="63" t="s">
        <v>324</v>
      </c>
      <c r="C27" s="1" t="s">
        <v>29</v>
      </c>
      <c r="D27" s="6">
        <f>I28+I30+I29</f>
        <v>87</v>
      </c>
      <c r="E27" s="9"/>
      <c r="F27" s="10">
        <f t="shared" ref="F27:F32" si="0">D27*E27</f>
        <v>0</v>
      </c>
      <c r="G27" s="63"/>
      <c r="H27" s="1"/>
      <c r="I27" s="41">
        <v>0</v>
      </c>
      <c r="J27" s="9"/>
      <c r="K27" s="10"/>
    </row>
    <row r="28" spans="1:11" s="3" customFormat="1" ht="24">
      <c r="A28" s="1"/>
      <c r="B28" s="63"/>
      <c r="C28" s="1"/>
      <c r="D28" s="6">
        <v>0</v>
      </c>
      <c r="E28" s="9"/>
      <c r="F28" s="10">
        <f t="shared" si="0"/>
        <v>0</v>
      </c>
      <c r="G28" s="63" t="s">
        <v>353</v>
      </c>
      <c r="H28" s="1" t="s">
        <v>29</v>
      </c>
      <c r="I28" s="41">
        <v>61</v>
      </c>
      <c r="J28" s="9"/>
      <c r="K28" s="10"/>
    </row>
    <row r="29" spans="1:11" s="3" customFormat="1" ht="24">
      <c r="A29" s="1"/>
      <c r="B29" s="63"/>
      <c r="C29" s="1"/>
      <c r="D29" s="6">
        <v>0</v>
      </c>
      <c r="E29" s="9"/>
      <c r="F29" s="10">
        <f>D29*E29</f>
        <v>0</v>
      </c>
      <c r="G29" s="63" t="s">
        <v>354</v>
      </c>
      <c r="H29" s="1" t="s">
        <v>29</v>
      </c>
      <c r="I29" s="41">
        <v>14</v>
      </c>
      <c r="J29" s="9"/>
      <c r="K29" s="10"/>
    </row>
    <row r="30" spans="1:11" s="3" customFormat="1" ht="24">
      <c r="A30" s="1"/>
      <c r="B30" s="63"/>
      <c r="C30" s="1"/>
      <c r="D30" s="6">
        <v>0</v>
      </c>
      <c r="E30" s="9"/>
      <c r="F30" s="10">
        <f t="shared" si="0"/>
        <v>0</v>
      </c>
      <c r="G30" s="63" t="s">
        <v>325</v>
      </c>
      <c r="H30" s="1" t="s">
        <v>29</v>
      </c>
      <c r="I30" s="41">
        <v>12</v>
      </c>
      <c r="J30" s="9"/>
      <c r="K30" s="10"/>
    </row>
    <row r="31" spans="1:11" s="3" customFormat="1" ht="36">
      <c r="A31" s="1"/>
      <c r="B31" s="63"/>
      <c r="C31" s="1"/>
      <c r="D31" s="6">
        <v>0</v>
      </c>
      <c r="E31" s="9"/>
      <c r="F31" s="10">
        <f t="shared" si="0"/>
        <v>0</v>
      </c>
      <c r="G31" s="63" t="s">
        <v>326</v>
      </c>
      <c r="H31" s="1" t="s">
        <v>23</v>
      </c>
      <c r="I31" s="41">
        <f>D27*0.004</f>
        <v>0.34800000000000003</v>
      </c>
      <c r="J31" s="9"/>
      <c r="K31" s="10"/>
    </row>
    <row r="32" spans="1:11" s="3" customFormat="1" ht="24">
      <c r="A32" s="1"/>
      <c r="B32" s="63"/>
      <c r="C32" s="1"/>
      <c r="D32" s="6">
        <v>0</v>
      </c>
      <c r="E32" s="9"/>
      <c r="F32" s="10">
        <f t="shared" si="0"/>
        <v>0</v>
      </c>
      <c r="G32" s="63" t="s">
        <v>327</v>
      </c>
      <c r="H32" s="1" t="s">
        <v>21</v>
      </c>
      <c r="I32" s="39">
        <f>1.8*D27</f>
        <v>156.6</v>
      </c>
      <c r="J32" s="9"/>
      <c r="K32" s="10"/>
    </row>
    <row r="33" spans="1:11" s="3" customFormat="1">
      <c r="A33" s="1"/>
      <c r="B33" s="63" t="s">
        <v>67</v>
      </c>
      <c r="C33" s="1" t="s">
        <v>27</v>
      </c>
      <c r="D33" s="6">
        <v>5</v>
      </c>
      <c r="E33" s="9"/>
      <c r="F33" s="10"/>
      <c r="G33" s="63"/>
      <c r="H33" s="1"/>
      <c r="I33" s="6">
        <v>0</v>
      </c>
      <c r="J33" s="9"/>
      <c r="K33" s="10"/>
    </row>
    <row r="34" spans="1:11" s="3" customFormat="1">
      <c r="A34" s="1"/>
      <c r="B34" s="63" t="s">
        <v>68</v>
      </c>
      <c r="C34" s="1" t="s">
        <v>27</v>
      </c>
      <c r="D34" s="6">
        <v>2</v>
      </c>
      <c r="E34" s="9"/>
      <c r="F34" s="10"/>
      <c r="G34" s="63"/>
      <c r="H34" s="1"/>
      <c r="I34" s="6">
        <v>0</v>
      </c>
      <c r="J34" s="9"/>
      <c r="K34" s="10"/>
    </row>
    <row r="35" spans="1:11" s="3" customFormat="1" ht="60">
      <c r="A35" s="1">
        <v>5</v>
      </c>
      <c r="B35" s="63" t="s">
        <v>355</v>
      </c>
      <c r="C35" s="1" t="s">
        <v>356</v>
      </c>
      <c r="D35" s="6">
        <v>2.59</v>
      </c>
      <c r="E35" s="9"/>
      <c r="F35" s="10">
        <f t="shared" ref="F35:F47" si="1">D35*E35</f>
        <v>0</v>
      </c>
      <c r="G35" s="63" t="s">
        <v>36</v>
      </c>
      <c r="H35" s="1" t="s">
        <v>29</v>
      </c>
      <c r="I35" s="41">
        <f>0.3*D35</f>
        <v>0.77699999999999991</v>
      </c>
      <c r="J35" s="9"/>
      <c r="K35" s="10"/>
    </row>
    <row r="36" spans="1:11" s="3" customFormat="1" ht="24">
      <c r="A36" s="1"/>
      <c r="B36" s="63"/>
      <c r="C36" s="1"/>
      <c r="D36" s="6">
        <v>0</v>
      </c>
      <c r="E36" s="9"/>
      <c r="F36" s="10">
        <f t="shared" si="1"/>
        <v>0</v>
      </c>
      <c r="G36" s="63" t="s">
        <v>34</v>
      </c>
      <c r="H36" s="1" t="s">
        <v>35</v>
      </c>
      <c r="I36" s="39">
        <f>18*D35</f>
        <v>46.62</v>
      </c>
      <c r="J36" s="9"/>
      <c r="K36" s="10"/>
    </row>
    <row r="37" spans="1:11" s="3" customFormat="1" ht="24">
      <c r="A37" s="1"/>
      <c r="B37" s="63"/>
      <c r="C37" s="1"/>
      <c r="D37" s="6">
        <v>0</v>
      </c>
      <c r="E37" s="9"/>
      <c r="F37" s="10">
        <f t="shared" si="1"/>
        <v>0</v>
      </c>
      <c r="G37" s="63" t="s">
        <v>237</v>
      </c>
      <c r="H37" s="1" t="s">
        <v>37</v>
      </c>
      <c r="I37" s="41">
        <f>1.5*D35</f>
        <v>3.8849999999999998</v>
      </c>
      <c r="J37" s="9"/>
      <c r="K37" s="10"/>
    </row>
    <row r="38" spans="1:11" s="3" customFormat="1" ht="84">
      <c r="A38" s="1">
        <v>6</v>
      </c>
      <c r="B38" s="63" t="s">
        <v>357</v>
      </c>
      <c r="C38" s="1" t="s">
        <v>43</v>
      </c>
      <c r="D38" s="6">
        <f>I40+I41</f>
        <v>0.36</v>
      </c>
      <c r="E38" s="9"/>
      <c r="F38" s="10">
        <f t="shared" si="1"/>
        <v>0</v>
      </c>
      <c r="G38" s="63" t="s">
        <v>44</v>
      </c>
      <c r="H38" s="1" t="s">
        <v>23</v>
      </c>
      <c r="I38" s="6">
        <f>0.003*D38</f>
        <v>1.08E-3</v>
      </c>
      <c r="J38" s="9"/>
      <c r="K38" s="10"/>
    </row>
    <row r="39" spans="1:11" s="3" customFormat="1" ht="24">
      <c r="A39" s="31"/>
      <c r="B39" s="32"/>
      <c r="C39" s="31"/>
      <c r="D39" s="33">
        <v>0</v>
      </c>
      <c r="E39" s="34"/>
      <c r="F39" s="10">
        <f t="shared" si="1"/>
        <v>0</v>
      </c>
      <c r="G39" s="63" t="s">
        <v>358</v>
      </c>
      <c r="H39" s="1" t="s">
        <v>23</v>
      </c>
      <c r="I39" s="6">
        <f>0.0009*D38</f>
        <v>3.2399999999999996E-4</v>
      </c>
      <c r="J39" s="9"/>
      <c r="K39" s="10"/>
    </row>
    <row r="40" spans="1:11" s="3" customFormat="1" ht="36">
      <c r="A40" s="1"/>
      <c r="B40" s="63"/>
      <c r="C40" s="1"/>
      <c r="D40" s="6">
        <v>0</v>
      </c>
      <c r="E40" s="9"/>
      <c r="F40" s="10">
        <f t="shared" si="1"/>
        <v>0</v>
      </c>
      <c r="G40" s="63" t="s">
        <v>352</v>
      </c>
      <c r="H40" s="1" t="s">
        <v>23</v>
      </c>
      <c r="I40" s="6">
        <v>0.308</v>
      </c>
      <c r="J40" s="9"/>
      <c r="K40" s="10"/>
    </row>
    <row r="41" spans="1:11" s="3" customFormat="1" ht="36">
      <c r="A41" s="1"/>
      <c r="B41" s="63"/>
      <c r="C41" s="1"/>
      <c r="D41" s="6">
        <v>0</v>
      </c>
      <c r="E41" s="9"/>
      <c r="F41" s="10">
        <f t="shared" si="1"/>
        <v>0</v>
      </c>
      <c r="G41" s="63" t="s">
        <v>46</v>
      </c>
      <c r="H41" s="1" t="s">
        <v>23</v>
      </c>
      <c r="I41" s="6">
        <v>5.1999999999999998E-2</v>
      </c>
      <c r="J41" s="9"/>
      <c r="K41" s="10"/>
    </row>
    <row r="42" spans="1:11" s="3" customFormat="1">
      <c r="A42" s="1"/>
      <c r="B42" s="63"/>
      <c r="C42" s="1"/>
      <c r="D42" s="6">
        <v>0</v>
      </c>
      <c r="E42" s="9"/>
      <c r="F42" s="10">
        <f t="shared" si="1"/>
        <v>0</v>
      </c>
      <c r="G42" s="63" t="s">
        <v>20</v>
      </c>
      <c r="H42" s="1" t="s">
        <v>21</v>
      </c>
      <c r="I42" s="6">
        <v>6</v>
      </c>
      <c r="J42" s="9"/>
      <c r="K42" s="10"/>
    </row>
    <row r="43" spans="1:11" s="3" customFormat="1" ht="48">
      <c r="A43" s="1">
        <v>7</v>
      </c>
      <c r="B43" s="63" t="s">
        <v>359</v>
      </c>
      <c r="C43" s="1" t="s">
        <v>43</v>
      </c>
      <c r="D43" s="6">
        <f>D38</f>
        <v>0.36</v>
      </c>
      <c r="E43" s="9"/>
      <c r="F43" s="10">
        <f t="shared" si="1"/>
        <v>0</v>
      </c>
      <c r="G43" s="63" t="s">
        <v>44</v>
      </c>
      <c r="H43" s="1" t="s">
        <v>23</v>
      </c>
      <c r="I43" s="6">
        <f>0.0039*D43</f>
        <v>1.4039999999999999E-3</v>
      </c>
      <c r="J43" s="9"/>
      <c r="K43" s="10"/>
    </row>
    <row r="44" spans="1:11" s="3" customFormat="1" ht="36">
      <c r="A44" s="1"/>
      <c r="B44" s="63"/>
      <c r="C44" s="1"/>
      <c r="D44" s="6">
        <v>0</v>
      </c>
      <c r="E44" s="9"/>
      <c r="F44" s="10">
        <f t="shared" si="1"/>
        <v>0</v>
      </c>
      <c r="G44" s="63" t="s">
        <v>48</v>
      </c>
      <c r="H44" s="1" t="s">
        <v>21</v>
      </c>
      <c r="I44" s="8">
        <f>285*D43</f>
        <v>102.6</v>
      </c>
      <c r="J44" s="9"/>
      <c r="K44" s="10"/>
    </row>
    <row r="45" spans="1:11" s="3" customFormat="1" ht="72">
      <c r="A45" s="1">
        <v>8</v>
      </c>
      <c r="B45" s="63" t="s">
        <v>360</v>
      </c>
      <c r="C45" s="1" t="s">
        <v>50</v>
      </c>
      <c r="D45" s="6">
        <f>D35</f>
        <v>2.59</v>
      </c>
      <c r="E45" s="9"/>
      <c r="F45" s="10">
        <f t="shared" si="1"/>
        <v>0</v>
      </c>
      <c r="G45" s="63" t="s">
        <v>371</v>
      </c>
      <c r="H45" s="1" t="s">
        <v>29</v>
      </c>
      <c r="I45" s="6">
        <f>1.02*D45</f>
        <v>2.6417999999999999</v>
      </c>
      <c r="J45" s="9"/>
      <c r="K45" s="10"/>
    </row>
    <row r="46" spans="1:11" s="3" customFormat="1">
      <c r="A46" s="1"/>
      <c r="B46" s="63" t="s">
        <v>361</v>
      </c>
      <c r="C46" s="1" t="s">
        <v>27</v>
      </c>
      <c r="D46" s="6">
        <v>1</v>
      </c>
      <c r="E46" s="9"/>
      <c r="F46" s="10">
        <f t="shared" si="1"/>
        <v>0</v>
      </c>
      <c r="G46" s="63"/>
      <c r="H46" s="1"/>
      <c r="I46" s="6">
        <v>0</v>
      </c>
      <c r="J46" s="9"/>
      <c r="K46" s="10">
        <f>I46*J46</f>
        <v>0</v>
      </c>
    </row>
    <row r="47" spans="1:11" s="3" customFormat="1">
      <c r="A47" s="1"/>
      <c r="B47" s="63" t="s">
        <v>68</v>
      </c>
      <c r="C47" s="1" t="s">
        <v>27</v>
      </c>
      <c r="D47" s="6">
        <v>1</v>
      </c>
      <c r="E47" s="9"/>
      <c r="F47" s="10">
        <f t="shared" si="1"/>
        <v>0</v>
      </c>
      <c r="G47" s="63"/>
      <c r="H47" s="1"/>
      <c r="I47" s="6">
        <v>0</v>
      </c>
      <c r="J47" s="9"/>
      <c r="K47" s="10">
        <f>I47*J47</f>
        <v>0</v>
      </c>
    </row>
    <row r="48" spans="1:11" s="3" customFormat="1" ht="84">
      <c r="A48" s="1">
        <v>9</v>
      </c>
      <c r="B48" s="63" t="s">
        <v>372</v>
      </c>
      <c r="C48" s="1" t="s">
        <v>356</v>
      </c>
      <c r="D48" s="6">
        <v>31</v>
      </c>
      <c r="E48" s="9"/>
      <c r="F48" s="10"/>
      <c r="G48" s="63" t="s">
        <v>373</v>
      </c>
      <c r="H48" s="1" t="s">
        <v>103</v>
      </c>
      <c r="I48" s="39">
        <f>D48/0.2</f>
        <v>155</v>
      </c>
      <c r="J48" s="9"/>
      <c r="K48" s="10"/>
    </row>
    <row r="49" spans="1:11" s="3" customFormat="1" ht="24">
      <c r="A49" s="1"/>
      <c r="B49" s="63"/>
      <c r="C49" s="1"/>
      <c r="D49" s="6">
        <v>0</v>
      </c>
      <c r="E49" s="9"/>
      <c r="F49" s="10"/>
      <c r="G49" s="63" t="s">
        <v>34</v>
      </c>
      <c r="H49" s="1" t="s">
        <v>35</v>
      </c>
      <c r="I49" s="39">
        <f>I48*1.05</f>
        <v>162.75</v>
      </c>
      <c r="J49" s="9"/>
      <c r="K49" s="10"/>
    </row>
    <row r="50" spans="1:11" s="3" customFormat="1" ht="84">
      <c r="A50" s="1">
        <v>10</v>
      </c>
      <c r="B50" s="63" t="s">
        <v>374</v>
      </c>
      <c r="C50" s="1" t="s">
        <v>43</v>
      </c>
      <c r="D50" s="6">
        <f>I51+I52+I53+I54</f>
        <v>3.4999999999999996</v>
      </c>
      <c r="E50" s="9"/>
      <c r="F50" s="10"/>
      <c r="G50" s="63" t="s">
        <v>44</v>
      </c>
      <c r="H50" s="1" t="s">
        <v>23</v>
      </c>
      <c r="I50" s="41">
        <f>0.0046*D50</f>
        <v>1.6099999999999996E-2</v>
      </c>
      <c r="J50" s="9"/>
      <c r="K50" s="10"/>
    </row>
    <row r="51" spans="1:11" s="3" customFormat="1" ht="36">
      <c r="A51" s="1"/>
      <c r="B51" s="63"/>
      <c r="C51" s="1"/>
      <c r="D51" s="6"/>
      <c r="E51" s="9"/>
      <c r="F51" s="10"/>
      <c r="G51" s="63" t="s">
        <v>381</v>
      </c>
      <c r="H51" s="1" t="s">
        <v>23</v>
      </c>
      <c r="I51" s="70">
        <v>9.2999999999999999E-2</v>
      </c>
      <c r="J51" s="9"/>
      <c r="K51" s="10"/>
    </row>
    <row r="52" spans="1:11" s="3" customFormat="1" ht="36">
      <c r="A52" s="1"/>
      <c r="B52" s="63"/>
      <c r="C52" s="1"/>
      <c r="D52" s="6"/>
      <c r="E52" s="9"/>
      <c r="F52" s="10"/>
      <c r="G52" s="63" t="s">
        <v>375</v>
      </c>
      <c r="H52" s="1" t="s">
        <v>23</v>
      </c>
      <c r="I52" s="71">
        <v>3.2639999999999998</v>
      </c>
      <c r="J52" s="9"/>
      <c r="K52" s="10"/>
    </row>
    <row r="53" spans="1:11" s="3" customFormat="1" ht="36">
      <c r="A53" s="1"/>
      <c r="B53" s="63"/>
      <c r="C53" s="1"/>
      <c r="D53" s="6"/>
      <c r="E53" s="9"/>
      <c r="F53" s="10"/>
      <c r="G53" s="63" t="s">
        <v>376</v>
      </c>
      <c r="H53" s="1" t="s">
        <v>23</v>
      </c>
      <c r="I53" s="71">
        <v>8.1000000000000003E-2</v>
      </c>
      <c r="J53" s="9"/>
      <c r="K53" s="10"/>
    </row>
    <row r="54" spans="1:11" s="3" customFormat="1" ht="36">
      <c r="A54" s="31"/>
      <c r="B54" s="32"/>
      <c r="C54" s="31"/>
      <c r="D54" s="33"/>
      <c r="E54" s="34"/>
      <c r="F54" s="10"/>
      <c r="G54" s="63" t="s">
        <v>326</v>
      </c>
      <c r="H54" s="1" t="s">
        <v>23</v>
      </c>
      <c r="I54" s="71">
        <v>6.2E-2</v>
      </c>
      <c r="J54" s="9"/>
      <c r="K54" s="10"/>
    </row>
    <row r="55" spans="1:11" s="3" customFormat="1" ht="24">
      <c r="A55" s="31"/>
      <c r="B55" s="32"/>
      <c r="C55" s="31"/>
      <c r="D55" s="33">
        <v>0</v>
      </c>
      <c r="E55" s="34"/>
      <c r="F55" s="10"/>
      <c r="G55" s="63" t="s">
        <v>358</v>
      </c>
      <c r="H55" s="1" t="s">
        <v>23</v>
      </c>
      <c r="I55" s="70">
        <f>0.0009*D50</f>
        <v>3.1499999999999996E-3</v>
      </c>
      <c r="J55" s="9"/>
      <c r="K55" s="10"/>
    </row>
    <row r="56" spans="1:11" s="3" customFormat="1">
      <c r="A56" s="1"/>
      <c r="B56" s="63"/>
      <c r="C56" s="1"/>
      <c r="D56" s="6">
        <v>0</v>
      </c>
      <c r="E56" s="9"/>
      <c r="F56" s="10"/>
      <c r="G56" s="63" t="s">
        <v>20</v>
      </c>
      <c r="H56" s="1" t="s">
        <v>21</v>
      </c>
      <c r="I56" s="39">
        <v>25</v>
      </c>
      <c r="J56" s="9"/>
      <c r="K56" s="10"/>
    </row>
    <row r="57" spans="1:11" s="3" customFormat="1" ht="48">
      <c r="A57" s="1">
        <v>11</v>
      </c>
      <c r="B57" s="63" t="s">
        <v>377</v>
      </c>
      <c r="C57" s="1" t="s">
        <v>43</v>
      </c>
      <c r="D57" s="6">
        <f>D50</f>
        <v>3.4999999999999996</v>
      </c>
      <c r="E57" s="9"/>
      <c r="F57" s="10"/>
      <c r="G57" s="63" t="s">
        <v>44</v>
      </c>
      <c r="H57" s="1" t="s">
        <v>23</v>
      </c>
      <c r="I57" s="41">
        <f>0.0039*D57</f>
        <v>1.3649999999999997E-2</v>
      </c>
      <c r="J57" s="9"/>
      <c r="K57" s="10"/>
    </row>
    <row r="58" spans="1:11" s="3" customFormat="1" ht="72">
      <c r="A58" s="1">
        <v>12</v>
      </c>
      <c r="B58" s="63" t="s">
        <v>378</v>
      </c>
      <c r="C58" s="1" t="s">
        <v>379</v>
      </c>
      <c r="D58" s="6">
        <f>D48</f>
        <v>31</v>
      </c>
      <c r="E58" s="9"/>
      <c r="F58" s="10"/>
      <c r="G58" s="63" t="s">
        <v>380</v>
      </c>
      <c r="H58" s="1" t="s">
        <v>29</v>
      </c>
      <c r="I58" s="41">
        <f>D58*1.02</f>
        <v>31.62</v>
      </c>
      <c r="J58" s="9"/>
      <c r="K58" s="10"/>
    </row>
    <row r="59" spans="1:11" s="3" customFormat="1">
      <c r="A59" s="1"/>
      <c r="B59" s="63" t="s">
        <v>236</v>
      </c>
      <c r="C59" s="1" t="s">
        <v>27</v>
      </c>
      <c r="D59" s="6">
        <v>2</v>
      </c>
      <c r="E59" s="9"/>
      <c r="F59" s="10"/>
      <c r="G59" s="63"/>
      <c r="H59" s="1"/>
      <c r="I59" s="6">
        <v>0</v>
      </c>
      <c r="J59" s="9"/>
      <c r="K59" s="10"/>
    </row>
    <row r="60" spans="1:11" s="3" customFormat="1" ht="36">
      <c r="A60" s="1">
        <v>13</v>
      </c>
      <c r="B60" s="63" t="s">
        <v>382</v>
      </c>
      <c r="C60" s="1" t="s">
        <v>29</v>
      </c>
      <c r="D60" s="6">
        <v>3.5</v>
      </c>
      <c r="E60" s="9"/>
      <c r="F60" s="10"/>
      <c r="G60" s="63" t="s">
        <v>380</v>
      </c>
      <c r="H60" s="1" t="s">
        <v>29</v>
      </c>
      <c r="I60" s="40">
        <f>1.02*D60</f>
        <v>3.5700000000000003</v>
      </c>
      <c r="J60" s="9"/>
      <c r="K60" s="10"/>
    </row>
    <row r="61" spans="1:11" s="3" customFormat="1" ht="36">
      <c r="A61" s="1"/>
      <c r="B61" s="63"/>
      <c r="C61" s="1"/>
      <c r="D61" s="6">
        <v>0</v>
      </c>
      <c r="E61" s="9"/>
      <c r="F61" s="10"/>
      <c r="G61" s="63" t="s">
        <v>45</v>
      </c>
      <c r="H61" s="1" t="s">
        <v>23</v>
      </c>
      <c r="I61" s="6">
        <v>0.223</v>
      </c>
      <c r="J61" s="9"/>
      <c r="K61" s="10"/>
    </row>
    <row r="62" spans="1:11" s="3" customFormat="1" ht="36">
      <c r="A62" s="1"/>
      <c r="B62" s="63"/>
      <c r="C62" s="1"/>
      <c r="D62" s="6">
        <v>0</v>
      </c>
      <c r="E62" s="9"/>
      <c r="F62" s="10"/>
      <c r="G62" s="63" t="s">
        <v>70</v>
      </c>
      <c r="H62" s="1" t="s">
        <v>23</v>
      </c>
      <c r="I62" s="6">
        <v>5.8999999999999997E-2</v>
      </c>
      <c r="J62" s="9"/>
      <c r="K62" s="10"/>
    </row>
    <row r="63" spans="1:11" s="3" customFormat="1" ht="24">
      <c r="A63" s="1"/>
      <c r="B63" s="63"/>
      <c r="C63" s="1"/>
      <c r="D63" s="6">
        <v>0</v>
      </c>
      <c r="E63" s="9"/>
      <c r="F63" s="10"/>
      <c r="G63" s="63" t="s">
        <v>331</v>
      </c>
      <c r="H63" s="1" t="s">
        <v>23</v>
      </c>
      <c r="I63" s="6">
        <v>8.9999999999999993E-3</v>
      </c>
      <c r="J63" s="9"/>
      <c r="K63" s="10"/>
    </row>
    <row r="64" spans="1:11" s="3" customFormat="1">
      <c r="A64" s="1"/>
      <c r="B64" s="63"/>
      <c r="C64" s="1"/>
      <c r="D64" s="6">
        <v>0</v>
      </c>
      <c r="E64" s="9"/>
      <c r="F64" s="10"/>
      <c r="G64" s="63" t="s">
        <v>20</v>
      </c>
      <c r="H64" s="1" t="s">
        <v>21</v>
      </c>
      <c r="I64" s="6">
        <v>5</v>
      </c>
      <c r="J64" s="9"/>
      <c r="K64" s="10"/>
    </row>
    <row r="65" spans="1:11" s="3" customFormat="1">
      <c r="A65" s="1"/>
      <c r="B65" s="63" t="s">
        <v>68</v>
      </c>
      <c r="C65" s="1" t="s">
        <v>27</v>
      </c>
      <c r="D65" s="6">
        <v>1</v>
      </c>
      <c r="E65" s="9"/>
      <c r="F65" s="10"/>
      <c r="G65" s="63"/>
      <c r="H65" s="1"/>
      <c r="I65" s="6">
        <v>0</v>
      </c>
      <c r="J65" s="9"/>
      <c r="K65" s="10"/>
    </row>
    <row r="66" spans="1:11" s="3" customFormat="1" ht="24">
      <c r="A66" s="1">
        <v>14</v>
      </c>
      <c r="B66" s="63" t="s">
        <v>328</v>
      </c>
      <c r="C66" s="1" t="s">
        <v>21</v>
      </c>
      <c r="D66" s="6">
        <v>7</v>
      </c>
      <c r="E66" s="9"/>
      <c r="F66" s="10"/>
      <c r="G66" s="63"/>
      <c r="H66" s="1"/>
      <c r="I66" s="6">
        <v>0</v>
      </c>
      <c r="J66" s="9"/>
      <c r="K66" s="10"/>
    </row>
    <row r="67" spans="1:11" s="3" customFormat="1">
      <c r="A67" s="1"/>
      <c r="B67" s="63"/>
      <c r="C67" s="1"/>
      <c r="D67" s="6">
        <v>0</v>
      </c>
      <c r="E67" s="9"/>
      <c r="F67" s="10"/>
      <c r="G67" s="63" t="s">
        <v>71</v>
      </c>
      <c r="H67" s="1" t="s">
        <v>23</v>
      </c>
      <c r="I67" s="6">
        <f>0.023*D66</f>
        <v>0.161</v>
      </c>
      <c r="J67" s="9"/>
      <c r="K67" s="10"/>
    </row>
    <row r="68" spans="1:11" s="3" customFormat="1" ht="24">
      <c r="A68" s="1"/>
      <c r="B68" s="63"/>
      <c r="C68" s="1"/>
      <c r="D68" s="6">
        <v>0</v>
      </c>
      <c r="E68" s="9"/>
      <c r="F68" s="10"/>
      <c r="G68" s="63" t="s">
        <v>72</v>
      </c>
      <c r="H68" s="1" t="s">
        <v>23</v>
      </c>
      <c r="I68" s="6">
        <v>1E-3</v>
      </c>
      <c r="J68" s="9"/>
      <c r="K68" s="10"/>
    </row>
    <row r="69" spans="1:11" s="3" customFormat="1" ht="24">
      <c r="A69" s="1"/>
      <c r="B69" s="63"/>
      <c r="C69" s="1"/>
      <c r="D69" s="6">
        <v>0</v>
      </c>
      <c r="E69" s="9"/>
      <c r="F69" s="10"/>
      <c r="G69" s="63" t="s">
        <v>73</v>
      </c>
      <c r="H69" s="1" t="s">
        <v>55</v>
      </c>
      <c r="I69" s="6">
        <f>0.16*D66</f>
        <v>1.1200000000000001</v>
      </c>
      <c r="J69" s="9"/>
      <c r="K69" s="10"/>
    </row>
    <row r="70" spans="1:11" s="3" customFormat="1">
      <c r="A70" s="1"/>
      <c r="B70" s="63"/>
      <c r="C70" s="1"/>
      <c r="D70" s="6">
        <v>0</v>
      </c>
      <c r="E70" s="9"/>
      <c r="F70" s="10"/>
      <c r="G70" s="63" t="s">
        <v>20</v>
      </c>
      <c r="H70" s="1" t="s">
        <v>21</v>
      </c>
      <c r="I70" s="6">
        <v>1</v>
      </c>
      <c r="J70" s="9"/>
      <c r="K70" s="10"/>
    </row>
    <row r="71" spans="1:11" s="3" customFormat="1">
      <c r="A71" s="1">
        <v>15</v>
      </c>
      <c r="B71" s="63" t="s">
        <v>75</v>
      </c>
      <c r="C71" s="1" t="s">
        <v>21</v>
      </c>
      <c r="D71" s="6">
        <v>7</v>
      </c>
      <c r="E71" s="9"/>
      <c r="F71" s="10"/>
      <c r="G71" s="63"/>
      <c r="H71" s="1"/>
      <c r="I71" s="6">
        <v>0</v>
      </c>
      <c r="J71" s="9"/>
      <c r="K71" s="10"/>
    </row>
    <row r="72" spans="1:11" s="3" customFormat="1" ht="48">
      <c r="A72" s="1">
        <v>16</v>
      </c>
      <c r="B72" s="63" t="s">
        <v>387</v>
      </c>
      <c r="C72" s="1" t="s">
        <v>29</v>
      </c>
      <c r="D72" s="6">
        <v>1.27</v>
      </c>
      <c r="E72" s="9"/>
      <c r="F72" s="10"/>
      <c r="G72" s="63" t="s">
        <v>44</v>
      </c>
      <c r="H72" s="1" t="s">
        <v>23</v>
      </c>
      <c r="I72" s="70">
        <f>0.0005*D72</f>
        <v>6.3500000000000004E-4</v>
      </c>
      <c r="J72" s="9"/>
      <c r="K72" s="10"/>
    </row>
    <row r="73" spans="1:11" s="3" customFormat="1" ht="24">
      <c r="A73" s="1"/>
      <c r="B73" s="32"/>
      <c r="C73" s="31"/>
      <c r="D73" s="33">
        <v>0</v>
      </c>
      <c r="E73" s="34"/>
      <c r="F73" s="10"/>
      <c r="G73" s="63" t="s">
        <v>383</v>
      </c>
      <c r="H73" s="1" t="s">
        <v>29</v>
      </c>
      <c r="I73" s="41">
        <f>0.09*D72</f>
        <v>0.1143</v>
      </c>
      <c r="J73" s="9"/>
      <c r="K73" s="10"/>
    </row>
    <row r="74" spans="1:11" s="3" customFormat="1" ht="36">
      <c r="A74" s="1"/>
      <c r="B74" s="63"/>
      <c r="C74" s="1"/>
      <c r="D74" s="6">
        <v>0</v>
      </c>
      <c r="E74" s="9"/>
      <c r="F74" s="10"/>
      <c r="G74" s="63" t="s">
        <v>375</v>
      </c>
      <c r="H74" s="1" t="s">
        <v>23</v>
      </c>
      <c r="I74" s="41">
        <f>0.049*D72</f>
        <v>6.2230000000000001E-2</v>
      </c>
      <c r="J74" s="9"/>
      <c r="K74" s="10"/>
    </row>
    <row r="75" spans="1:11" s="3" customFormat="1" ht="36">
      <c r="A75" s="1"/>
      <c r="B75" s="63"/>
      <c r="C75" s="1"/>
      <c r="D75" s="6">
        <v>0</v>
      </c>
      <c r="E75" s="9"/>
      <c r="F75" s="10"/>
      <c r="G75" s="63" t="s">
        <v>70</v>
      </c>
      <c r="H75" s="1" t="s">
        <v>23</v>
      </c>
      <c r="I75" s="41">
        <f>0.068*D72</f>
        <v>8.6360000000000006E-2</v>
      </c>
      <c r="J75" s="9"/>
      <c r="K75" s="10"/>
    </row>
    <row r="76" spans="1:11" s="3" customFormat="1" ht="24">
      <c r="A76" s="1"/>
      <c r="B76" s="63"/>
      <c r="C76" s="1"/>
      <c r="D76" s="6">
        <v>0</v>
      </c>
      <c r="E76" s="9"/>
      <c r="F76" s="10"/>
      <c r="G76" s="63" t="s">
        <v>384</v>
      </c>
      <c r="H76" s="1" t="s">
        <v>29</v>
      </c>
      <c r="I76" s="41">
        <f>D72*1.02</f>
        <v>1.2954000000000001</v>
      </c>
      <c r="J76" s="9"/>
      <c r="K76" s="10"/>
    </row>
    <row r="77" spans="1:11" s="3" customFormat="1" ht="25.5" customHeight="1">
      <c r="A77" s="1">
        <v>17</v>
      </c>
      <c r="B77" s="63" t="s">
        <v>385</v>
      </c>
      <c r="C77" s="1" t="s">
        <v>35</v>
      </c>
      <c r="D77" s="6">
        <v>12.72</v>
      </c>
      <c r="E77" s="9"/>
      <c r="F77" s="10"/>
      <c r="G77" s="63"/>
      <c r="H77" s="1"/>
      <c r="I77" s="41">
        <v>0</v>
      </c>
      <c r="J77" s="9"/>
      <c r="K77" s="10"/>
    </row>
    <row r="78" spans="1:11" s="3" customFormat="1" ht="24">
      <c r="A78" s="1"/>
      <c r="B78" s="63"/>
      <c r="C78" s="1"/>
      <c r="D78" s="6">
        <v>0</v>
      </c>
      <c r="E78" s="9"/>
      <c r="F78" s="10"/>
      <c r="G78" s="63" t="s">
        <v>34</v>
      </c>
      <c r="H78" s="1" t="s">
        <v>35</v>
      </c>
      <c r="I78" s="39">
        <f>D77*1.1</f>
        <v>13.992000000000003</v>
      </c>
      <c r="J78" s="9"/>
      <c r="K78" s="10"/>
    </row>
    <row r="79" spans="1:11" s="3" customFormat="1" ht="24">
      <c r="A79" s="1"/>
      <c r="B79" s="63"/>
      <c r="C79" s="1"/>
      <c r="D79" s="6">
        <v>0</v>
      </c>
      <c r="E79" s="9"/>
      <c r="F79" s="10"/>
      <c r="G79" s="63" t="s">
        <v>74</v>
      </c>
      <c r="H79" s="1" t="s">
        <v>386</v>
      </c>
      <c r="I79" s="39">
        <v>0.7</v>
      </c>
      <c r="J79" s="9"/>
      <c r="K79" s="10"/>
    </row>
    <row r="80" spans="1:11" s="3" customFormat="1" ht="24">
      <c r="A80" s="1">
        <v>18</v>
      </c>
      <c r="B80" s="63" t="s">
        <v>329</v>
      </c>
      <c r="C80" s="1" t="s">
        <v>25</v>
      </c>
      <c r="D80" s="6">
        <v>14.66</v>
      </c>
      <c r="E80" s="9"/>
      <c r="F80" s="10"/>
      <c r="G80" s="63" t="s">
        <v>388</v>
      </c>
      <c r="H80" s="1" t="s">
        <v>76</v>
      </c>
      <c r="I80" s="6">
        <v>2</v>
      </c>
      <c r="J80" s="9"/>
      <c r="K80" s="10"/>
    </row>
    <row r="81" spans="1:11" s="3" customFormat="1" ht="24">
      <c r="A81" s="1"/>
      <c r="B81" s="63"/>
      <c r="C81" s="1"/>
      <c r="D81" s="6">
        <v>0</v>
      </c>
      <c r="E81" s="9"/>
      <c r="F81" s="10"/>
      <c r="G81" s="63" t="s">
        <v>77</v>
      </c>
      <c r="H81" s="1" t="s">
        <v>78</v>
      </c>
      <c r="I81" s="6">
        <v>1</v>
      </c>
      <c r="J81" s="9"/>
      <c r="K81" s="10"/>
    </row>
    <row r="82" spans="1:11" s="3" customFormat="1" ht="24">
      <c r="A82" s="1">
        <v>19</v>
      </c>
      <c r="B82" s="63" t="s">
        <v>79</v>
      </c>
      <c r="C82" s="1" t="s">
        <v>25</v>
      </c>
      <c r="D82" s="6">
        <v>22.48</v>
      </c>
      <c r="E82" s="9"/>
      <c r="F82" s="10"/>
      <c r="G82" s="63"/>
      <c r="H82" s="1"/>
      <c r="I82" s="6"/>
      <c r="J82" s="9"/>
      <c r="K82" s="10"/>
    </row>
    <row r="83" spans="1:11" s="3" customFormat="1" ht="36">
      <c r="A83" s="1"/>
      <c r="B83" s="63"/>
      <c r="C83" s="1"/>
      <c r="D83" s="6"/>
      <c r="E83" s="9"/>
      <c r="F83" s="10"/>
      <c r="G83" s="63" t="s">
        <v>389</v>
      </c>
      <c r="H83" s="1" t="s">
        <v>76</v>
      </c>
      <c r="I83" s="6">
        <v>2</v>
      </c>
      <c r="J83" s="9"/>
      <c r="K83" s="10"/>
    </row>
    <row r="84" spans="1:11" s="3" customFormat="1" ht="36">
      <c r="A84" s="1"/>
      <c r="B84" s="63"/>
      <c r="C84" s="1"/>
      <c r="D84" s="6"/>
      <c r="E84" s="9"/>
      <c r="F84" s="10"/>
      <c r="G84" s="63" t="s">
        <v>390</v>
      </c>
      <c r="H84" s="1" t="s">
        <v>76</v>
      </c>
      <c r="I84" s="6">
        <v>1</v>
      </c>
      <c r="J84" s="9"/>
      <c r="K84" s="10"/>
    </row>
    <row r="85" spans="1:11" s="3" customFormat="1">
      <c r="A85" s="35"/>
      <c r="B85" s="116" t="s">
        <v>61</v>
      </c>
      <c r="C85" s="116"/>
      <c r="D85" s="116"/>
      <c r="E85" s="116"/>
      <c r="F85" s="10"/>
      <c r="G85" s="35"/>
      <c r="H85" s="35"/>
      <c r="I85" s="35"/>
      <c r="J85" s="35"/>
      <c r="K85" s="10"/>
    </row>
    <row r="86" spans="1:11" s="3" customFormat="1">
      <c r="A86" s="1"/>
      <c r="B86" s="118" t="s">
        <v>212</v>
      </c>
      <c r="C86" s="118"/>
      <c r="D86" s="118"/>
      <c r="E86" s="118"/>
      <c r="F86" s="10"/>
      <c r="G86" s="35" t="s">
        <v>213</v>
      </c>
      <c r="H86" s="35" t="s">
        <v>213</v>
      </c>
      <c r="I86" s="35" t="s">
        <v>213</v>
      </c>
      <c r="J86" s="35"/>
      <c r="K86" s="35"/>
    </row>
    <row r="87" spans="1:11" s="3" customFormat="1">
      <c r="A87" s="1"/>
      <c r="B87" s="118" t="s">
        <v>214</v>
      </c>
      <c r="C87" s="118"/>
      <c r="D87" s="118"/>
      <c r="E87" s="118"/>
      <c r="F87" s="35"/>
      <c r="G87" s="35" t="s">
        <v>213</v>
      </c>
      <c r="H87" s="35" t="s">
        <v>213</v>
      </c>
      <c r="I87" s="35" t="s">
        <v>213</v>
      </c>
      <c r="J87" s="35"/>
      <c r="K87" s="35"/>
    </row>
    <row r="88" spans="1:11" s="3" customFormat="1">
      <c r="A88" s="1"/>
      <c r="B88" s="118" t="s">
        <v>215</v>
      </c>
      <c r="C88" s="118"/>
      <c r="D88" s="118"/>
      <c r="E88" s="118"/>
      <c r="F88" s="10"/>
      <c r="G88" s="35" t="s">
        <v>213</v>
      </c>
      <c r="H88" s="35" t="s">
        <v>213</v>
      </c>
      <c r="I88" s="35" t="s">
        <v>213</v>
      </c>
      <c r="J88" s="35"/>
      <c r="K88" s="35"/>
    </row>
    <row r="89" spans="1:11" s="3" customFormat="1">
      <c r="A89" s="1"/>
      <c r="B89" s="118" t="s">
        <v>216</v>
      </c>
      <c r="C89" s="118"/>
      <c r="D89" s="118"/>
      <c r="E89" s="118"/>
      <c r="F89" s="10"/>
      <c r="G89" s="35" t="s">
        <v>213</v>
      </c>
      <c r="H89" s="35" t="s">
        <v>213</v>
      </c>
      <c r="I89" s="35" t="s">
        <v>213</v>
      </c>
      <c r="J89" s="35"/>
      <c r="K89" s="35"/>
    </row>
    <row r="90" spans="1:11" s="3" customFormat="1">
      <c r="A90" s="1"/>
      <c r="B90" s="118" t="s">
        <v>217</v>
      </c>
      <c r="C90" s="118"/>
      <c r="D90" s="118"/>
      <c r="E90" s="118"/>
      <c r="F90" s="10"/>
      <c r="G90" s="35" t="s">
        <v>213</v>
      </c>
      <c r="H90" s="35" t="s">
        <v>213</v>
      </c>
      <c r="I90" s="35" t="s">
        <v>213</v>
      </c>
      <c r="J90" s="35"/>
      <c r="K90" s="35"/>
    </row>
    <row r="91" spans="1:11" s="3" customFormat="1">
      <c r="A91" s="1"/>
      <c r="B91" s="118" t="s">
        <v>218</v>
      </c>
      <c r="C91" s="118"/>
      <c r="D91" s="118"/>
      <c r="E91" s="118"/>
      <c r="F91" s="10"/>
      <c r="G91" s="35" t="s">
        <v>213</v>
      </c>
      <c r="H91" s="35" t="s">
        <v>213</v>
      </c>
      <c r="I91" s="35" t="s">
        <v>213</v>
      </c>
      <c r="J91" s="35"/>
      <c r="K91" s="35"/>
    </row>
    <row r="92" spans="1:11" s="3" customFormat="1">
      <c r="A92" s="36"/>
      <c r="B92" s="117" t="s">
        <v>219</v>
      </c>
      <c r="C92" s="117"/>
      <c r="D92" s="117"/>
      <c r="E92" s="117"/>
      <c r="F92" s="37"/>
      <c r="G92" s="38"/>
      <c r="H92" s="38"/>
      <c r="I92" s="38"/>
      <c r="J92" s="38"/>
      <c r="K92" s="38"/>
    </row>
    <row r="93" spans="1:11" s="3" customFormat="1">
      <c r="A93" s="36"/>
      <c r="B93" s="117" t="s">
        <v>220</v>
      </c>
      <c r="C93" s="117"/>
      <c r="D93" s="117"/>
      <c r="E93" s="117"/>
      <c r="F93" s="37"/>
      <c r="G93" s="38"/>
      <c r="H93" s="38"/>
      <c r="I93" s="38"/>
      <c r="J93" s="38"/>
      <c r="K93" s="38"/>
    </row>
    <row r="94" spans="1:11" s="3" customFormat="1">
      <c r="A94" s="35"/>
      <c r="B94" s="118" t="s">
        <v>221</v>
      </c>
      <c r="C94" s="118"/>
      <c r="D94" s="118"/>
      <c r="E94" s="118"/>
      <c r="F94" s="10"/>
      <c r="G94" s="35"/>
      <c r="H94" s="35"/>
      <c r="I94" s="35"/>
      <c r="J94" s="35"/>
      <c r="K94" s="35"/>
    </row>
    <row r="95" spans="1:11" s="3" customForma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s="3" customFormat="1"/>
    <row r="97" spans="2:11" s="3" customFormat="1"/>
    <row r="98" spans="2:11" s="3" customFormat="1" ht="24.95" customHeight="1">
      <c r="B98" s="115" t="s">
        <v>222</v>
      </c>
      <c r="C98" s="115"/>
      <c r="D98" s="115"/>
      <c r="E98" s="115"/>
      <c r="F98" s="115"/>
      <c r="G98" s="115" t="s">
        <v>223</v>
      </c>
      <c r="H98" s="115"/>
      <c r="I98" s="115"/>
      <c r="J98" s="115"/>
      <c r="K98" s="115"/>
    </row>
    <row r="99" spans="2:11" s="3" customFormat="1" ht="24.95" customHeight="1">
      <c r="B99" s="115" t="s">
        <v>224</v>
      </c>
      <c r="C99" s="115"/>
      <c r="D99" s="115"/>
      <c r="E99" s="115"/>
      <c r="F99" s="115"/>
      <c r="G99" s="115" t="s">
        <v>224</v>
      </c>
      <c r="H99" s="115"/>
      <c r="I99" s="115"/>
      <c r="J99" s="115"/>
      <c r="K99" s="115"/>
    </row>
    <row r="100" spans="2:11" s="3" customFormat="1" ht="24.95" customHeight="1">
      <c r="B100" s="115" t="s">
        <v>225</v>
      </c>
      <c r="C100" s="115"/>
      <c r="D100" s="115"/>
      <c r="E100" s="115"/>
      <c r="F100" s="115"/>
      <c r="G100" s="115" t="s">
        <v>225</v>
      </c>
      <c r="H100" s="115"/>
      <c r="I100" s="115"/>
      <c r="J100" s="115"/>
      <c r="K100" s="115"/>
    </row>
    <row r="104" spans="2:11">
      <c r="G104" s="3"/>
    </row>
  </sheetData>
  <mergeCells count="33">
    <mergeCell ref="E16:F16"/>
    <mergeCell ref="B19:F19"/>
    <mergeCell ref="G98:K98"/>
    <mergeCell ref="G99:K99"/>
    <mergeCell ref="A8:I8"/>
    <mergeCell ref="A11:I11"/>
    <mergeCell ref="D13:G13"/>
    <mergeCell ref="D14:G14"/>
    <mergeCell ref="D15:G15"/>
    <mergeCell ref="A16:A17"/>
    <mergeCell ref="B16:B17"/>
    <mergeCell ref="C16:C17"/>
    <mergeCell ref="D16:D17"/>
    <mergeCell ref="B99:F99"/>
    <mergeCell ref="G16:K16"/>
    <mergeCell ref="A3:I3"/>
    <mergeCell ref="A4:I4"/>
    <mergeCell ref="A5:I5"/>
    <mergeCell ref="A6:I6"/>
    <mergeCell ref="A7:I7"/>
    <mergeCell ref="B100:F100"/>
    <mergeCell ref="G100:K100"/>
    <mergeCell ref="B85:E85"/>
    <mergeCell ref="B93:E93"/>
    <mergeCell ref="B94:E94"/>
    <mergeCell ref="B92:E92"/>
    <mergeCell ref="B86:E86"/>
    <mergeCell ref="B87:E87"/>
    <mergeCell ref="B88:E88"/>
    <mergeCell ref="B89:E89"/>
    <mergeCell ref="B90:E90"/>
    <mergeCell ref="B91:E91"/>
    <mergeCell ref="B98:F98"/>
  </mergeCells>
  <pageMargins left="0.6" right="0.3" top="0.6" bottom="0.4" header="0.3" footer="0"/>
  <pageSetup paperSize="9" fitToHeight="0" orientation="landscape" r:id="rId1"/>
  <headerFooter alignWithMargins="0">
    <oddHeader>&amp;LСтроительные Технологии - Смета™ ред. 7.7.10&amp;C- &amp;P -&amp;R228_дцк_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opLeftCell="A10" zoomScale="115" zoomScaleNormal="115" workbookViewId="0">
      <selection activeCell="A71" sqref="A71"/>
    </sheetView>
  </sheetViews>
  <sheetFormatPr defaultRowHeight="12.75"/>
  <cols>
    <col min="1" max="1" width="3.7109375" customWidth="1"/>
    <col min="2" max="2" width="22.7109375" customWidth="1"/>
    <col min="3" max="5" width="8.7109375" customWidth="1"/>
    <col min="6" max="6" width="10.7109375" customWidth="1"/>
    <col min="7" max="7" width="22.7109375" customWidth="1"/>
    <col min="8" max="10" width="8.7109375" customWidth="1"/>
    <col min="11" max="11" width="10.7109375" customWidth="1"/>
  </cols>
  <sheetData>
    <row r="1" spans="1:11" s="3" customFormat="1"/>
    <row r="2" spans="1:11" s="3" customFormat="1"/>
    <row r="3" spans="1:11" s="3" customFormat="1">
      <c r="A3" s="119" t="s">
        <v>0</v>
      </c>
      <c r="B3" s="119"/>
      <c r="C3" s="119"/>
      <c r="D3" s="119"/>
      <c r="E3" s="119"/>
      <c r="F3" s="119"/>
      <c r="G3" s="119"/>
      <c r="H3" s="119"/>
      <c r="I3" s="119"/>
    </row>
    <row r="4" spans="1:11" s="3" customFormat="1">
      <c r="A4" s="119" t="s">
        <v>1</v>
      </c>
      <c r="B4" s="119"/>
      <c r="C4" s="119"/>
      <c r="D4" s="119"/>
      <c r="E4" s="119"/>
      <c r="F4" s="119"/>
      <c r="G4" s="119"/>
      <c r="H4" s="119"/>
      <c r="I4" s="119"/>
    </row>
    <row r="5" spans="1:11" s="3" customFormat="1">
      <c r="A5" s="119" t="s">
        <v>2</v>
      </c>
      <c r="B5" s="119"/>
      <c r="C5" s="119"/>
      <c r="D5" s="119"/>
      <c r="E5" s="119"/>
      <c r="F5" s="119"/>
      <c r="G5" s="119"/>
      <c r="H5" s="119"/>
      <c r="I5" s="119"/>
    </row>
    <row r="6" spans="1:11" s="3" customFormat="1">
      <c r="A6" s="119" t="s">
        <v>3</v>
      </c>
      <c r="B6" s="119"/>
      <c r="C6" s="119"/>
      <c r="D6" s="119"/>
      <c r="E6" s="119"/>
      <c r="F6" s="119"/>
      <c r="G6" s="119"/>
      <c r="H6" s="119"/>
      <c r="I6" s="119"/>
    </row>
    <row r="7" spans="1:11" s="3" customFormat="1">
      <c r="A7" s="120" t="s">
        <v>330</v>
      </c>
      <c r="B7" s="120"/>
      <c r="C7" s="120"/>
      <c r="D7" s="120"/>
      <c r="E7" s="120"/>
      <c r="F7" s="120"/>
      <c r="G7" s="120"/>
      <c r="H7" s="120"/>
      <c r="I7" s="120"/>
    </row>
    <row r="8" spans="1:11" s="3" customFormat="1">
      <c r="A8" s="119" t="s">
        <v>4</v>
      </c>
      <c r="B8" s="119"/>
      <c r="C8" s="119"/>
      <c r="D8" s="119"/>
      <c r="E8" s="119"/>
      <c r="F8" s="119"/>
      <c r="G8" s="119"/>
      <c r="H8" s="119"/>
      <c r="I8" s="119"/>
    </row>
    <row r="9" spans="1:11" s="3" customFormat="1"/>
    <row r="10" spans="1:11" s="3" customFormat="1"/>
    <row r="11" spans="1:11" s="3" customFormat="1" ht="24.95" customHeight="1">
      <c r="A11" s="123" t="s">
        <v>5</v>
      </c>
      <c r="B11" s="123"/>
      <c r="C11" s="123"/>
      <c r="D11" s="123"/>
      <c r="E11" s="123"/>
      <c r="F11" s="123"/>
      <c r="G11" s="123"/>
      <c r="H11" s="123"/>
      <c r="I11" s="123"/>
    </row>
    <row r="12" spans="1:11" s="3" customFormat="1"/>
    <row r="13" spans="1:11" s="3" customFormat="1">
      <c r="D13" s="124" t="s">
        <v>6</v>
      </c>
      <c r="E13" s="124"/>
      <c r="F13" s="124"/>
      <c r="G13" s="124"/>
      <c r="H13" s="13">
        <f>F75</f>
        <v>0</v>
      </c>
      <c r="I13" s="64"/>
    </row>
    <row r="14" spans="1:11" s="3" customFormat="1">
      <c r="D14" s="124" t="s">
        <v>7</v>
      </c>
      <c r="E14" s="124"/>
      <c r="F14" s="124"/>
      <c r="G14" s="124"/>
      <c r="H14" s="13">
        <f>K66</f>
        <v>0</v>
      </c>
      <c r="I14" s="64"/>
    </row>
    <row r="15" spans="1:11" s="3" customFormat="1">
      <c r="D15" s="124" t="s">
        <v>8</v>
      </c>
      <c r="E15" s="124"/>
      <c r="F15" s="124"/>
      <c r="G15" s="124"/>
      <c r="H15" s="13">
        <f>F69</f>
        <v>0</v>
      </c>
      <c r="I15" s="64"/>
    </row>
    <row r="16" spans="1:11" s="3" customFormat="1">
      <c r="A16" s="121" t="s">
        <v>9</v>
      </c>
      <c r="B16" s="121" t="s">
        <v>10</v>
      </c>
      <c r="C16" s="121" t="s">
        <v>11</v>
      </c>
      <c r="D16" s="121" t="s">
        <v>12</v>
      </c>
      <c r="E16" s="121" t="s">
        <v>232</v>
      </c>
      <c r="F16" s="121"/>
      <c r="G16" s="121" t="s">
        <v>233</v>
      </c>
      <c r="H16" s="121"/>
      <c r="I16" s="121"/>
      <c r="J16" s="121"/>
      <c r="K16" s="121"/>
    </row>
    <row r="17" spans="1:11" s="3" customFormat="1" ht="22.5">
      <c r="A17" s="121"/>
      <c r="B17" s="121"/>
      <c r="C17" s="121"/>
      <c r="D17" s="121"/>
      <c r="E17" s="65" t="s">
        <v>13</v>
      </c>
      <c r="F17" s="65" t="s">
        <v>14</v>
      </c>
      <c r="G17" s="65" t="s">
        <v>15</v>
      </c>
      <c r="H17" s="65" t="s">
        <v>11</v>
      </c>
      <c r="I17" s="65" t="s">
        <v>12</v>
      </c>
      <c r="J17" s="65" t="s">
        <v>16</v>
      </c>
      <c r="K17" s="65" t="s">
        <v>17</v>
      </c>
    </row>
    <row r="18" spans="1:11" s="3" customFormat="1">
      <c r="A18" s="65">
        <v>1</v>
      </c>
      <c r="B18" s="65">
        <v>2</v>
      </c>
      <c r="C18" s="65">
        <v>4</v>
      </c>
      <c r="D18" s="65">
        <v>5</v>
      </c>
      <c r="E18" s="65">
        <v>6</v>
      </c>
      <c r="F18" s="65">
        <v>7</v>
      </c>
      <c r="G18" s="65">
        <v>8</v>
      </c>
      <c r="H18" s="65">
        <v>9</v>
      </c>
      <c r="I18" s="65">
        <v>11</v>
      </c>
      <c r="J18" s="65">
        <v>12</v>
      </c>
      <c r="K18" s="65">
        <v>13</v>
      </c>
    </row>
    <row r="19" spans="1:11" s="5" customFormat="1">
      <c r="A19" s="14"/>
      <c r="B19" s="122" t="s">
        <v>259</v>
      </c>
      <c r="C19" s="122"/>
      <c r="D19" s="122"/>
      <c r="E19" s="122"/>
      <c r="F19" s="122"/>
      <c r="G19" s="14"/>
      <c r="H19" s="14"/>
      <c r="I19" s="14"/>
      <c r="J19" s="14"/>
      <c r="K19" s="10"/>
    </row>
    <row r="20" spans="1:11" s="3" customFormat="1" ht="36">
      <c r="A20" s="1">
        <v>1</v>
      </c>
      <c r="B20" s="63" t="s">
        <v>80</v>
      </c>
      <c r="C20" s="1" t="s">
        <v>29</v>
      </c>
      <c r="D20" s="6">
        <f>I21+I22</f>
        <v>11.871</v>
      </c>
      <c r="E20" s="9"/>
      <c r="F20" s="10"/>
      <c r="G20" s="63" t="s">
        <v>81</v>
      </c>
      <c r="H20" s="1" t="s">
        <v>82</v>
      </c>
      <c r="I20" s="50">
        <f>2.02*D20</f>
        <v>23.979420000000001</v>
      </c>
      <c r="J20" s="9"/>
      <c r="K20" s="10"/>
    </row>
    <row r="21" spans="1:11" s="3" customFormat="1" ht="36">
      <c r="A21" s="1">
        <v>2</v>
      </c>
      <c r="B21" s="63" t="s">
        <v>322</v>
      </c>
      <c r="C21" s="1" t="s">
        <v>35</v>
      </c>
      <c r="D21" s="6">
        <v>296.57</v>
      </c>
      <c r="E21" s="9"/>
      <c r="F21" s="10"/>
      <c r="G21" s="63" t="s">
        <v>391</v>
      </c>
      <c r="H21" s="1" t="s">
        <v>29</v>
      </c>
      <c r="I21" s="6">
        <v>7.8360000000000003</v>
      </c>
      <c r="J21" s="9"/>
      <c r="K21" s="10"/>
    </row>
    <row r="22" spans="1:11" s="3" customFormat="1">
      <c r="A22" s="1"/>
      <c r="B22" s="63"/>
      <c r="C22" s="1"/>
      <c r="D22" s="6">
        <v>0</v>
      </c>
      <c r="E22" s="9"/>
      <c r="F22" s="10"/>
      <c r="G22" s="63" t="s">
        <v>392</v>
      </c>
      <c r="H22" s="1" t="s">
        <v>29</v>
      </c>
      <c r="I22" s="6">
        <v>4.0350000000000001</v>
      </c>
      <c r="J22" s="9"/>
      <c r="K22" s="10"/>
    </row>
    <row r="23" spans="1:11" s="3" customFormat="1" ht="24">
      <c r="A23" s="1"/>
      <c r="B23" s="63"/>
      <c r="C23" s="1"/>
      <c r="D23" s="6">
        <v>0</v>
      </c>
      <c r="E23" s="9"/>
      <c r="F23" s="10"/>
      <c r="G23" s="63" t="s">
        <v>83</v>
      </c>
      <c r="H23" s="1" t="s">
        <v>23</v>
      </c>
      <c r="I23" s="51">
        <f>0.03*D20</f>
        <v>0.35613</v>
      </c>
      <c r="J23" s="9"/>
      <c r="K23" s="10"/>
    </row>
    <row r="24" spans="1:11" s="3" customFormat="1">
      <c r="A24" s="1"/>
      <c r="B24" s="63"/>
      <c r="C24" s="1"/>
      <c r="D24" s="6">
        <v>0</v>
      </c>
      <c r="E24" s="9"/>
      <c r="F24" s="10"/>
      <c r="G24" s="63" t="s">
        <v>84</v>
      </c>
      <c r="H24" s="1" t="s">
        <v>21</v>
      </c>
      <c r="I24" s="6">
        <v>224</v>
      </c>
      <c r="J24" s="9"/>
      <c r="K24" s="10"/>
    </row>
    <row r="25" spans="1:11" s="3" customFormat="1" ht="24">
      <c r="A25" s="1"/>
      <c r="B25" s="63"/>
      <c r="C25" s="1"/>
      <c r="D25" s="6">
        <v>0</v>
      </c>
      <c r="E25" s="9"/>
      <c r="F25" s="10"/>
      <c r="G25" s="63" t="s">
        <v>74</v>
      </c>
      <c r="H25" s="1" t="s">
        <v>37</v>
      </c>
      <c r="I25" s="6">
        <v>25</v>
      </c>
      <c r="J25" s="9"/>
      <c r="K25" s="10"/>
    </row>
    <row r="26" spans="1:11" s="3" customFormat="1">
      <c r="A26" s="1"/>
      <c r="B26" s="63"/>
      <c r="C26" s="1"/>
      <c r="D26" s="6">
        <v>0</v>
      </c>
      <c r="E26" s="9"/>
      <c r="F26" s="10"/>
      <c r="G26" s="63" t="s">
        <v>85</v>
      </c>
      <c r="H26" s="1" t="s">
        <v>55</v>
      </c>
      <c r="I26" s="6">
        <v>550</v>
      </c>
      <c r="J26" s="9"/>
      <c r="K26" s="10"/>
    </row>
    <row r="27" spans="1:11" s="3" customFormat="1" ht="72">
      <c r="A27" s="1">
        <v>3</v>
      </c>
      <c r="B27" s="63" t="s">
        <v>323</v>
      </c>
      <c r="C27" s="1" t="s">
        <v>35</v>
      </c>
      <c r="D27" s="6">
        <v>162</v>
      </c>
      <c r="E27" s="9"/>
      <c r="F27" s="10"/>
      <c r="G27" s="63"/>
      <c r="H27" s="1"/>
      <c r="I27" s="6">
        <v>0</v>
      </c>
      <c r="J27" s="9"/>
      <c r="K27" s="10"/>
    </row>
    <row r="28" spans="1:11" s="3" customFormat="1" ht="24">
      <c r="A28" s="1"/>
      <c r="B28" s="63"/>
      <c r="C28" s="1"/>
      <c r="D28" s="6">
        <v>0</v>
      </c>
      <c r="E28" s="9"/>
      <c r="F28" s="10"/>
      <c r="G28" s="63" t="s">
        <v>393</v>
      </c>
      <c r="H28" s="1" t="s">
        <v>35</v>
      </c>
      <c r="I28" s="48">
        <f>D27*1.02</f>
        <v>165.24</v>
      </c>
      <c r="J28" s="9"/>
      <c r="K28" s="10"/>
    </row>
    <row r="29" spans="1:11" s="3" customFormat="1" ht="24">
      <c r="A29" s="1"/>
      <c r="B29" s="63"/>
      <c r="C29" s="1"/>
      <c r="D29" s="6">
        <v>0</v>
      </c>
      <c r="E29" s="9"/>
      <c r="F29" s="10"/>
      <c r="G29" s="63" t="s">
        <v>273</v>
      </c>
      <c r="H29" s="1" t="s">
        <v>35</v>
      </c>
      <c r="I29" s="48">
        <f>(D27*2)*1.02</f>
        <v>330.48</v>
      </c>
      <c r="J29" s="9"/>
      <c r="K29" s="10"/>
    </row>
    <row r="30" spans="1:11" s="3" customFormat="1" ht="36">
      <c r="A30" s="1">
        <v>4</v>
      </c>
      <c r="B30" s="63" t="s">
        <v>86</v>
      </c>
      <c r="C30" s="1" t="s">
        <v>35</v>
      </c>
      <c r="D30" s="6">
        <f>D21</f>
        <v>296.57</v>
      </c>
      <c r="E30" s="9"/>
      <c r="F30" s="10"/>
      <c r="G30" s="63" t="s">
        <v>87</v>
      </c>
      <c r="H30" s="1" t="s">
        <v>35</v>
      </c>
      <c r="I30" s="6">
        <f>D30*1.1</f>
        <v>326.22700000000003</v>
      </c>
      <c r="J30" s="9"/>
      <c r="K30" s="10"/>
    </row>
    <row r="31" spans="1:11" s="3" customFormat="1">
      <c r="A31" s="1"/>
      <c r="B31" s="63"/>
      <c r="C31" s="1"/>
      <c r="D31" s="6">
        <v>0</v>
      </c>
      <c r="E31" s="9"/>
      <c r="F31" s="10"/>
      <c r="G31" s="63" t="s">
        <v>88</v>
      </c>
      <c r="H31" s="1" t="s">
        <v>33</v>
      </c>
      <c r="I31" s="6">
        <f>D30</f>
        <v>296.57</v>
      </c>
      <c r="J31" s="9"/>
      <c r="K31" s="10"/>
    </row>
    <row r="32" spans="1:11" s="3" customFormat="1">
      <c r="A32" s="1"/>
      <c r="B32" s="63"/>
      <c r="C32" s="1"/>
      <c r="D32" s="6">
        <v>0</v>
      </c>
      <c r="E32" s="9"/>
      <c r="F32" s="10"/>
      <c r="G32" s="63" t="s">
        <v>89</v>
      </c>
      <c r="H32" s="1" t="s">
        <v>25</v>
      </c>
      <c r="I32" s="6">
        <f>2.5*D30</f>
        <v>741.42499999999995</v>
      </c>
      <c r="J32" s="9"/>
      <c r="K32" s="10"/>
    </row>
    <row r="33" spans="1:11" s="3" customFormat="1" ht="24">
      <c r="A33" s="1"/>
      <c r="B33" s="63"/>
      <c r="C33" s="1"/>
      <c r="D33" s="6"/>
      <c r="E33" s="9"/>
      <c r="F33" s="10"/>
      <c r="G33" s="63" t="s">
        <v>74</v>
      </c>
      <c r="H33" s="1" t="s">
        <v>37</v>
      </c>
      <c r="I33" s="6">
        <f>0.03*D30</f>
        <v>8.8971</v>
      </c>
      <c r="J33" s="9"/>
      <c r="K33" s="10"/>
    </row>
    <row r="34" spans="1:11" s="3" customFormat="1" ht="24">
      <c r="A34" s="1">
        <v>5</v>
      </c>
      <c r="B34" s="63" t="s">
        <v>271</v>
      </c>
      <c r="C34" s="1" t="s">
        <v>35</v>
      </c>
      <c r="D34" s="6">
        <f>D27</f>
        <v>162</v>
      </c>
      <c r="E34" s="9"/>
      <c r="F34" s="10"/>
      <c r="G34" s="63"/>
      <c r="H34" s="1"/>
      <c r="I34" s="6">
        <v>0</v>
      </c>
      <c r="J34" s="9"/>
      <c r="K34" s="10"/>
    </row>
    <row r="35" spans="1:11" s="3" customFormat="1">
      <c r="A35" s="1"/>
      <c r="B35" s="63"/>
      <c r="C35" s="1"/>
      <c r="D35" s="6">
        <v>0</v>
      </c>
      <c r="E35" s="9"/>
      <c r="F35" s="10"/>
      <c r="G35" s="63" t="s">
        <v>272</v>
      </c>
      <c r="H35" s="1" t="s">
        <v>35</v>
      </c>
      <c r="I35" s="6">
        <v>120</v>
      </c>
      <c r="J35" s="9"/>
      <c r="K35" s="10"/>
    </row>
    <row r="36" spans="1:11" s="3" customFormat="1">
      <c r="A36" s="1"/>
      <c r="B36" s="63"/>
      <c r="C36" s="1"/>
      <c r="D36" s="6">
        <v>0</v>
      </c>
      <c r="E36" s="9"/>
      <c r="F36" s="10"/>
      <c r="G36" s="63" t="s">
        <v>88</v>
      </c>
      <c r="H36" s="1" t="s">
        <v>33</v>
      </c>
      <c r="I36" s="6">
        <v>120</v>
      </c>
      <c r="J36" s="9"/>
      <c r="K36" s="10"/>
    </row>
    <row r="37" spans="1:11" s="3" customFormat="1" ht="36">
      <c r="A37" s="1">
        <v>6</v>
      </c>
      <c r="B37" s="63" t="s">
        <v>394</v>
      </c>
      <c r="C37" s="1" t="s">
        <v>35</v>
      </c>
      <c r="D37" s="6">
        <f>D30</f>
        <v>296.57</v>
      </c>
      <c r="E37" s="9"/>
      <c r="F37" s="10"/>
      <c r="G37" s="63" t="s">
        <v>36</v>
      </c>
      <c r="H37" s="1" t="s">
        <v>25</v>
      </c>
      <c r="I37" s="6">
        <f>D37*3.5</f>
        <v>1037.9949999999999</v>
      </c>
      <c r="J37" s="9"/>
      <c r="K37" s="10"/>
    </row>
    <row r="38" spans="1:11" s="3" customFormat="1" ht="24">
      <c r="A38" s="1"/>
      <c r="B38" s="63"/>
      <c r="C38" s="1"/>
      <c r="D38" s="6">
        <v>0</v>
      </c>
      <c r="E38" s="9"/>
      <c r="F38" s="10"/>
      <c r="G38" s="63" t="s">
        <v>74</v>
      </c>
      <c r="H38" s="1" t="s">
        <v>37</v>
      </c>
      <c r="I38" s="6">
        <f>D37*0.04</f>
        <v>11.8628</v>
      </c>
      <c r="J38" s="9"/>
      <c r="K38" s="10"/>
    </row>
    <row r="39" spans="1:11" s="3" customFormat="1" ht="24">
      <c r="A39" s="1">
        <v>7</v>
      </c>
      <c r="B39" s="63" t="s">
        <v>395</v>
      </c>
      <c r="C39" s="1" t="s">
        <v>35</v>
      </c>
      <c r="D39" s="6">
        <f>D37</f>
        <v>296.57</v>
      </c>
      <c r="E39" s="9"/>
      <c r="F39" s="10"/>
      <c r="G39" s="63" t="s">
        <v>280</v>
      </c>
      <c r="H39" s="1" t="s">
        <v>21</v>
      </c>
      <c r="I39" s="72">
        <f>D39*12</f>
        <v>3558.84</v>
      </c>
      <c r="J39" s="9"/>
      <c r="K39" s="10"/>
    </row>
    <row r="40" spans="1:11" s="3" customFormat="1" ht="24">
      <c r="A40" s="31"/>
      <c r="B40" s="32"/>
      <c r="C40" s="31"/>
      <c r="D40" s="33">
        <v>0</v>
      </c>
      <c r="E40" s="34"/>
      <c r="F40" s="49"/>
      <c r="G40" s="63" t="s">
        <v>396</v>
      </c>
      <c r="H40" s="1" t="s">
        <v>35</v>
      </c>
      <c r="I40" s="39">
        <f>D39*1.15</f>
        <v>341.05549999999994</v>
      </c>
      <c r="J40" s="9"/>
      <c r="K40" s="10"/>
    </row>
    <row r="41" spans="1:11" s="3" customFormat="1" ht="36">
      <c r="A41" s="1">
        <v>8</v>
      </c>
      <c r="B41" s="63" t="s">
        <v>397</v>
      </c>
      <c r="C41" s="1" t="s">
        <v>25</v>
      </c>
      <c r="D41" s="6">
        <v>70</v>
      </c>
      <c r="E41" s="9"/>
      <c r="F41" s="10"/>
      <c r="G41" s="63"/>
      <c r="H41" s="1"/>
      <c r="I41" s="6">
        <v>0</v>
      </c>
      <c r="J41" s="9"/>
      <c r="K41" s="10"/>
    </row>
    <row r="42" spans="1:11" s="3" customFormat="1">
      <c r="A42" s="1"/>
      <c r="B42" s="63"/>
      <c r="C42" s="1"/>
      <c r="D42" s="6">
        <v>0</v>
      </c>
      <c r="E42" s="9"/>
      <c r="F42" s="10"/>
      <c r="G42" s="63" t="s">
        <v>90</v>
      </c>
      <c r="H42" s="1" t="s">
        <v>25</v>
      </c>
      <c r="I42" s="6">
        <f>D41*1.1</f>
        <v>77</v>
      </c>
      <c r="J42" s="9"/>
      <c r="K42" s="10"/>
    </row>
    <row r="43" spans="1:11" s="3" customFormat="1" ht="24">
      <c r="A43" s="1"/>
      <c r="B43" s="63"/>
      <c r="C43" s="1"/>
      <c r="D43" s="6">
        <v>0</v>
      </c>
      <c r="E43" s="9"/>
      <c r="F43" s="10"/>
      <c r="G43" s="63" t="s">
        <v>91</v>
      </c>
      <c r="H43" s="1" t="s">
        <v>37</v>
      </c>
      <c r="I43" s="6">
        <v>1</v>
      </c>
      <c r="J43" s="9"/>
      <c r="K43" s="10"/>
    </row>
    <row r="44" spans="1:11" s="3" customFormat="1" ht="36">
      <c r="A44" s="1">
        <v>9</v>
      </c>
      <c r="B44" s="63" t="s">
        <v>398</v>
      </c>
      <c r="C44" s="1" t="s">
        <v>35</v>
      </c>
      <c r="D44" s="6">
        <f>D39</f>
        <v>296.57</v>
      </c>
      <c r="E44" s="9"/>
      <c r="F44" s="10"/>
      <c r="G44" s="63" t="s">
        <v>399</v>
      </c>
      <c r="H44" s="1" t="s">
        <v>35</v>
      </c>
      <c r="I44" s="6">
        <f>1.15*D44</f>
        <v>341.05549999999994</v>
      </c>
      <c r="J44" s="9"/>
      <c r="K44" s="10"/>
    </row>
    <row r="45" spans="1:11" s="3" customFormat="1">
      <c r="A45" s="31"/>
      <c r="B45" s="32"/>
      <c r="C45" s="31"/>
      <c r="D45" s="33">
        <v>0</v>
      </c>
      <c r="E45" s="34"/>
      <c r="F45" s="49"/>
      <c r="G45" s="63" t="s">
        <v>400</v>
      </c>
      <c r="H45" s="1" t="s">
        <v>55</v>
      </c>
      <c r="I45" s="6">
        <f>0.002*D44</f>
        <v>0.59314</v>
      </c>
      <c r="J45" s="9"/>
      <c r="K45" s="10"/>
    </row>
    <row r="46" spans="1:11" s="3" customFormat="1" ht="36">
      <c r="A46" s="1"/>
      <c r="B46" s="63"/>
      <c r="C46" s="1"/>
      <c r="D46" s="6">
        <v>0</v>
      </c>
      <c r="E46" s="9"/>
      <c r="F46" s="10"/>
      <c r="G46" s="63" t="s">
        <v>401</v>
      </c>
      <c r="H46" s="1" t="s">
        <v>21</v>
      </c>
      <c r="I46" s="6">
        <v>30</v>
      </c>
      <c r="J46" s="9"/>
      <c r="K46" s="10"/>
    </row>
    <row r="47" spans="1:11" s="3" customFormat="1" ht="36">
      <c r="A47" s="1">
        <v>10</v>
      </c>
      <c r="B47" s="63" t="s">
        <v>402</v>
      </c>
      <c r="C47" s="1" t="s">
        <v>35</v>
      </c>
      <c r="D47" s="6">
        <f>D44</f>
        <v>296.57</v>
      </c>
      <c r="E47" s="9"/>
      <c r="F47" s="10"/>
      <c r="G47" s="63"/>
      <c r="H47" s="1"/>
      <c r="I47" s="6">
        <v>0</v>
      </c>
      <c r="J47" s="9"/>
      <c r="K47" s="10"/>
    </row>
    <row r="48" spans="1:11" s="3" customFormat="1" ht="24">
      <c r="A48" s="1"/>
      <c r="B48" s="63"/>
      <c r="C48" s="1"/>
      <c r="D48" s="6">
        <v>0</v>
      </c>
      <c r="E48" s="9"/>
      <c r="F48" s="10"/>
      <c r="G48" s="63" t="s">
        <v>403</v>
      </c>
      <c r="H48" s="1" t="s">
        <v>35</v>
      </c>
      <c r="I48" s="6">
        <f>D47*1.15</f>
        <v>341.05549999999994</v>
      </c>
      <c r="J48" s="9"/>
      <c r="K48" s="10"/>
    </row>
    <row r="49" spans="1:11" s="3" customFormat="1" ht="24">
      <c r="A49" s="1"/>
      <c r="B49" s="63"/>
      <c r="C49" s="1"/>
      <c r="D49" s="6">
        <v>0</v>
      </c>
      <c r="E49" s="9"/>
      <c r="F49" s="10"/>
      <c r="G49" s="63" t="s">
        <v>404</v>
      </c>
      <c r="H49" s="1" t="s">
        <v>35</v>
      </c>
      <c r="I49" s="6">
        <v>15</v>
      </c>
      <c r="J49" s="9"/>
      <c r="K49" s="10"/>
    </row>
    <row r="50" spans="1:11" s="3" customFormat="1">
      <c r="A50" s="1"/>
      <c r="B50" s="63"/>
      <c r="C50" s="1"/>
      <c r="D50" s="6">
        <v>0</v>
      </c>
      <c r="E50" s="9"/>
      <c r="F50" s="10"/>
      <c r="G50" s="63" t="s">
        <v>400</v>
      </c>
      <c r="H50" s="1" t="s">
        <v>37</v>
      </c>
      <c r="I50" s="6">
        <v>10</v>
      </c>
      <c r="J50" s="9"/>
      <c r="K50" s="10"/>
    </row>
    <row r="51" spans="1:11" s="3" customFormat="1" ht="24">
      <c r="A51" s="1">
        <v>11</v>
      </c>
      <c r="B51" s="63" t="s">
        <v>405</v>
      </c>
      <c r="C51" s="1" t="s">
        <v>21</v>
      </c>
      <c r="D51" s="6">
        <v>20.28</v>
      </c>
      <c r="E51" s="9"/>
      <c r="F51" s="10"/>
      <c r="G51" s="63"/>
      <c r="H51" s="1"/>
      <c r="I51" s="6">
        <v>0</v>
      </c>
      <c r="J51" s="9"/>
      <c r="K51" s="10"/>
    </row>
    <row r="52" spans="1:11" s="3" customFormat="1" ht="24">
      <c r="A52" s="1"/>
      <c r="B52" s="63"/>
      <c r="C52" s="1"/>
      <c r="D52" s="6">
        <v>0</v>
      </c>
      <c r="E52" s="9"/>
      <c r="F52" s="10"/>
      <c r="G52" s="63" t="s">
        <v>406</v>
      </c>
      <c r="H52" s="1" t="s">
        <v>21</v>
      </c>
      <c r="I52" s="6">
        <v>26</v>
      </c>
      <c r="J52" s="9"/>
      <c r="K52" s="10"/>
    </row>
    <row r="53" spans="1:11" s="3" customFormat="1">
      <c r="A53" s="1">
        <v>12</v>
      </c>
      <c r="B53" s="63" t="s">
        <v>407</v>
      </c>
      <c r="C53" s="1" t="s">
        <v>408</v>
      </c>
      <c r="D53" s="6">
        <v>70</v>
      </c>
      <c r="E53" s="9"/>
      <c r="F53" s="10"/>
      <c r="G53" s="63"/>
      <c r="H53" s="1"/>
      <c r="I53" s="6">
        <v>0</v>
      </c>
      <c r="J53" s="9"/>
      <c r="K53" s="10"/>
    </row>
    <row r="54" spans="1:11" s="3" customFormat="1">
      <c r="A54" s="1"/>
      <c r="B54" s="63"/>
      <c r="C54" s="1"/>
      <c r="D54" s="6">
        <v>0</v>
      </c>
      <c r="E54" s="9"/>
      <c r="F54" s="10"/>
      <c r="G54" s="63" t="s">
        <v>409</v>
      </c>
      <c r="H54" s="1" t="s">
        <v>25</v>
      </c>
      <c r="I54" s="52">
        <f>D53*1.1</f>
        <v>77</v>
      </c>
      <c r="J54" s="9"/>
      <c r="K54" s="10"/>
    </row>
    <row r="55" spans="1:11" s="3" customFormat="1" ht="24">
      <c r="A55" s="1"/>
      <c r="B55" s="63"/>
      <c r="C55" s="1"/>
      <c r="D55" s="6">
        <v>0</v>
      </c>
      <c r="E55" s="9"/>
      <c r="F55" s="10"/>
      <c r="G55" s="63" t="s">
        <v>410</v>
      </c>
      <c r="H55" s="1" t="s">
        <v>37</v>
      </c>
      <c r="I55" s="6">
        <v>1</v>
      </c>
      <c r="J55" s="9"/>
      <c r="K55" s="10"/>
    </row>
    <row r="56" spans="1:11" s="3" customFormat="1" ht="36">
      <c r="A56" s="1">
        <v>13</v>
      </c>
      <c r="B56" s="63" t="s">
        <v>411</v>
      </c>
      <c r="C56" s="1" t="s">
        <v>25</v>
      </c>
      <c r="D56" s="6">
        <v>29.76</v>
      </c>
      <c r="E56" s="9"/>
      <c r="F56" s="10"/>
      <c r="G56" s="63"/>
      <c r="H56" s="1"/>
      <c r="I56" s="6">
        <v>0</v>
      </c>
      <c r="J56" s="9"/>
      <c r="K56" s="10"/>
    </row>
    <row r="57" spans="1:11" s="3" customFormat="1">
      <c r="A57" s="1"/>
      <c r="B57" s="63"/>
      <c r="C57" s="1"/>
      <c r="D57" s="6">
        <v>0</v>
      </c>
      <c r="E57" s="9"/>
      <c r="F57" s="10"/>
      <c r="G57" s="63" t="s">
        <v>92</v>
      </c>
      <c r="H57" s="1" t="s">
        <v>25</v>
      </c>
      <c r="I57" s="6">
        <v>7</v>
      </c>
      <c r="J57" s="9"/>
      <c r="K57" s="10"/>
    </row>
    <row r="58" spans="1:11" s="3" customFormat="1" ht="24">
      <c r="A58" s="1"/>
      <c r="B58" s="63"/>
      <c r="C58" s="1"/>
      <c r="D58" s="6">
        <v>0</v>
      </c>
      <c r="E58" s="9"/>
      <c r="F58" s="10"/>
      <c r="G58" s="63" t="s">
        <v>412</v>
      </c>
      <c r="H58" s="1" t="s">
        <v>55</v>
      </c>
      <c r="I58" s="6">
        <v>2</v>
      </c>
      <c r="J58" s="9"/>
      <c r="K58" s="10"/>
    </row>
    <row r="59" spans="1:11" s="3" customFormat="1" ht="24">
      <c r="A59" s="1">
        <v>14</v>
      </c>
      <c r="B59" s="63" t="s">
        <v>93</v>
      </c>
      <c r="C59" s="1" t="s">
        <v>35</v>
      </c>
      <c r="D59" s="6">
        <v>112.72</v>
      </c>
      <c r="E59" s="9"/>
      <c r="F59" s="10"/>
      <c r="G59" s="63" t="s">
        <v>94</v>
      </c>
      <c r="H59" s="1" t="s">
        <v>25</v>
      </c>
      <c r="I59" s="41">
        <f>3.5*D59</f>
        <v>394.52</v>
      </c>
      <c r="J59" s="9"/>
      <c r="K59" s="10"/>
    </row>
    <row r="60" spans="1:11" s="3" customFormat="1">
      <c r="A60" s="1"/>
      <c r="B60" s="63"/>
      <c r="C60" s="1"/>
      <c r="D60" s="6">
        <v>0</v>
      </c>
      <c r="E60" s="9"/>
      <c r="F60" s="10"/>
      <c r="G60" s="63" t="s">
        <v>95</v>
      </c>
      <c r="H60" s="1" t="s">
        <v>35</v>
      </c>
      <c r="I60" s="41">
        <f>D59*1.1</f>
        <v>123.992</v>
      </c>
      <c r="J60" s="9"/>
      <c r="K60" s="10"/>
    </row>
    <row r="61" spans="1:11" s="3" customFormat="1">
      <c r="A61" s="1"/>
      <c r="B61" s="63"/>
      <c r="C61" s="1"/>
      <c r="D61" s="6">
        <v>0</v>
      </c>
      <c r="E61" s="9"/>
      <c r="F61" s="10"/>
      <c r="G61" s="63" t="s">
        <v>96</v>
      </c>
      <c r="H61" s="1" t="s">
        <v>25</v>
      </c>
      <c r="I61" s="41">
        <v>50</v>
      </c>
      <c r="J61" s="9"/>
      <c r="K61" s="10"/>
    </row>
    <row r="62" spans="1:11" s="3" customFormat="1" ht="24">
      <c r="A62" s="1"/>
      <c r="B62" s="63"/>
      <c r="C62" s="1"/>
      <c r="D62" s="6">
        <v>0</v>
      </c>
      <c r="E62" s="9"/>
      <c r="F62" s="10"/>
      <c r="G62" s="63" t="s">
        <v>74</v>
      </c>
      <c r="H62" s="1" t="s">
        <v>37</v>
      </c>
      <c r="I62" s="41">
        <f>0.16*D59</f>
        <v>18.0352</v>
      </c>
      <c r="J62" s="9"/>
      <c r="K62" s="10"/>
    </row>
    <row r="63" spans="1:11" s="3" customFormat="1" ht="24">
      <c r="A63" s="1"/>
      <c r="B63" s="63"/>
      <c r="C63" s="1"/>
      <c r="D63" s="6">
        <v>0</v>
      </c>
      <c r="E63" s="9"/>
      <c r="F63" s="10"/>
      <c r="G63" s="63" t="s">
        <v>97</v>
      </c>
      <c r="H63" s="1" t="s">
        <v>82</v>
      </c>
      <c r="I63" s="39">
        <f>0.3*D59</f>
        <v>33.815999999999995</v>
      </c>
      <c r="J63" s="9"/>
      <c r="K63" s="10"/>
    </row>
    <row r="64" spans="1:11" s="3" customFormat="1" ht="24">
      <c r="A64" s="1"/>
      <c r="B64" s="63"/>
      <c r="C64" s="1"/>
      <c r="D64" s="6">
        <v>0</v>
      </c>
      <c r="E64" s="9"/>
      <c r="F64" s="10"/>
      <c r="G64" s="63" t="s">
        <v>98</v>
      </c>
      <c r="H64" s="1" t="s">
        <v>82</v>
      </c>
      <c r="I64" s="39">
        <f>0.35*D59</f>
        <v>39.451999999999998</v>
      </c>
      <c r="J64" s="9"/>
      <c r="K64" s="10"/>
    </row>
    <row r="65" spans="1:11" s="3" customFormat="1">
      <c r="A65" s="1"/>
      <c r="B65" s="63" t="s">
        <v>99</v>
      </c>
      <c r="C65" s="1" t="s">
        <v>27</v>
      </c>
      <c r="D65" s="6">
        <v>5</v>
      </c>
      <c r="E65" s="9"/>
      <c r="F65" s="10"/>
      <c r="G65" s="63"/>
      <c r="H65" s="1"/>
      <c r="I65" s="6">
        <v>0</v>
      </c>
      <c r="J65" s="9"/>
      <c r="K65" s="10"/>
    </row>
    <row r="66" spans="1:11" s="3" customFormat="1" ht="12.75" customHeight="1">
      <c r="A66" s="35"/>
      <c r="B66" s="125" t="s">
        <v>61</v>
      </c>
      <c r="C66" s="126"/>
      <c r="D66" s="126"/>
      <c r="E66" s="127"/>
      <c r="F66" s="10"/>
      <c r="G66" s="35"/>
      <c r="H66" s="35"/>
      <c r="I66" s="35"/>
      <c r="J66" s="35"/>
      <c r="K66" s="10"/>
    </row>
    <row r="67" spans="1:11" s="3" customFormat="1">
      <c r="A67" s="1"/>
      <c r="B67" s="118" t="s">
        <v>212</v>
      </c>
      <c r="C67" s="118"/>
      <c r="D67" s="118"/>
      <c r="E67" s="118"/>
      <c r="F67" s="10"/>
      <c r="G67" s="35"/>
      <c r="H67" s="35"/>
      <c r="I67" s="35"/>
      <c r="J67" s="35"/>
      <c r="K67" s="35"/>
    </row>
    <row r="68" spans="1:11" s="3" customFormat="1">
      <c r="A68" s="1"/>
      <c r="B68" s="118" t="s">
        <v>214</v>
      </c>
      <c r="C68" s="118"/>
      <c r="D68" s="118"/>
      <c r="E68" s="118"/>
      <c r="F68" s="35"/>
      <c r="G68" s="35"/>
      <c r="H68" s="35"/>
      <c r="I68" s="35"/>
      <c r="J68" s="35"/>
      <c r="K68" s="35"/>
    </row>
    <row r="69" spans="1:11" s="3" customFormat="1">
      <c r="A69" s="1"/>
      <c r="B69" s="118" t="s">
        <v>215</v>
      </c>
      <c r="C69" s="118"/>
      <c r="D69" s="118"/>
      <c r="E69" s="118"/>
      <c r="F69" s="10"/>
      <c r="G69" s="35"/>
      <c r="H69" s="35"/>
      <c r="I69" s="35"/>
      <c r="J69" s="35"/>
      <c r="K69" s="35"/>
    </row>
    <row r="70" spans="1:11" s="3" customFormat="1">
      <c r="A70" s="1"/>
      <c r="B70" s="118" t="s">
        <v>216</v>
      </c>
      <c r="C70" s="118"/>
      <c r="D70" s="118"/>
      <c r="E70" s="118"/>
      <c r="F70" s="10"/>
      <c r="G70" s="35"/>
      <c r="H70" s="35"/>
      <c r="I70" s="35"/>
      <c r="J70" s="35"/>
      <c r="K70" s="35"/>
    </row>
    <row r="71" spans="1:11" s="3" customFormat="1">
      <c r="A71" s="1"/>
      <c r="B71" s="118" t="s">
        <v>217</v>
      </c>
      <c r="C71" s="118"/>
      <c r="D71" s="118"/>
      <c r="E71" s="118"/>
      <c r="F71" s="10"/>
      <c r="G71" s="35"/>
      <c r="H71" s="35"/>
      <c r="I71" s="35"/>
      <c r="J71" s="35"/>
      <c r="K71" s="35"/>
    </row>
    <row r="72" spans="1:11" s="3" customFormat="1">
      <c r="A72" s="1"/>
      <c r="B72" s="118" t="s">
        <v>218</v>
      </c>
      <c r="C72" s="118"/>
      <c r="D72" s="118"/>
      <c r="E72" s="118"/>
      <c r="F72" s="10"/>
      <c r="G72" s="35"/>
      <c r="H72" s="35"/>
      <c r="I72" s="35"/>
      <c r="J72" s="35"/>
      <c r="K72" s="35"/>
    </row>
    <row r="73" spans="1:11" s="3" customFormat="1">
      <c r="A73" s="36"/>
      <c r="B73" s="117" t="s">
        <v>219</v>
      </c>
      <c r="C73" s="117"/>
      <c r="D73" s="117"/>
      <c r="E73" s="117"/>
      <c r="F73" s="37"/>
      <c r="G73" s="38"/>
      <c r="H73" s="38"/>
      <c r="I73" s="38"/>
      <c r="J73" s="38"/>
      <c r="K73" s="38"/>
    </row>
    <row r="74" spans="1:11" s="3" customFormat="1">
      <c r="A74" s="36"/>
      <c r="B74" s="117" t="s">
        <v>220</v>
      </c>
      <c r="C74" s="117"/>
      <c r="D74" s="117"/>
      <c r="E74" s="117"/>
      <c r="F74" s="37"/>
      <c r="G74" s="38"/>
      <c r="H74" s="38"/>
      <c r="I74" s="38"/>
      <c r="J74" s="38"/>
      <c r="K74" s="38"/>
    </row>
    <row r="75" spans="1:11" s="3" customFormat="1">
      <c r="A75" s="35"/>
      <c r="B75" s="118" t="s">
        <v>221</v>
      </c>
      <c r="C75" s="118"/>
      <c r="D75" s="118"/>
      <c r="E75" s="118"/>
      <c r="F75" s="10"/>
      <c r="G75" s="35"/>
      <c r="H75" s="35"/>
      <c r="I75" s="35"/>
      <c r="J75" s="35"/>
      <c r="K75" s="35"/>
    </row>
    <row r="76" spans="1:11" s="3" customForma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s="3" customFormat="1"/>
    <row r="78" spans="1:11" s="3" customFormat="1"/>
    <row r="79" spans="1:11" s="3" customFormat="1" ht="24.95" customHeight="1">
      <c r="B79" s="115" t="s">
        <v>222</v>
      </c>
      <c r="C79" s="115"/>
      <c r="D79" s="115"/>
      <c r="E79" s="115"/>
      <c r="F79" s="115"/>
      <c r="G79" s="115" t="s">
        <v>223</v>
      </c>
      <c r="H79" s="115"/>
      <c r="I79" s="115"/>
      <c r="J79" s="115"/>
      <c r="K79" s="115"/>
    </row>
    <row r="80" spans="1:11" s="3" customFormat="1" ht="24.95" customHeight="1">
      <c r="B80" s="115" t="s">
        <v>224</v>
      </c>
      <c r="C80" s="115"/>
      <c r="D80" s="115"/>
      <c r="E80" s="115"/>
      <c r="F80" s="115"/>
      <c r="G80" s="115" t="s">
        <v>224</v>
      </c>
      <c r="H80" s="115"/>
      <c r="I80" s="115"/>
      <c r="J80" s="115"/>
      <c r="K80" s="115"/>
    </row>
    <row r="81" spans="2:11" s="3" customFormat="1" ht="24.95" customHeight="1">
      <c r="B81" s="115" t="s">
        <v>225</v>
      </c>
      <c r="C81" s="115"/>
      <c r="D81" s="115"/>
      <c r="E81" s="115"/>
      <c r="F81" s="115"/>
      <c r="G81" s="115" t="s">
        <v>225</v>
      </c>
      <c r="H81" s="115"/>
      <c r="I81" s="115"/>
      <c r="J81" s="115"/>
      <c r="K81" s="115"/>
    </row>
    <row r="82" spans="2:11" s="3" customFormat="1"/>
    <row r="83" spans="2:11" s="3" customFormat="1"/>
    <row r="84" spans="2:11" s="3" customFormat="1"/>
    <row r="85" spans="2:11" s="3" customFormat="1"/>
    <row r="86" spans="2:11" s="3" customFormat="1"/>
    <row r="87" spans="2:11" s="3" customFormat="1"/>
    <row r="88" spans="2:11" s="3" customFormat="1"/>
    <row r="89" spans="2:11" s="3" customFormat="1"/>
    <row r="90" spans="2:11" s="3" customFormat="1"/>
  </sheetData>
  <mergeCells count="33">
    <mergeCell ref="A3:I3"/>
    <mergeCell ref="A4:I4"/>
    <mergeCell ref="A5:I5"/>
    <mergeCell ref="A6:I6"/>
    <mergeCell ref="A7:I7"/>
    <mergeCell ref="A8:I8"/>
    <mergeCell ref="B16:B17"/>
    <mergeCell ref="C16:C17"/>
    <mergeCell ref="D16:D17"/>
    <mergeCell ref="G16:K16"/>
    <mergeCell ref="B66:E66"/>
    <mergeCell ref="B67:E67"/>
    <mergeCell ref="B68:E68"/>
    <mergeCell ref="B69:E69"/>
    <mergeCell ref="A11:I11"/>
    <mergeCell ref="D13:G13"/>
    <mergeCell ref="D14:G14"/>
    <mergeCell ref="D15:G15"/>
    <mergeCell ref="A16:A17"/>
    <mergeCell ref="E16:F16"/>
    <mergeCell ref="B19:F19"/>
    <mergeCell ref="B79:F79"/>
    <mergeCell ref="G79:K79"/>
    <mergeCell ref="B80:F80"/>
    <mergeCell ref="G80:K80"/>
    <mergeCell ref="B81:F81"/>
    <mergeCell ref="G81:K81"/>
    <mergeCell ref="B75:E75"/>
    <mergeCell ref="B70:E70"/>
    <mergeCell ref="B71:E71"/>
    <mergeCell ref="B72:E72"/>
    <mergeCell ref="B73:E73"/>
    <mergeCell ref="B74:E74"/>
  </mergeCells>
  <pageMargins left="0.6" right="0.3" top="0.6" bottom="0.4" header="0.3" footer="0"/>
  <pageSetup paperSize="9" fitToHeight="0" orientation="landscape" r:id="rId1"/>
  <headerFooter alignWithMargins="0">
    <oddHeader>&amp;LСтроительные Технологии - Смета™ ред. 7.7.10&amp;C- &amp;P -&amp;R228_дцк_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zoomScale="115" zoomScaleNormal="115" workbookViewId="0">
      <selection activeCell="G71" sqref="G71"/>
    </sheetView>
  </sheetViews>
  <sheetFormatPr defaultRowHeight="12.75"/>
  <cols>
    <col min="1" max="1" width="3.7109375" customWidth="1"/>
    <col min="2" max="2" width="22.7109375" customWidth="1"/>
    <col min="3" max="5" width="8.7109375" customWidth="1"/>
    <col min="6" max="6" width="10.7109375" customWidth="1"/>
    <col min="7" max="7" width="22.7109375" customWidth="1"/>
    <col min="8" max="10" width="8.7109375" customWidth="1"/>
    <col min="11" max="11" width="10.7109375" customWidth="1"/>
  </cols>
  <sheetData>
    <row r="1" spans="1:11" s="3" customFormat="1"/>
    <row r="2" spans="1:11" s="3" customFormat="1"/>
    <row r="3" spans="1:11" s="3" customFormat="1">
      <c r="A3" s="119" t="s">
        <v>0</v>
      </c>
      <c r="B3" s="119"/>
      <c r="C3" s="119"/>
      <c r="D3" s="119"/>
      <c r="E3" s="119"/>
      <c r="F3" s="119"/>
      <c r="G3" s="119"/>
      <c r="H3" s="119"/>
      <c r="I3" s="119"/>
    </row>
    <row r="4" spans="1:11" s="3" customFormat="1">
      <c r="A4" s="119" t="s">
        <v>1</v>
      </c>
      <c r="B4" s="119"/>
      <c r="C4" s="119"/>
      <c r="D4" s="119"/>
      <c r="E4" s="119"/>
      <c r="F4" s="119"/>
      <c r="G4" s="119"/>
      <c r="H4" s="119"/>
      <c r="I4" s="119"/>
    </row>
    <row r="5" spans="1:11" s="3" customFormat="1">
      <c r="A5" s="119" t="s">
        <v>2</v>
      </c>
      <c r="B5" s="119"/>
      <c r="C5" s="119"/>
      <c r="D5" s="119"/>
      <c r="E5" s="119"/>
      <c r="F5" s="119"/>
      <c r="G5" s="119"/>
      <c r="H5" s="119"/>
      <c r="I5" s="119"/>
    </row>
    <row r="6" spans="1:11" s="3" customFormat="1">
      <c r="A6" s="119" t="s">
        <v>3</v>
      </c>
      <c r="B6" s="119"/>
      <c r="C6" s="119"/>
      <c r="D6" s="119"/>
      <c r="E6" s="119"/>
      <c r="F6" s="119"/>
      <c r="G6" s="119"/>
      <c r="H6" s="119"/>
      <c r="I6" s="119"/>
    </row>
    <row r="7" spans="1:11" s="3" customFormat="1">
      <c r="A7" s="120" t="s">
        <v>332</v>
      </c>
      <c r="B7" s="120"/>
      <c r="C7" s="120"/>
      <c r="D7" s="120"/>
      <c r="E7" s="120"/>
      <c r="F7" s="120"/>
      <c r="G7" s="120"/>
      <c r="H7" s="120"/>
      <c r="I7" s="120"/>
    </row>
    <row r="8" spans="1:11" s="3" customFormat="1">
      <c r="A8" s="119" t="s">
        <v>4</v>
      </c>
      <c r="B8" s="119"/>
      <c r="C8" s="119"/>
      <c r="D8" s="119"/>
      <c r="E8" s="119"/>
      <c r="F8" s="119"/>
      <c r="G8" s="119"/>
      <c r="H8" s="119"/>
      <c r="I8" s="119"/>
    </row>
    <row r="9" spans="1:11" s="3" customFormat="1"/>
    <row r="10" spans="1:11" s="3" customFormat="1"/>
    <row r="11" spans="1:11" s="3" customFormat="1" ht="24.95" customHeight="1">
      <c r="A11" s="123" t="s">
        <v>5</v>
      </c>
      <c r="B11" s="123"/>
      <c r="C11" s="123"/>
      <c r="D11" s="123"/>
      <c r="E11" s="123"/>
      <c r="F11" s="123"/>
      <c r="G11" s="123"/>
      <c r="H11" s="123"/>
      <c r="I11" s="123"/>
    </row>
    <row r="12" spans="1:11" s="3" customFormat="1"/>
    <row r="13" spans="1:11" s="3" customFormat="1">
      <c r="D13" s="124" t="s">
        <v>6</v>
      </c>
      <c r="E13" s="124"/>
      <c r="F13" s="124"/>
      <c r="G13" s="124"/>
      <c r="H13" s="13">
        <f>F74</f>
        <v>0</v>
      </c>
      <c r="I13" s="64"/>
    </row>
    <row r="14" spans="1:11" s="3" customFormat="1">
      <c r="D14" s="124" t="s">
        <v>7</v>
      </c>
      <c r="E14" s="124"/>
      <c r="F14" s="124"/>
      <c r="G14" s="124"/>
      <c r="H14" s="13">
        <f>K65</f>
        <v>0</v>
      </c>
      <c r="I14" s="64"/>
    </row>
    <row r="15" spans="1:11" s="3" customFormat="1">
      <c r="D15" s="124" t="s">
        <v>8</v>
      </c>
      <c r="E15" s="124"/>
      <c r="F15" s="124"/>
      <c r="G15" s="124"/>
      <c r="H15" s="13">
        <f>F68</f>
        <v>0</v>
      </c>
      <c r="I15" s="64"/>
    </row>
    <row r="16" spans="1:11" s="3" customFormat="1">
      <c r="A16" s="121" t="s">
        <v>9</v>
      </c>
      <c r="B16" s="121" t="s">
        <v>10</v>
      </c>
      <c r="C16" s="121" t="s">
        <v>11</v>
      </c>
      <c r="D16" s="121" t="s">
        <v>12</v>
      </c>
      <c r="E16" s="121" t="s">
        <v>232</v>
      </c>
      <c r="F16" s="121"/>
      <c r="G16" s="121" t="s">
        <v>233</v>
      </c>
      <c r="H16" s="121"/>
      <c r="I16" s="121"/>
      <c r="J16" s="121"/>
      <c r="K16" s="121"/>
    </row>
    <row r="17" spans="1:11" s="3" customFormat="1" ht="22.5">
      <c r="A17" s="121"/>
      <c r="B17" s="121"/>
      <c r="C17" s="121"/>
      <c r="D17" s="121"/>
      <c r="E17" s="65" t="s">
        <v>13</v>
      </c>
      <c r="F17" s="65" t="s">
        <v>14</v>
      </c>
      <c r="G17" s="65" t="s">
        <v>15</v>
      </c>
      <c r="H17" s="65" t="s">
        <v>11</v>
      </c>
      <c r="I17" s="65" t="s">
        <v>12</v>
      </c>
      <c r="J17" s="65" t="s">
        <v>16</v>
      </c>
      <c r="K17" s="65" t="s">
        <v>17</v>
      </c>
    </row>
    <row r="18" spans="1:11" s="3" customFormat="1">
      <c r="A18" s="65">
        <v>1</v>
      </c>
      <c r="B18" s="65">
        <v>2</v>
      </c>
      <c r="C18" s="65">
        <v>4</v>
      </c>
      <c r="D18" s="65">
        <v>5</v>
      </c>
      <c r="E18" s="65">
        <v>6</v>
      </c>
      <c r="F18" s="65">
        <v>7</v>
      </c>
      <c r="G18" s="65">
        <v>8</v>
      </c>
      <c r="H18" s="65">
        <v>9</v>
      </c>
      <c r="I18" s="65">
        <v>11</v>
      </c>
      <c r="J18" s="65">
        <v>12</v>
      </c>
      <c r="K18" s="65">
        <v>13</v>
      </c>
    </row>
    <row r="19" spans="1:11" s="5" customFormat="1">
      <c r="A19" s="14"/>
      <c r="B19" s="122" t="s">
        <v>260</v>
      </c>
      <c r="C19" s="122"/>
      <c r="D19" s="122"/>
      <c r="E19" s="122"/>
      <c r="F19" s="122"/>
      <c r="G19" s="14"/>
      <c r="H19" s="14"/>
      <c r="I19" s="14"/>
      <c r="J19" s="14"/>
      <c r="K19" s="14"/>
    </row>
    <row r="20" spans="1:11" s="3" customFormat="1">
      <c r="A20" s="1">
        <v>1</v>
      </c>
      <c r="B20" s="63" t="s">
        <v>100</v>
      </c>
      <c r="C20" s="1" t="s">
        <v>101</v>
      </c>
      <c r="D20" s="6">
        <v>198</v>
      </c>
      <c r="E20" s="9"/>
      <c r="F20" s="10"/>
      <c r="G20" s="63"/>
      <c r="H20" s="1"/>
      <c r="I20" s="6">
        <v>0</v>
      </c>
      <c r="J20" s="9"/>
      <c r="K20" s="10"/>
    </row>
    <row r="21" spans="1:11" s="3" customFormat="1">
      <c r="A21" s="1">
        <v>2</v>
      </c>
      <c r="B21" s="63" t="s">
        <v>102</v>
      </c>
      <c r="C21" s="1" t="s">
        <v>103</v>
      </c>
      <c r="D21" s="6">
        <f>D20</f>
        <v>198</v>
      </c>
      <c r="E21" s="9"/>
      <c r="F21" s="10"/>
      <c r="G21" s="63"/>
      <c r="H21" s="1"/>
      <c r="I21" s="6">
        <v>0</v>
      </c>
      <c r="J21" s="9"/>
      <c r="K21" s="10"/>
    </row>
    <row r="22" spans="1:11" s="3" customFormat="1" ht="36">
      <c r="A22" s="1">
        <v>3</v>
      </c>
      <c r="B22" s="63" t="s">
        <v>274</v>
      </c>
      <c r="C22" s="1" t="s">
        <v>35</v>
      </c>
      <c r="D22" s="6">
        <v>170</v>
      </c>
      <c r="E22" s="9"/>
      <c r="F22" s="10"/>
      <c r="G22" s="63" t="s">
        <v>275</v>
      </c>
      <c r="H22" s="1" t="s">
        <v>35</v>
      </c>
      <c r="I22" s="6">
        <f>1.03*D22</f>
        <v>175.1</v>
      </c>
      <c r="J22" s="9"/>
      <c r="K22" s="10"/>
    </row>
    <row r="23" spans="1:11" s="3" customFormat="1" ht="24">
      <c r="A23" s="31"/>
      <c r="B23" s="32"/>
      <c r="C23" s="31"/>
      <c r="D23" s="33">
        <v>0</v>
      </c>
      <c r="E23" s="34"/>
      <c r="F23" s="49"/>
      <c r="G23" s="63" t="s">
        <v>276</v>
      </c>
      <c r="H23" s="1" t="s">
        <v>21</v>
      </c>
      <c r="I23" s="6">
        <f>8*D22</f>
        <v>1360</v>
      </c>
      <c r="J23" s="9"/>
      <c r="K23" s="10"/>
    </row>
    <row r="24" spans="1:11" s="3" customFormat="1">
      <c r="A24" s="31"/>
      <c r="B24" s="32"/>
      <c r="C24" s="31"/>
      <c r="D24" s="33">
        <v>0</v>
      </c>
      <c r="E24" s="34"/>
      <c r="F24" s="49"/>
      <c r="G24" s="63" t="s">
        <v>105</v>
      </c>
      <c r="H24" s="1" t="s">
        <v>55</v>
      </c>
      <c r="I24" s="6">
        <f>0.15*D22</f>
        <v>25.5</v>
      </c>
      <c r="J24" s="9"/>
      <c r="K24" s="10"/>
    </row>
    <row r="25" spans="1:11" s="3" customFormat="1" ht="24">
      <c r="A25" s="31"/>
      <c r="B25" s="32"/>
      <c r="C25" s="31"/>
      <c r="D25" s="33">
        <v>0</v>
      </c>
      <c r="E25" s="34"/>
      <c r="F25" s="49"/>
      <c r="G25" s="63" t="s">
        <v>277</v>
      </c>
      <c r="H25" s="1" t="s">
        <v>55</v>
      </c>
      <c r="I25" s="6">
        <f>3.2*D22</f>
        <v>544</v>
      </c>
      <c r="J25" s="9"/>
      <c r="K25" s="10"/>
    </row>
    <row r="26" spans="1:11" s="3" customFormat="1" ht="24">
      <c r="A26" s="1">
        <v>4</v>
      </c>
      <c r="B26" s="63" t="s">
        <v>278</v>
      </c>
      <c r="C26" s="1" t="s">
        <v>35</v>
      </c>
      <c r="D26" s="6">
        <f>D22</f>
        <v>170</v>
      </c>
      <c r="E26" s="9"/>
      <c r="F26" s="10"/>
      <c r="G26" s="63" t="s">
        <v>279</v>
      </c>
      <c r="H26" s="1" t="s">
        <v>35</v>
      </c>
      <c r="I26" s="6">
        <f>1.2*D26</f>
        <v>204</v>
      </c>
      <c r="J26" s="9"/>
      <c r="K26" s="10"/>
    </row>
    <row r="27" spans="1:11" s="3" customFormat="1">
      <c r="A27" s="31"/>
      <c r="B27" s="32"/>
      <c r="C27" s="31"/>
      <c r="D27" s="33">
        <v>0</v>
      </c>
      <c r="E27" s="34"/>
      <c r="F27" s="49"/>
      <c r="G27" s="63" t="s">
        <v>280</v>
      </c>
      <c r="H27" s="1" t="s">
        <v>21</v>
      </c>
      <c r="I27" s="6">
        <f>6*D26</f>
        <v>1020</v>
      </c>
      <c r="J27" s="9"/>
      <c r="K27" s="10"/>
    </row>
    <row r="28" spans="1:11" s="3" customFormat="1" ht="24">
      <c r="A28" s="31"/>
      <c r="B28" s="32"/>
      <c r="C28" s="31"/>
      <c r="D28" s="33">
        <v>0</v>
      </c>
      <c r="E28" s="34"/>
      <c r="F28" s="49"/>
      <c r="G28" s="63" t="s">
        <v>281</v>
      </c>
      <c r="H28" s="1" t="s">
        <v>55</v>
      </c>
      <c r="I28" s="6">
        <f>3.2*D26</f>
        <v>544</v>
      </c>
      <c r="J28" s="9"/>
      <c r="K28" s="10"/>
    </row>
    <row r="29" spans="1:11" s="3" customFormat="1">
      <c r="A29" s="31"/>
      <c r="B29" s="32"/>
      <c r="C29" s="31"/>
      <c r="D29" s="33">
        <v>0</v>
      </c>
      <c r="E29" s="34"/>
      <c r="F29" s="49"/>
      <c r="G29" s="63" t="s">
        <v>127</v>
      </c>
      <c r="H29" s="1" t="s">
        <v>55</v>
      </c>
      <c r="I29" s="6">
        <f>0.3*D26</f>
        <v>51</v>
      </c>
      <c r="J29" s="9"/>
      <c r="K29" s="10"/>
    </row>
    <row r="30" spans="1:11" s="3" customFormat="1" ht="24">
      <c r="A30" s="31"/>
      <c r="B30" s="32"/>
      <c r="C30" s="31"/>
      <c r="D30" s="33">
        <v>0</v>
      </c>
      <c r="E30" s="34"/>
      <c r="F30" s="49"/>
      <c r="G30" s="63" t="s">
        <v>277</v>
      </c>
      <c r="H30" s="1" t="s">
        <v>55</v>
      </c>
      <c r="I30" s="6">
        <f>12*D26</f>
        <v>2040</v>
      </c>
      <c r="J30" s="9"/>
      <c r="K30" s="10"/>
    </row>
    <row r="31" spans="1:11" s="3" customFormat="1" ht="24">
      <c r="A31" s="1">
        <v>5</v>
      </c>
      <c r="B31" s="63" t="s">
        <v>282</v>
      </c>
      <c r="C31" s="1" t="s">
        <v>25</v>
      </c>
      <c r="D31" s="6">
        <v>83.2</v>
      </c>
      <c r="E31" s="9"/>
      <c r="F31" s="10"/>
      <c r="G31" s="63"/>
      <c r="H31" s="1"/>
      <c r="I31" s="6">
        <v>0</v>
      </c>
      <c r="J31" s="9"/>
      <c r="K31" s="10"/>
    </row>
    <row r="32" spans="1:11" s="3" customFormat="1">
      <c r="A32" s="1"/>
      <c r="B32" s="63"/>
      <c r="C32" s="1"/>
      <c r="D32" s="6">
        <v>0</v>
      </c>
      <c r="E32" s="9"/>
      <c r="F32" s="10"/>
      <c r="G32" s="63" t="s">
        <v>279</v>
      </c>
      <c r="H32" s="1" t="s">
        <v>35</v>
      </c>
      <c r="I32" s="6">
        <f>0.35*D31</f>
        <v>29.119999999999997</v>
      </c>
      <c r="J32" s="9"/>
      <c r="K32" s="10"/>
    </row>
    <row r="33" spans="1:11" s="3" customFormat="1">
      <c r="A33" s="1"/>
      <c r="B33" s="63"/>
      <c r="C33" s="1"/>
      <c r="D33" s="6">
        <v>0</v>
      </c>
      <c r="E33" s="9"/>
      <c r="F33" s="10"/>
      <c r="G33" s="63" t="s">
        <v>128</v>
      </c>
      <c r="H33" s="1" t="s">
        <v>25</v>
      </c>
      <c r="I33" s="6">
        <f>D31*1.1</f>
        <v>91.52000000000001</v>
      </c>
      <c r="J33" s="9"/>
      <c r="K33" s="10"/>
    </row>
    <row r="34" spans="1:11" s="3" customFormat="1" ht="24">
      <c r="A34" s="1"/>
      <c r="B34" s="63"/>
      <c r="C34" s="1"/>
      <c r="D34" s="6">
        <v>0</v>
      </c>
      <c r="E34" s="9"/>
      <c r="F34" s="10"/>
      <c r="G34" s="63" t="s">
        <v>281</v>
      </c>
      <c r="H34" s="1" t="s">
        <v>55</v>
      </c>
      <c r="I34" s="6">
        <f>1.1*D31</f>
        <v>91.52000000000001</v>
      </c>
      <c r="J34" s="9"/>
      <c r="K34" s="10"/>
    </row>
    <row r="35" spans="1:11" s="3" customFormat="1">
      <c r="A35" s="1"/>
      <c r="B35" s="63"/>
      <c r="C35" s="1"/>
      <c r="D35" s="6">
        <v>0</v>
      </c>
      <c r="E35" s="9"/>
      <c r="F35" s="10"/>
      <c r="G35" s="63" t="s">
        <v>127</v>
      </c>
      <c r="H35" s="1" t="s">
        <v>55</v>
      </c>
      <c r="I35" s="6">
        <f>0.1*D31</f>
        <v>8.32</v>
      </c>
      <c r="J35" s="9"/>
      <c r="K35" s="10"/>
    </row>
    <row r="36" spans="1:11" s="3" customFormat="1" ht="24">
      <c r="A36" s="1"/>
      <c r="B36" s="63"/>
      <c r="C36" s="1"/>
      <c r="D36" s="6">
        <v>0</v>
      </c>
      <c r="E36" s="9"/>
      <c r="F36" s="10"/>
      <c r="G36" s="63" t="s">
        <v>277</v>
      </c>
      <c r="H36" s="1" t="s">
        <v>55</v>
      </c>
      <c r="I36" s="6">
        <f>4.5*D31</f>
        <v>374.40000000000003</v>
      </c>
      <c r="J36" s="9"/>
      <c r="K36" s="10"/>
    </row>
    <row r="37" spans="1:11" s="3" customFormat="1" ht="24">
      <c r="A37" s="1">
        <v>6</v>
      </c>
      <c r="B37" s="63" t="s">
        <v>104</v>
      </c>
      <c r="C37" s="1" t="s">
        <v>35</v>
      </c>
      <c r="D37" s="6">
        <v>28</v>
      </c>
      <c r="E37" s="9"/>
      <c r="F37" s="10"/>
      <c r="G37" s="63" t="s">
        <v>105</v>
      </c>
      <c r="H37" s="1" t="s">
        <v>55</v>
      </c>
      <c r="I37" s="52">
        <f>D37*0.25</f>
        <v>7</v>
      </c>
      <c r="J37" s="9"/>
      <c r="K37" s="10"/>
    </row>
    <row r="38" spans="1:11" s="3" customFormat="1">
      <c r="A38" s="1"/>
      <c r="B38" s="32"/>
      <c r="C38" s="31"/>
      <c r="D38" s="33">
        <v>0</v>
      </c>
      <c r="E38" s="34"/>
      <c r="F38" s="10"/>
      <c r="G38" s="63" t="s">
        <v>106</v>
      </c>
      <c r="H38" s="1" t="s">
        <v>55</v>
      </c>
      <c r="I38" s="6">
        <f>D37*7.5</f>
        <v>210</v>
      </c>
      <c r="J38" s="9"/>
      <c r="K38" s="10"/>
    </row>
    <row r="39" spans="1:11" s="3" customFormat="1">
      <c r="A39" s="1"/>
      <c r="B39" s="32"/>
      <c r="C39" s="31"/>
      <c r="D39" s="33">
        <v>0</v>
      </c>
      <c r="E39" s="34"/>
      <c r="F39" s="10"/>
      <c r="G39" s="63" t="s">
        <v>107</v>
      </c>
      <c r="H39" s="1" t="s">
        <v>55</v>
      </c>
      <c r="I39" s="6">
        <v>72</v>
      </c>
      <c r="J39" s="9"/>
      <c r="K39" s="10"/>
    </row>
    <row r="40" spans="1:11" s="3" customFormat="1">
      <c r="A40" s="1"/>
      <c r="B40" s="32"/>
      <c r="C40" s="31"/>
      <c r="D40" s="33">
        <v>0</v>
      </c>
      <c r="E40" s="34"/>
      <c r="F40" s="10"/>
      <c r="G40" s="63" t="s">
        <v>108</v>
      </c>
      <c r="H40" s="1" t="s">
        <v>35</v>
      </c>
      <c r="I40" s="6">
        <f>D37*1.1</f>
        <v>30.800000000000004</v>
      </c>
      <c r="J40" s="9"/>
      <c r="K40" s="10"/>
    </row>
    <row r="41" spans="1:11" s="5" customFormat="1">
      <c r="A41" s="53"/>
      <c r="B41" s="54" t="s">
        <v>231</v>
      </c>
      <c r="C41" s="53"/>
      <c r="D41" s="55">
        <v>0</v>
      </c>
      <c r="E41" s="56"/>
      <c r="F41" s="10">
        <f>D41*E41</f>
        <v>0</v>
      </c>
      <c r="G41" s="57"/>
      <c r="H41" s="58"/>
      <c r="I41" s="59">
        <v>0</v>
      </c>
      <c r="J41" s="60"/>
      <c r="K41" s="10">
        <f>I41*J41</f>
        <v>0</v>
      </c>
    </row>
    <row r="42" spans="1:11" s="3" customFormat="1" ht="36">
      <c r="A42" s="1">
        <v>7</v>
      </c>
      <c r="B42" s="69" t="s">
        <v>109</v>
      </c>
      <c r="C42" s="1" t="s">
        <v>35</v>
      </c>
      <c r="D42" s="6">
        <v>35.78</v>
      </c>
      <c r="E42" s="9"/>
      <c r="F42" s="10"/>
      <c r="G42" s="69" t="s">
        <v>110</v>
      </c>
      <c r="H42" s="1" t="s">
        <v>23</v>
      </c>
      <c r="I42" s="73">
        <f>(D42*0.1)*1.6*1.12</f>
        <v>6.4117760000000015</v>
      </c>
      <c r="J42" s="9"/>
      <c r="K42" s="10"/>
    </row>
    <row r="43" spans="1:11" s="3" customFormat="1">
      <c r="A43" s="1"/>
      <c r="B43" s="69" t="s">
        <v>60</v>
      </c>
      <c r="C43" s="1" t="s">
        <v>27</v>
      </c>
      <c r="D43" s="6">
        <v>2</v>
      </c>
      <c r="E43" s="9"/>
      <c r="F43" s="10"/>
      <c r="G43" s="69"/>
      <c r="H43" s="1"/>
      <c r="I43" s="6">
        <v>0</v>
      </c>
      <c r="J43" s="9"/>
      <c r="K43" s="10"/>
    </row>
    <row r="44" spans="1:11" s="3" customFormat="1" ht="24">
      <c r="A44" s="1">
        <v>8</v>
      </c>
      <c r="B44" s="69" t="s">
        <v>111</v>
      </c>
      <c r="C44" s="1" t="s">
        <v>35</v>
      </c>
      <c r="D44" s="6">
        <f>D42</f>
        <v>35.78</v>
      </c>
      <c r="E44" s="9"/>
      <c r="F44" s="10"/>
      <c r="G44" s="69" t="s">
        <v>112</v>
      </c>
      <c r="H44" s="1" t="s">
        <v>238</v>
      </c>
      <c r="I44" s="50">
        <f>D44*1.1</f>
        <v>39.358000000000004</v>
      </c>
      <c r="J44" s="9"/>
      <c r="K44" s="10"/>
    </row>
    <row r="45" spans="1:11" s="3" customFormat="1" ht="36">
      <c r="A45" s="1">
        <v>9</v>
      </c>
      <c r="B45" s="69" t="s">
        <v>113</v>
      </c>
      <c r="C45" s="1" t="s">
        <v>33</v>
      </c>
      <c r="D45" s="6">
        <f>D42</f>
        <v>35.78</v>
      </c>
      <c r="E45" s="9"/>
      <c r="F45" s="10"/>
      <c r="G45" s="69" t="s">
        <v>34</v>
      </c>
      <c r="H45" s="1" t="s">
        <v>238</v>
      </c>
      <c r="I45" s="73">
        <f>0.12*D45</f>
        <v>4.2935999999999996</v>
      </c>
      <c r="J45" s="9"/>
      <c r="K45" s="10"/>
    </row>
    <row r="46" spans="1:11" s="3" customFormat="1">
      <c r="A46" s="1"/>
      <c r="B46" s="69"/>
      <c r="C46" s="1"/>
      <c r="D46" s="6">
        <v>0</v>
      </c>
      <c r="E46" s="9"/>
      <c r="F46" s="10"/>
      <c r="G46" s="69" t="s">
        <v>36</v>
      </c>
      <c r="H46" s="1" t="s">
        <v>29</v>
      </c>
      <c r="I46" s="51">
        <f>0.01*D45</f>
        <v>0.35780000000000001</v>
      </c>
      <c r="J46" s="9"/>
      <c r="K46" s="10"/>
    </row>
    <row r="47" spans="1:11" s="3" customFormat="1" ht="24">
      <c r="A47" s="1"/>
      <c r="B47" s="69"/>
      <c r="C47" s="1"/>
      <c r="D47" s="6">
        <v>0</v>
      </c>
      <c r="E47" s="9"/>
      <c r="F47" s="10"/>
      <c r="G47" s="69" t="s">
        <v>74</v>
      </c>
      <c r="H47" s="1" t="s">
        <v>37</v>
      </c>
      <c r="I47" s="73">
        <f>D45*0.05</f>
        <v>1.7890000000000001</v>
      </c>
      <c r="J47" s="9"/>
      <c r="K47" s="10"/>
    </row>
    <row r="48" spans="1:11" s="3" customFormat="1">
      <c r="A48" s="1"/>
      <c r="B48" s="69"/>
      <c r="C48" s="1"/>
      <c r="D48" s="6">
        <v>0</v>
      </c>
      <c r="E48" s="9"/>
      <c r="F48" s="10"/>
      <c r="G48" s="69" t="s">
        <v>38</v>
      </c>
      <c r="H48" s="1" t="s">
        <v>21</v>
      </c>
      <c r="I48" s="6">
        <v>1</v>
      </c>
      <c r="J48" s="9"/>
      <c r="K48" s="10"/>
    </row>
    <row r="49" spans="1:11" s="3" customFormat="1">
      <c r="A49" s="1">
        <v>10</v>
      </c>
      <c r="B49" s="69" t="s">
        <v>240</v>
      </c>
      <c r="C49" s="1" t="s">
        <v>241</v>
      </c>
      <c r="D49" s="6">
        <f>D42</f>
        <v>35.78</v>
      </c>
      <c r="E49" s="9"/>
      <c r="F49" s="10"/>
      <c r="G49" s="69" t="s">
        <v>114</v>
      </c>
      <c r="H49" s="1" t="s">
        <v>115</v>
      </c>
      <c r="I49" s="6">
        <v>0.9</v>
      </c>
      <c r="J49" s="9"/>
      <c r="K49" s="10"/>
    </row>
    <row r="50" spans="1:11" s="3" customFormat="1">
      <c r="A50" s="1"/>
      <c r="B50" s="69"/>
      <c r="C50" s="1"/>
      <c r="D50" s="6">
        <v>0</v>
      </c>
      <c r="E50" s="9"/>
      <c r="F50" s="10"/>
      <c r="G50" s="69" t="s">
        <v>116</v>
      </c>
      <c r="H50" s="1" t="s">
        <v>35</v>
      </c>
      <c r="I50" s="50">
        <f>D49*1.1</f>
        <v>39.358000000000004</v>
      </c>
      <c r="J50" s="9"/>
      <c r="K50" s="10"/>
    </row>
    <row r="51" spans="1:11" s="3" customFormat="1" ht="40.5" customHeight="1">
      <c r="A51" s="1">
        <v>11</v>
      </c>
      <c r="B51" s="69" t="s">
        <v>117</v>
      </c>
      <c r="C51" s="1" t="s">
        <v>242</v>
      </c>
      <c r="D51" s="6">
        <f>D42</f>
        <v>35.78</v>
      </c>
      <c r="E51" s="9"/>
      <c r="F51" s="10"/>
      <c r="G51" s="69" t="s">
        <v>245</v>
      </c>
      <c r="H51" s="1" t="s">
        <v>35</v>
      </c>
      <c r="I51" s="73">
        <f>(D51*0.1)*1.02</f>
        <v>3.6495600000000006</v>
      </c>
      <c r="J51" s="9"/>
      <c r="K51" s="10"/>
    </row>
    <row r="52" spans="1:11" s="5" customFormat="1">
      <c r="A52" s="53"/>
      <c r="B52" s="54" t="s">
        <v>284</v>
      </c>
      <c r="C52" s="53"/>
      <c r="D52" s="55">
        <v>0</v>
      </c>
      <c r="E52" s="56"/>
      <c r="F52" s="10">
        <f>D52*E52</f>
        <v>0</v>
      </c>
      <c r="G52" s="57"/>
      <c r="H52" s="58"/>
      <c r="I52" s="59"/>
      <c r="J52" s="60"/>
      <c r="K52" s="74"/>
    </row>
    <row r="53" spans="1:11" s="3" customFormat="1" ht="36">
      <c r="A53" s="1">
        <v>12</v>
      </c>
      <c r="B53" s="69" t="s">
        <v>118</v>
      </c>
      <c r="C53" s="1" t="s">
        <v>35</v>
      </c>
      <c r="D53" s="6">
        <v>50.21</v>
      </c>
      <c r="E53" s="9"/>
      <c r="F53" s="10"/>
      <c r="G53" s="69" t="s">
        <v>110</v>
      </c>
      <c r="H53" s="1" t="s">
        <v>23</v>
      </c>
      <c r="I53" s="73">
        <f>(D53*0.25)*1.6*1.12</f>
        <v>22.494080000000007</v>
      </c>
      <c r="J53" s="9"/>
      <c r="K53" s="10"/>
    </row>
    <row r="54" spans="1:11" s="3" customFormat="1">
      <c r="A54" s="1"/>
      <c r="B54" s="69" t="s">
        <v>60</v>
      </c>
      <c r="C54" s="1" t="s">
        <v>27</v>
      </c>
      <c r="D54" s="6">
        <v>2</v>
      </c>
      <c r="E54" s="9"/>
      <c r="F54" s="10"/>
      <c r="G54" s="69"/>
      <c r="H54" s="1"/>
      <c r="I54" s="6">
        <v>0</v>
      </c>
      <c r="J54" s="9"/>
      <c r="K54" s="10"/>
    </row>
    <row r="55" spans="1:11" s="3" customFormat="1" ht="24">
      <c r="A55" s="1">
        <v>13</v>
      </c>
      <c r="B55" s="69" t="s">
        <v>111</v>
      </c>
      <c r="C55" s="1" t="s">
        <v>35</v>
      </c>
      <c r="D55" s="6">
        <v>50.21</v>
      </c>
      <c r="E55" s="9"/>
      <c r="F55" s="10"/>
      <c r="G55" s="69" t="s">
        <v>112</v>
      </c>
      <c r="H55" s="1" t="s">
        <v>35</v>
      </c>
      <c r="I55" s="50">
        <f>D55*1.1</f>
        <v>55.231000000000009</v>
      </c>
      <c r="J55" s="9"/>
      <c r="K55" s="10"/>
    </row>
    <row r="56" spans="1:11" s="3" customFormat="1" ht="36">
      <c r="A56" s="1">
        <v>14</v>
      </c>
      <c r="B56" s="69" t="s">
        <v>283</v>
      </c>
      <c r="C56" s="1" t="s">
        <v>40</v>
      </c>
      <c r="D56" s="6">
        <v>17.04</v>
      </c>
      <c r="E56" s="9"/>
      <c r="F56" s="10"/>
      <c r="G56" s="69" t="s">
        <v>41</v>
      </c>
      <c r="H56" s="1" t="s">
        <v>23</v>
      </c>
      <c r="I56" s="40">
        <f>D56*0.00002</f>
        <v>3.4079999999999999E-4</v>
      </c>
      <c r="J56" s="9"/>
      <c r="K56" s="10"/>
    </row>
    <row r="57" spans="1:11" s="3" customFormat="1" ht="24">
      <c r="A57" s="31"/>
      <c r="B57" s="69"/>
      <c r="C57" s="1"/>
      <c r="D57" s="6">
        <v>0</v>
      </c>
      <c r="E57" s="9"/>
      <c r="F57" s="10"/>
      <c r="G57" s="69" t="s">
        <v>34</v>
      </c>
      <c r="H57" s="1" t="s">
        <v>35</v>
      </c>
      <c r="I57" s="7">
        <f>D56*1.02</f>
        <v>17.380800000000001</v>
      </c>
      <c r="J57" s="9"/>
      <c r="K57" s="10"/>
    </row>
    <row r="58" spans="1:11" s="3" customFormat="1">
      <c r="A58" s="1"/>
      <c r="B58" s="69"/>
      <c r="C58" s="1"/>
      <c r="D58" s="6">
        <v>0</v>
      </c>
      <c r="E58" s="9"/>
      <c r="F58" s="10"/>
      <c r="G58" s="69" t="s">
        <v>36</v>
      </c>
      <c r="H58" s="1" t="s">
        <v>29</v>
      </c>
      <c r="I58" s="7">
        <f>0.015*D56</f>
        <v>0.25559999999999999</v>
      </c>
      <c r="J58" s="9"/>
      <c r="K58" s="10"/>
    </row>
    <row r="59" spans="1:11" s="3" customFormat="1" ht="24">
      <c r="A59" s="31"/>
      <c r="B59" s="69"/>
      <c r="C59" s="1"/>
      <c r="D59" s="6">
        <v>0</v>
      </c>
      <c r="E59" s="9"/>
      <c r="F59" s="10"/>
      <c r="G59" s="69" t="s">
        <v>74</v>
      </c>
      <c r="H59" s="1" t="s">
        <v>37</v>
      </c>
      <c r="I59" s="7">
        <f>0.096*D56</f>
        <v>1.63584</v>
      </c>
      <c r="J59" s="9"/>
      <c r="K59" s="10"/>
    </row>
    <row r="60" spans="1:11" s="3" customFormat="1">
      <c r="A60" s="1"/>
      <c r="B60" s="69"/>
      <c r="C60" s="1"/>
      <c r="D60" s="6">
        <v>0</v>
      </c>
      <c r="E60" s="9"/>
      <c r="F60" s="10"/>
      <c r="G60" s="69" t="s">
        <v>38</v>
      </c>
      <c r="H60" s="1" t="s">
        <v>21</v>
      </c>
      <c r="I60" s="6">
        <v>1</v>
      </c>
      <c r="J60" s="9"/>
      <c r="K60" s="10"/>
    </row>
    <row r="61" spans="1:11" s="3" customFormat="1" ht="24">
      <c r="A61" s="1">
        <v>15</v>
      </c>
      <c r="B61" s="69" t="s">
        <v>119</v>
      </c>
      <c r="C61" s="1" t="s">
        <v>23</v>
      </c>
      <c r="D61" s="40">
        <f>I62+I63</f>
        <v>0.90359999999999996</v>
      </c>
      <c r="E61" s="9"/>
      <c r="F61" s="10"/>
      <c r="G61" s="69" t="s">
        <v>114</v>
      </c>
      <c r="H61" s="1" t="s">
        <v>115</v>
      </c>
      <c r="I61" s="40">
        <f>0.003*D61</f>
        <v>2.7107999999999998E-3</v>
      </c>
      <c r="J61" s="9"/>
      <c r="K61" s="10"/>
    </row>
    <row r="62" spans="1:11" s="3" customFormat="1" ht="36">
      <c r="A62" s="1"/>
      <c r="B62" s="69"/>
      <c r="C62" s="1"/>
      <c r="D62" s="6">
        <v>0</v>
      </c>
      <c r="E62" s="9"/>
      <c r="F62" s="10"/>
      <c r="G62" s="69" t="s">
        <v>69</v>
      </c>
      <c r="H62" s="1" t="s">
        <v>23</v>
      </c>
      <c r="I62" s="40">
        <f>0.045*D64</f>
        <v>0.67769999999999997</v>
      </c>
      <c r="J62" s="9"/>
      <c r="K62" s="10"/>
    </row>
    <row r="63" spans="1:11" s="3" customFormat="1" ht="36">
      <c r="A63" s="1"/>
      <c r="B63" s="69"/>
      <c r="C63" s="1"/>
      <c r="D63" s="6">
        <v>0</v>
      </c>
      <c r="E63" s="9"/>
      <c r="F63" s="10"/>
      <c r="G63" s="69" t="s">
        <v>46</v>
      </c>
      <c r="H63" s="1" t="s">
        <v>23</v>
      </c>
      <c r="I63" s="40">
        <f>0.015*D64</f>
        <v>0.22589999999999999</v>
      </c>
      <c r="J63" s="9"/>
      <c r="K63" s="10"/>
    </row>
    <row r="64" spans="1:11" s="3" customFormat="1" ht="36">
      <c r="A64" s="1">
        <v>16</v>
      </c>
      <c r="B64" s="69" t="s">
        <v>243</v>
      </c>
      <c r="C64" s="1" t="s">
        <v>29</v>
      </c>
      <c r="D64" s="6">
        <v>15.06</v>
      </c>
      <c r="E64" s="9"/>
      <c r="F64" s="10"/>
      <c r="G64" s="69" t="s">
        <v>246</v>
      </c>
      <c r="H64" s="1" t="s">
        <v>29</v>
      </c>
      <c r="I64" s="51">
        <f>D64*1.02</f>
        <v>15.3612</v>
      </c>
      <c r="J64" s="9"/>
      <c r="K64" s="10"/>
    </row>
    <row r="65" spans="1:11" s="3" customFormat="1">
      <c r="A65" s="35"/>
      <c r="B65" s="116" t="s">
        <v>61</v>
      </c>
      <c r="C65" s="116"/>
      <c r="D65" s="116"/>
      <c r="E65" s="116"/>
      <c r="F65" s="10">
        <f>SUM(F41:F64)</f>
        <v>0</v>
      </c>
      <c r="G65" s="35"/>
      <c r="H65" s="35"/>
      <c r="I65" s="35"/>
      <c r="J65" s="35"/>
      <c r="K65" s="10"/>
    </row>
    <row r="66" spans="1:11" s="3" customFormat="1">
      <c r="A66" s="1"/>
      <c r="B66" s="118" t="s">
        <v>212</v>
      </c>
      <c r="C66" s="118"/>
      <c r="D66" s="118"/>
      <c r="E66" s="118"/>
      <c r="F66" s="10">
        <f>F65+K65</f>
        <v>0</v>
      </c>
      <c r="G66" s="35" t="s">
        <v>213</v>
      </c>
      <c r="H66" s="35" t="s">
        <v>213</v>
      </c>
      <c r="I66" s="35" t="s">
        <v>213</v>
      </c>
      <c r="J66" s="35"/>
      <c r="K66" s="35"/>
    </row>
    <row r="67" spans="1:11" s="3" customFormat="1">
      <c r="A67" s="1"/>
      <c r="B67" s="118" t="s">
        <v>214</v>
      </c>
      <c r="C67" s="118"/>
      <c r="D67" s="118"/>
      <c r="E67" s="118"/>
      <c r="F67" s="35"/>
      <c r="G67" s="35" t="s">
        <v>213</v>
      </c>
      <c r="H67" s="35" t="s">
        <v>213</v>
      </c>
      <c r="I67" s="35" t="s">
        <v>213</v>
      </c>
      <c r="J67" s="35"/>
      <c r="K67" s="35"/>
    </row>
    <row r="68" spans="1:11" s="3" customFormat="1">
      <c r="A68" s="1"/>
      <c r="B68" s="118" t="s">
        <v>215</v>
      </c>
      <c r="C68" s="118"/>
      <c r="D68" s="118"/>
      <c r="E68" s="118"/>
      <c r="F68" s="10">
        <f>F65-F70</f>
        <v>0</v>
      </c>
      <c r="G68" s="35" t="s">
        <v>213</v>
      </c>
      <c r="H68" s="35" t="s">
        <v>213</v>
      </c>
      <c r="I68" s="35" t="s">
        <v>213</v>
      </c>
      <c r="J68" s="35"/>
      <c r="K68" s="35"/>
    </row>
    <row r="69" spans="1:11" s="3" customFormat="1">
      <c r="A69" s="1"/>
      <c r="B69" s="118" t="s">
        <v>216</v>
      </c>
      <c r="C69" s="118"/>
      <c r="D69" s="118"/>
      <c r="E69" s="118"/>
      <c r="F69" s="10">
        <f>K65</f>
        <v>0</v>
      </c>
      <c r="G69" s="35" t="s">
        <v>213</v>
      </c>
      <c r="H69" s="35" t="s">
        <v>213</v>
      </c>
      <c r="I69" s="35" t="s">
        <v>213</v>
      </c>
      <c r="J69" s="35"/>
      <c r="K69" s="35"/>
    </row>
    <row r="70" spans="1:11" s="3" customFormat="1">
      <c r="A70" s="1"/>
      <c r="B70" s="118" t="s">
        <v>217</v>
      </c>
      <c r="C70" s="118"/>
      <c r="D70" s="118"/>
      <c r="E70" s="118"/>
      <c r="F70" s="10">
        <f>F43+F54</f>
        <v>0</v>
      </c>
      <c r="G70" s="35" t="s">
        <v>213</v>
      </c>
      <c r="H70" s="35" t="s">
        <v>213</v>
      </c>
      <c r="I70" s="35" t="s">
        <v>213</v>
      </c>
      <c r="J70" s="35"/>
      <c r="K70" s="35"/>
    </row>
    <row r="71" spans="1:11" s="3" customFormat="1">
      <c r="A71" s="1"/>
      <c r="B71" s="118" t="s">
        <v>218</v>
      </c>
      <c r="C71" s="118"/>
      <c r="D71" s="118"/>
      <c r="E71" s="118"/>
      <c r="F71" s="10">
        <f>SUM(F68:F70)</f>
        <v>0</v>
      </c>
      <c r="G71" s="35" t="s">
        <v>213</v>
      </c>
      <c r="H71" s="35" t="s">
        <v>213</v>
      </c>
      <c r="I71" s="35" t="s">
        <v>213</v>
      </c>
      <c r="J71" s="35"/>
      <c r="K71" s="35"/>
    </row>
    <row r="72" spans="1:11" s="3" customFormat="1">
      <c r="A72" s="36"/>
      <c r="B72" s="117" t="s">
        <v>219</v>
      </c>
      <c r="C72" s="117"/>
      <c r="D72" s="117"/>
      <c r="E72" s="117"/>
      <c r="F72" s="37">
        <f>F68*0.15</f>
        <v>0</v>
      </c>
      <c r="G72" s="38"/>
      <c r="H72" s="38"/>
      <c r="I72" s="38"/>
      <c r="J72" s="38"/>
      <c r="K72" s="38"/>
    </row>
    <row r="73" spans="1:11" s="3" customFormat="1">
      <c r="A73" s="36"/>
      <c r="B73" s="117" t="s">
        <v>220</v>
      </c>
      <c r="C73" s="117"/>
      <c r="D73" s="117"/>
      <c r="E73" s="117"/>
      <c r="F73" s="37">
        <f>K65*0.1</f>
        <v>0</v>
      </c>
      <c r="G73" s="38"/>
      <c r="H73" s="38"/>
      <c r="I73" s="38"/>
      <c r="J73" s="38"/>
      <c r="K73" s="38"/>
    </row>
    <row r="74" spans="1:11" s="3" customFormat="1">
      <c r="A74" s="35"/>
      <c r="B74" s="118" t="s">
        <v>221</v>
      </c>
      <c r="C74" s="118"/>
      <c r="D74" s="118"/>
      <c r="E74" s="118"/>
      <c r="F74" s="10">
        <f>SUM(F71:F73)</f>
        <v>0</v>
      </c>
      <c r="G74" s="35"/>
      <c r="H74" s="35"/>
      <c r="I74" s="35"/>
      <c r="J74" s="35"/>
      <c r="K74" s="35"/>
    </row>
    <row r="75" spans="1:11" s="3" customForma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s="3" customFormat="1"/>
    <row r="77" spans="1:11" s="3" customFormat="1"/>
    <row r="78" spans="1:11" s="3" customFormat="1" ht="24.95" customHeight="1">
      <c r="B78" s="115" t="s">
        <v>222</v>
      </c>
      <c r="C78" s="115"/>
      <c r="D78" s="115"/>
      <c r="E78" s="115"/>
      <c r="F78" s="115"/>
      <c r="G78" s="115" t="s">
        <v>223</v>
      </c>
      <c r="H78" s="115"/>
      <c r="I78" s="115"/>
      <c r="J78" s="115"/>
      <c r="K78" s="115"/>
    </row>
    <row r="79" spans="1:11" s="3" customFormat="1" ht="24.95" customHeight="1">
      <c r="B79" s="115" t="s">
        <v>224</v>
      </c>
      <c r="C79" s="115"/>
      <c r="D79" s="115"/>
      <c r="E79" s="115"/>
      <c r="F79" s="115"/>
      <c r="G79" s="115" t="s">
        <v>224</v>
      </c>
      <c r="H79" s="115"/>
      <c r="I79" s="115"/>
      <c r="J79" s="115"/>
      <c r="K79" s="115"/>
    </row>
    <row r="80" spans="1:11" s="3" customFormat="1" ht="24.95" customHeight="1">
      <c r="B80" s="115" t="s">
        <v>225</v>
      </c>
      <c r="C80" s="115"/>
      <c r="D80" s="115"/>
      <c r="E80" s="115"/>
      <c r="F80" s="115"/>
      <c r="G80" s="115" t="s">
        <v>225</v>
      </c>
      <c r="H80" s="115"/>
      <c r="I80" s="115"/>
      <c r="J80" s="115"/>
      <c r="K80" s="115"/>
    </row>
    <row r="81" spans="7:7" s="3" customFormat="1"/>
    <row r="84" spans="7:7">
      <c r="G84" s="3"/>
    </row>
  </sheetData>
  <mergeCells count="33">
    <mergeCell ref="A8:I8"/>
    <mergeCell ref="A3:I3"/>
    <mergeCell ref="A4:I4"/>
    <mergeCell ref="A5:I5"/>
    <mergeCell ref="A6:I6"/>
    <mergeCell ref="A7:I7"/>
    <mergeCell ref="B19:F19"/>
    <mergeCell ref="B65:E65"/>
    <mergeCell ref="A11:I11"/>
    <mergeCell ref="D13:G13"/>
    <mergeCell ref="D14:G14"/>
    <mergeCell ref="D15:G15"/>
    <mergeCell ref="A16:A17"/>
    <mergeCell ref="B16:B17"/>
    <mergeCell ref="C16:C17"/>
    <mergeCell ref="D16:D17"/>
    <mergeCell ref="E16:F16"/>
    <mergeCell ref="G16:K16"/>
    <mergeCell ref="B78:F78"/>
    <mergeCell ref="G78:K78"/>
    <mergeCell ref="B79:F79"/>
    <mergeCell ref="G79:K79"/>
    <mergeCell ref="B80:F80"/>
    <mergeCell ref="G80:K80"/>
    <mergeCell ref="B72:E72"/>
    <mergeCell ref="B73:E73"/>
    <mergeCell ref="B74:E74"/>
    <mergeCell ref="B66:E66"/>
    <mergeCell ref="B67:E67"/>
    <mergeCell ref="B68:E68"/>
    <mergeCell ref="B69:E69"/>
    <mergeCell ref="B70:E70"/>
    <mergeCell ref="B71:E71"/>
  </mergeCells>
  <pageMargins left="0.6" right="0.3" top="0.6" bottom="0.4" header="0.3" footer="0"/>
  <pageSetup paperSize="9" fitToHeight="0" orientation="landscape" r:id="rId1"/>
  <headerFooter alignWithMargins="0">
    <oddHeader>&amp;LСтроительные Технологии - Смета™ ред. 7.7.10&amp;C- &amp;P -&amp;R228_дцк_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24" zoomScale="115" zoomScaleNormal="115" workbookViewId="0">
      <selection activeCell="F37" sqref="F37"/>
    </sheetView>
  </sheetViews>
  <sheetFormatPr defaultRowHeight="12.75"/>
  <cols>
    <col min="1" max="1" width="3.7109375" customWidth="1"/>
    <col min="2" max="2" width="22.7109375" customWidth="1"/>
    <col min="3" max="5" width="8.7109375" customWidth="1"/>
    <col min="6" max="6" width="10.7109375" customWidth="1"/>
    <col min="7" max="7" width="22.7109375" customWidth="1"/>
    <col min="8" max="10" width="8.7109375" customWidth="1"/>
    <col min="11" max="11" width="10.7109375" customWidth="1"/>
  </cols>
  <sheetData>
    <row r="1" spans="1:11" s="3" customFormat="1"/>
    <row r="2" spans="1:11" s="3" customFormat="1"/>
    <row r="3" spans="1:11" s="3" customFormat="1">
      <c r="A3" s="119" t="s">
        <v>0</v>
      </c>
      <c r="B3" s="119"/>
      <c r="C3" s="119"/>
      <c r="D3" s="119"/>
      <c r="E3" s="119"/>
      <c r="F3" s="119"/>
      <c r="G3" s="119"/>
      <c r="H3" s="119"/>
      <c r="I3" s="119"/>
    </row>
    <row r="4" spans="1:11" s="3" customFormat="1">
      <c r="A4" s="119" t="s">
        <v>1</v>
      </c>
      <c r="B4" s="119"/>
      <c r="C4" s="119"/>
      <c r="D4" s="119"/>
      <c r="E4" s="119"/>
      <c r="F4" s="119"/>
      <c r="G4" s="119"/>
      <c r="H4" s="119"/>
      <c r="I4" s="119"/>
    </row>
    <row r="5" spans="1:11" s="3" customFormat="1">
      <c r="A5" s="119" t="s">
        <v>2</v>
      </c>
      <c r="B5" s="119"/>
      <c r="C5" s="119"/>
      <c r="D5" s="119"/>
      <c r="E5" s="119"/>
      <c r="F5" s="119"/>
      <c r="G5" s="119"/>
      <c r="H5" s="119"/>
      <c r="I5" s="119"/>
    </row>
    <row r="6" spans="1:11" s="3" customFormat="1">
      <c r="A6" s="119" t="s">
        <v>3</v>
      </c>
      <c r="B6" s="119"/>
      <c r="C6" s="119"/>
      <c r="D6" s="119"/>
      <c r="E6" s="119"/>
      <c r="F6" s="119"/>
      <c r="G6" s="119"/>
      <c r="H6" s="119"/>
      <c r="I6" s="119"/>
    </row>
    <row r="7" spans="1:11" s="3" customFormat="1">
      <c r="A7" s="120" t="s">
        <v>332</v>
      </c>
      <c r="B7" s="120"/>
      <c r="C7" s="120"/>
      <c r="D7" s="120"/>
      <c r="E7" s="120"/>
      <c r="F7" s="120"/>
      <c r="G7" s="120"/>
      <c r="H7" s="120"/>
      <c r="I7" s="120"/>
    </row>
    <row r="8" spans="1:11" s="3" customFormat="1">
      <c r="A8" s="119" t="s">
        <v>4</v>
      </c>
      <c r="B8" s="119"/>
      <c r="C8" s="119"/>
      <c r="D8" s="119"/>
      <c r="E8" s="119"/>
      <c r="F8" s="119"/>
      <c r="G8" s="119"/>
      <c r="H8" s="119"/>
      <c r="I8" s="119"/>
    </row>
    <row r="9" spans="1:11" s="3" customFormat="1"/>
    <row r="10" spans="1:11" s="3" customFormat="1"/>
    <row r="11" spans="1:11" s="3" customFormat="1" ht="24.95" customHeight="1">
      <c r="A11" s="123" t="s">
        <v>5</v>
      </c>
      <c r="B11" s="123"/>
      <c r="C11" s="123"/>
      <c r="D11" s="123"/>
      <c r="E11" s="123"/>
      <c r="F11" s="123"/>
      <c r="G11" s="123"/>
      <c r="H11" s="123"/>
      <c r="I11" s="123"/>
    </row>
    <row r="12" spans="1:11" s="3" customFormat="1"/>
    <row r="13" spans="1:11" s="3" customFormat="1">
      <c r="D13" s="124" t="s">
        <v>6</v>
      </c>
      <c r="E13" s="124"/>
      <c r="F13" s="124"/>
      <c r="G13" s="124"/>
      <c r="H13" s="13">
        <f>F47</f>
        <v>0</v>
      </c>
      <c r="I13" s="68"/>
    </row>
    <row r="14" spans="1:11" s="3" customFormat="1">
      <c r="D14" s="124" t="s">
        <v>7</v>
      </c>
      <c r="E14" s="124"/>
      <c r="F14" s="124"/>
      <c r="G14" s="124"/>
      <c r="H14" s="13">
        <f>K38</f>
        <v>0</v>
      </c>
      <c r="I14" s="68"/>
    </row>
    <row r="15" spans="1:11" s="3" customFormat="1">
      <c r="D15" s="124" t="s">
        <v>8</v>
      </c>
      <c r="E15" s="124"/>
      <c r="F15" s="124"/>
      <c r="G15" s="124"/>
      <c r="H15" s="13">
        <f>F41</f>
        <v>0</v>
      </c>
      <c r="I15" s="68"/>
    </row>
    <row r="16" spans="1:11" s="3" customFormat="1">
      <c r="A16" s="121" t="s">
        <v>9</v>
      </c>
      <c r="B16" s="121" t="s">
        <v>10</v>
      </c>
      <c r="C16" s="121" t="s">
        <v>11</v>
      </c>
      <c r="D16" s="121" t="s">
        <v>12</v>
      </c>
      <c r="E16" s="121" t="s">
        <v>232</v>
      </c>
      <c r="F16" s="121"/>
      <c r="G16" s="121" t="s">
        <v>233</v>
      </c>
      <c r="H16" s="121"/>
      <c r="I16" s="121"/>
      <c r="J16" s="121"/>
      <c r="K16" s="121"/>
    </row>
    <row r="17" spans="1:11" s="3" customFormat="1" ht="22.5">
      <c r="A17" s="121"/>
      <c r="B17" s="121"/>
      <c r="C17" s="121"/>
      <c r="D17" s="121"/>
      <c r="E17" s="67" t="s">
        <v>13</v>
      </c>
      <c r="F17" s="67" t="s">
        <v>14</v>
      </c>
      <c r="G17" s="67" t="s">
        <v>15</v>
      </c>
      <c r="H17" s="67" t="s">
        <v>11</v>
      </c>
      <c r="I17" s="67" t="s">
        <v>12</v>
      </c>
      <c r="J17" s="67" t="s">
        <v>16</v>
      </c>
      <c r="K17" s="67" t="s">
        <v>17</v>
      </c>
    </row>
    <row r="18" spans="1:11" s="3" customFormat="1">
      <c r="A18" s="67">
        <v>1</v>
      </c>
      <c r="B18" s="67">
        <v>2</v>
      </c>
      <c r="C18" s="67">
        <v>4</v>
      </c>
      <c r="D18" s="67">
        <v>5</v>
      </c>
      <c r="E18" s="67">
        <v>6</v>
      </c>
      <c r="F18" s="67">
        <v>7</v>
      </c>
      <c r="G18" s="67">
        <v>8</v>
      </c>
      <c r="H18" s="67">
        <v>9</v>
      </c>
      <c r="I18" s="67">
        <v>11</v>
      </c>
      <c r="J18" s="67">
        <v>12</v>
      </c>
      <c r="K18" s="67">
        <v>13</v>
      </c>
    </row>
    <row r="19" spans="1:11" s="5" customFormat="1">
      <c r="A19" s="14"/>
      <c r="B19" s="122" t="s">
        <v>261</v>
      </c>
      <c r="C19" s="122"/>
      <c r="D19" s="122"/>
      <c r="E19" s="122"/>
      <c r="F19" s="122"/>
      <c r="G19" s="14"/>
      <c r="H19" s="14"/>
      <c r="I19" s="14"/>
      <c r="J19" s="14"/>
      <c r="K19" s="14"/>
    </row>
    <row r="20" spans="1:11" s="3" customFormat="1" ht="24">
      <c r="A20" s="1">
        <v>1</v>
      </c>
      <c r="B20" s="69" t="s">
        <v>120</v>
      </c>
      <c r="C20" s="1" t="s">
        <v>76</v>
      </c>
      <c r="D20" s="6">
        <v>21</v>
      </c>
      <c r="E20" s="9"/>
      <c r="F20" s="10"/>
      <c r="G20" s="69"/>
      <c r="H20" s="1"/>
      <c r="I20" s="6">
        <v>0</v>
      </c>
      <c r="J20" s="9"/>
      <c r="K20" s="10"/>
    </row>
    <row r="21" spans="1:11" s="3" customFormat="1" ht="24">
      <c r="A21" s="1"/>
      <c r="B21" s="69"/>
      <c r="C21" s="1"/>
      <c r="D21" s="6">
        <v>0</v>
      </c>
      <c r="E21" s="9"/>
      <c r="F21" s="10"/>
      <c r="G21" s="69" t="s">
        <v>362</v>
      </c>
      <c r="H21" s="1" t="s">
        <v>21</v>
      </c>
      <c r="I21" s="6">
        <v>2</v>
      </c>
      <c r="J21" s="9"/>
      <c r="K21" s="10"/>
    </row>
    <row r="22" spans="1:11" s="3" customFormat="1" ht="24">
      <c r="A22" s="1"/>
      <c r="B22" s="69"/>
      <c r="C22" s="1"/>
      <c r="D22" s="6">
        <v>0</v>
      </c>
      <c r="E22" s="9"/>
      <c r="F22" s="10"/>
      <c r="G22" s="69" t="s">
        <v>413</v>
      </c>
      <c r="H22" s="1" t="s">
        <v>21</v>
      </c>
      <c r="I22" s="6">
        <v>1</v>
      </c>
      <c r="J22" s="9"/>
      <c r="K22" s="10"/>
    </row>
    <row r="23" spans="1:11" s="3" customFormat="1" ht="24">
      <c r="A23" s="1"/>
      <c r="B23" s="69"/>
      <c r="C23" s="1"/>
      <c r="D23" s="6">
        <v>0</v>
      </c>
      <c r="E23" s="9"/>
      <c r="F23" s="10"/>
      <c r="G23" s="69" t="s">
        <v>414</v>
      </c>
      <c r="H23" s="1" t="s">
        <v>21</v>
      </c>
      <c r="I23" s="6">
        <v>5</v>
      </c>
      <c r="J23" s="9"/>
      <c r="K23" s="10"/>
    </row>
    <row r="24" spans="1:11" s="3" customFormat="1" ht="24">
      <c r="A24" s="1"/>
      <c r="B24" s="69"/>
      <c r="C24" s="1"/>
      <c r="D24" s="6">
        <v>0</v>
      </c>
      <c r="E24" s="9"/>
      <c r="F24" s="10"/>
      <c r="G24" s="69" t="s">
        <v>415</v>
      </c>
      <c r="H24" s="1" t="s">
        <v>21</v>
      </c>
      <c r="I24" s="6">
        <v>2</v>
      </c>
      <c r="J24" s="9"/>
      <c r="K24" s="10"/>
    </row>
    <row r="25" spans="1:11" s="3" customFormat="1" ht="24">
      <c r="A25" s="1"/>
      <c r="B25" s="69"/>
      <c r="C25" s="1"/>
      <c r="D25" s="6">
        <v>0</v>
      </c>
      <c r="E25" s="9"/>
      <c r="F25" s="10"/>
      <c r="G25" s="69" t="s">
        <v>416</v>
      </c>
      <c r="H25" s="1" t="s">
        <v>21</v>
      </c>
      <c r="I25" s="6">
        <v>2</v>
      </c>
      <c r="J25" s="9"/>
      <c r="K25" s="10"/>
    </row>
    <row r="26" spans="1:11" s="3" customFormat="1" ht="24">
      <c r="A26" s="1"/>
      <c r="B26" s="69"/>
      <c r="C26" s="1"/>
      <c r="D26" s="6"/>
      <c r="E26" s="9"/>
      <c r="F26" s="10"/>
      <c r="G26" s="69" t="s">
        <v>417</v>
      </c>
      <c r="H26" s="1" t="s">
        <v>21</v>
      </c>
      <c r="I26" s="6">
        <v>1</v>
      </c>
      <c r="J26" s="9"/>
      <c r="K26" s="10"/>
    </row>
    <row r="27" spans="1:11" s="3" customFormat="1" ht="24">
      <c r="A27" s="1"/>
      <c r="B27" s="69"/>
      <c r="C27" s="1"/>
      <c r="D27" s="6"/>
      <c r="E27" s="9"/>
      <c r="F27" s="10"/>
      <c r="G27" s="69" t="s">
        <v>418</v>
      </c>
      <c r="H27" s="1" t="s">
        <v>21</v>
      </c>
      <c r="I27" s="6">
        <v>1</v>
      </c>
      <c r="J27" s="9"/>
      <c r="K27" s="10"/>
    </row>
    <row r="28" spans="1:11" s="3" customFormat="1">
      <c r="A28" s="1"/>
      <c r="B28" s="69"/>
      <c r="C28" s="1"/>
      <c r="D28" s="6"/>
      <c r="E28" s="9"/>
      <c r="F28" s="10"/>
      <c r="G28" s="69" t="s">
        <v>419</v>
      </c>
      <c r="H28" s="1" t="s">
        <v>21</v>
      </c>
      <c r="I28" s="6">
        <v>1</v>
      </c>
      <c r="J28" s="9"/>
      <c r="K28" s="10"/>
    </row>
    <row r="29" spans="1:11" s="3" customFormat="1" ht="24">
      <c r="A29" s="1"/>
      <c r="B29" s="69"/>
      <c r="C29" s="1"/>
      <c r="D29" s="6"/>
      <c r="E29" s="9"/>
      <c r="F29" s="10"/>
      <c r="G29" s="69" t="s">
        <v>420</v>
      </c>
      <c r="H29" s="1" t="s">
        <v>21</v>
      </c>
      <c r="I29" s="6">
        <v>5</v>
      </c>
      <c r="J29" s="9"/>
      <c r="K29" s="10"/>
    </row>
    <row r="30" spans="1:11" s="3" customFormat="1" ht="24">
      <c r="A30" s="1"/>
      <c r="B30" s="69"/>
      <c r="C30" s="1"/>
      <c r="D30" s="6"/>
      <c r="E30" s="9"/>
      <c r="F30" s="10"/>
      <c r="G30" s="69" t="s">
        <v>421</v>
      </c>
      <c r="H30" s="1" t="s">
        <v>21</v>
      </c>
      <c r="I30" s="6">
        <v>1</v>
      </c>
      <c r="J30" s="9"/>
      <c r="K30" s="10"/>
    </row>
    <row r="31" spans="1:11" s="3" customFormat="1" ht="24">
      <c r="A31" s="1">
        <v>2</v>
      </c>
      <c r="B31" s="69" t="s">
        <v>121</v>
      </c>
      <c r="C31" s="1" t="s">
        <v>76</v>
      </c>
      <c r="D31" s="6">
        <v>15</v>
      </c>
      <c r="E31" s="9"/>
      <c r="F31" s="10"/>
      <c r="G31" s="69"/>
      <c r="H31" s="1"/>
      <c r="I31" s="6">
        <v>0</v>
      </c>
      <c r="J31" s="9"/>
      <c r="K31" s="10">
        <f>I31*J31</f>
        <v>0</v>
      </c>
    </row>
    <row r="32" spans="1:11" s="3" customFormat="1">
      <c r="A32" s="1"/>
      <c r="B32" s="69"/>
      <c r="C32" s="1"/>
      <c r="D32" s="6">
        <v>0</v>
      </c>
      <c r="E32" s="9"/>
      <c r="F32" s="10"/>
      <c r="G32" s="69" t="s">
        <v>422</v>
      </c>
      <c r="H32" s="1" t="s">
        <v>21</v>
      </c>
      <c r="I32" s="6">
        <v>1</v>
      </c>
      <c r="J32" s="9"/>
      <c r="K32" s="10"/>
    </row>
    <row r="33" spans="1:13" s="3" customFormat="1">
      <c r="A33" s="1"/>
      <c r="B33" s="69"/>
      <c r="C33" s="1"/>
      <c r="D33" s="6">
        <v>0</v>
      </c>
      <c r="E33" s="9"/>
      <c r="F33" s="10"/>
      <c r="G33" s="69" t="s">
        <v>423</v>
      </c>
      <c r="H33" s="1" t="s">
        <v>21</v>
      </c>
      <c r="I33" s="6">
        <v>1</v>
      </c>
      <c r="J33" s="9"/>
      <c r="K33" s="10"/>
    </row>
    <row r="34" spans="1:13" s="3" customFormat="1">
      <c r="A34" s="1"/>
      <c r="B34" s="69"/>
      <c r="C34" s="1"/>
      <c r="D34" s="6">
        <v>0</v>
      </c>
      <c r="E34" s="9"/>
      <c r="F34" s="10"/>
      <c r="G34" s="69" t="s">
        <v>424</v>
      </c>
      <c r="H34" s="1" t="s">
        <v>21</v>
      </c>
      <c r="I34" s="6">
        <v>1</v>
      </c>
      <c r="J34" s="9"/>
      <c r="K34" s="10"/>
    </row>
    <row r="35" spans="1:13" s="3" customFormat="1">
      <c r="A35" s="1"/>
      <c r="B35" s="69"/>
      <c r="C35" s="1"/>
      <c r="D35" s="6">
        <v>0</v>
      </c>
      <c r="E35" s="9"/>
      <c r="F35" s="10"/>
      <c r="G35" s="69" t="s">
        <v>425</v>
      </c>
      <c r="H35" s="1" t="s">
        <v>21</v>
      </c>
      <c r="I35" s="6">
        <v>1</v>
      </c>
      <c r="J35" s="9"/>
      <c r="K35" s="10"/>
    </row>
    <row r="36" spans="1:13" s="3" customFormat="1">
      <c r="A36" s="1"/>
      <c r="B36" s="69"/>
      <c r="C36" s="1"/>
      <c r="D36" s="6">
        <v>0</v>
      </c>
      <c r="E36" s="9"/>
      <c r="F36" s="10"/>
      <c r="G36" s="69" t="s">
        <v>363</v>
      </c>
      <c r="H36" s="1" t="s">
        <v>21</v>
      </c>
      <c r="I36" s="6">
        <v>4</v>
      </c>
      <c r="J36" s="9"/>
      <c r="K36" s="10"/>
    </row>
    <row r="37" spans="1:13" s="3" customFormat="1">
      <c r="A37" s="1"/>
      <c r="B37" s="69"/>
      <c r="C37" s="1"/>
      <c r="D37" s="6"/>
      <c r="E37" s="9"/>
      <c r="F37" s="10"/>
      <c r="G37" s="69" t="s">
        <v>426</v>
      </c>
      <c r="H37" s="1" t="s">
        <v>21</v>
      </c>
      <c r="I37" s="6">
        <v>7</v>
      </c>
      <c r="J37" s="9"/>
      <c r="K37" s="75"/>
    </row>
    <row r="38" spans="1:13" s="3" customFormat="1">
      <c r="A38" s="35"/>
      <c r="B38" s="116" t="s">
        <v>61</v>
      </c>
      <c r="C38" s="116"/>
      <c r="D38" s="116"/>
      <c r="E38" s="116"/>
      <c r="F38" s="10">
        <f>SUM(F20:F36)</f>
        <v>0</v>
      </c>
      <c r="G38" s="35"/>
      <c r="H38" s="35"/>
      <c r="I38" s="35"/>
      <c r="J38" s="35"/>
      <c r="K38" s="75">
        <f>SUM(K20:K36)</f>
        <v>0</v>
      </c>
      <c r="L38" s="11"/>
      <c r="M38" s="11"/>
    </row>
    <row r="39" spans="1:13" s="3" customFormat="1">
      <c r="A39" s="1"/>
      <c r="B39" s="118" t="s">
        <v>212</v>
      </c>
      <c r="C39" s="118"/>
      <c r="D39" s="118"/>
      <c r="E39" s="118"/>
      <c r="F39" s="10">
        <f>F38+K38</f>
        <v>0</v>
      </c>
      <c r="G39" s="35" t="s">
        <v>213</v>
      </c>
      <c r="H39" s="35" t="s">
        <v>213</v>
      </c>
      <c r="I39" s="35" t="s">
        <v>213</v>
      </c>
      <c r="J39" s="35"/>
      <c r="K39" s="35"/>
    </row>
    <row r="40" spans="1:13" s="3" customFormat="1">
      <c r="A40" s="1"/>
      <c r="B40" s="118" t="s">
        <v>214</v>
      </c>
      <c r="C40" s="118"/>
      <c r="D40" s="118"/>
      <c r="E40" s="118"/>
      <c r="F40" s="35"/>
      <c r="G40" s="35" t="s">
        <v>213</v>
      </c>
      <c r="H40" s="35" t="s">
        <v>213</v>
      </c>
      <c r="I40" s="35" t="s">
        <v>213</v>
      </c>
      <c r="J40" s="35"/>
      <c r="K40" s="35"/>
    </row>
    <row r="41" spans="1:13" s="3" customFormat="1">
      <c r="A41" s="1"/>
      <c r="B41" s="118" t="s">
        <v>215</v>
      </c>
      <c r="C41" s="118"/>
      <c r="D41" s="118"/>
      <c r="E41" s="118"/>
      <c r="F41" s="10">
        <f>F38-F43</f>
        <v>0</v>
      </c>
      <c r="G41" s="35" t="s">
        <v>213</v>
      </c>
      <c r="H41" s="35" t="s">
        <v>213</v>
      </c>
      <c r="I41" s="35" t="s">
        <v>213</v>
      </c>
      <c r="J41" s="35"/>
      <c r="K41" s="35"/>
    </row>
    <row r="42" spans="1:13" s="3" customFormat="1">
      <c r="A42" s="1"/>
      <c r="B42" s="118" t="s">
        <v>216</v>
      </c>
      <c r="C42" s="118"/>
      <c r="D42" s="118"/>
      <c r="E42" s="118"/>
      <c r="F42" s="10">
        <f>K38</f>
        <v>0</v>
      </c>
      <c r="G42" s="35" t="s">
        <v>213</v>
      </c>
      <c r="H42" s="35" t="s">
        <v>213</v>
      </c>
      <c r="I42" s="35" t="s">
        <v>213</v>
      </c>
      <c r="J42" s="35"/>
      <c r="K42" s="35"/>
    </row>
    <row r="43" spans="1:13" s="3" customFormat="1">
      <c r="A43" s="1"/>
      <c r="B43" s="118" t="s">
        <v>217</v>
      </c>
      <c r="C43" s="118"/>
      <c r="D43" s="118"/>
      <c r="E43" s="118"/>
      <c r="F43" s="10">
        <f>F8+F19</f>
        <v>0</v>
      </c>
      <c r="G43" s="35" t="s">
        <v>213</v>
      </c>
      <c r="H43" s="35" t="s">
        <v>213</v>
      </c>
      <c r="I43" s="35" t="s">
        <v>213</v>
      </c>
      <c r="J43" s="35"/>
      <c r="K43" s="35"/>
    </row>
    <row r="44" spans="1:13" s="3" customFormat="1">
      <c r="A44" s="1"/>
      <c r="B44" s="118" t="s">
        <v>218</v>
      </c>
      <c r="C44" s="118"/>
      <c r="D44" s="118"/>
      <c r="E44" s="118"/>
      <c r="F44" s="10">
        <f>SUM(F41:F43)</f>
        <v>0</v>
      </c>
      <c r="G44" s="35" t="s">
        <v>213</v>
      </c>
      <c r="H44" s="35" t="s">
        <v>213</v>
      </c>
      <c r="I44" s="35" t="s">
        <v>213</v>
      </c>
      <c r="J44" s="35"/>
      <c r="K44" s="35"/>
    </row>
    <row r="45" spans="1:13" s="3" customFormat="1">
      <c r="A45" s="36"/>
      <c r="B45" s="117" t="s">
        <v>219</v>
      </c>
      <c r="C45" s="117"/>
      <c r="D45" s="117"/>
      <c r="E45" s="117"/>
      <c r="F45" s="37">
        <f>F41*0.15</f>
        <v>0</v>
      </c>
      <c r="G45" s="38"/>
      <c r="H45" s="38"/>
      <c r="I45" s="38"/>
      <c r="J45" s="38"/>
      <c r="K45" s="38"/>
    </row>
    <row r="46" spans="1:13" s="3" customFormat="1">
      <c r="A46" s="36"/>
      <c r="B46" s="117" t="s">
        <v>220</v>
      </c>
      <c r="C46" s="117"/>
      <c r="D46" s="117"/>
      <c r="E46" s="117"/>
      <c r="F46" s="37">
        <f>K38*0.1</f>
        <v>0</v>
      </c>
      <c r="G46" s="38"/>
      <c r="H46" s="38"/>
      <c r="I46" s="38"/>
      <c r="J46" s="38"/>
      <c r="K46" s="38"/>
    </row>
    <row r="47" spans="1:13" s="3" customFormat="1">
      <c r="A47" s="35"/>
      <c r="B47" s="118" t="s">
        <v>221</v>
      </c>
      <c r="C47" s="118"/>
      <c r="D47" s="118"/>
      <c r="E47" s="118"/>
      <c r="F47" s="10">
        <f>SUM(F44:F46)</f>
        <v>0</v>
      </c>
      <c r="G47" s="35"/>
      <c r="H47" s="35"/>
      <c r="I47" s="35"/>
      <c r="J47" s="35"/>
      <c r="K47" s="35"/>
    </row>
    <row r="48" spans="1:13" s="3" customForma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s="3" customFormat="1"/>
    <row r="50" spans="2:11" s="3" customFormat="1"/>
    <row r="51" spans="2:11" s="3" customFormat="1" ht="24.95" customHeight="1">
      <c r="B51" s="115" t="s">
        <v>222</v>
      </c>
      <c r="C51" s="115"/>
      <c r="D51" s="115"/>
      <c r="E51" s="115"/>
      <c r="F51" s="115"/>
      <c r="G51" s="115" t="s">
        <v>223</v>
      </c>
      <c r="H51" s="115"/>
      <c r="I51" s="115"/>
      <c r="J51" s="115"/>
      <c r="K51" s="115"/>
    </row>
    <row r="52" spans="2:11" s="3" customFormat="1" ht="24.95" customHeight="1">
      <c r="B52" s="115" t="s">
        <v>224</v>
      </c>
      <c r="C52" s="115"/>
      <c r="D52" s="115"/>
      <c r="E52" s="115"/>
      <c r="F52" s="115"/>
      <c r="G52" s="115" t="s">
        <v>224</v>
      </c>
      <c r="H52" s="115"/>
      <c r="I52" s="115"/>
      <c r="J52" s="115"/>
      <c r="K52" s="115"/>
    </row>
    <row r="53" spans="2:11" s="3" customFormat="1" ht="24.95" customHeight="1">
      <c r="B53" s="115" t="s">
        <v>225</v>
      </c>
      <c r="C53" s="115"/>
      <c r="D53" s="115"/>
      <c r="E53" s="115"/>
      <c r="F53" s="115"/>
      <c r="G53" s="115" t="s">
        <v>225</v>
      </c>
      <c r="H53" s="115"/>
      <c r="I53" s="115"/>
      <c r="J53" s="115"/>
      <c r="K53" s="115"/>
    </row>
    <row r="54" spans="2:11" s="3" customFormat="1"/>
    <row r="57" spans="2:11">
      <c r="G57" s="3"/>
    </row>
  </sheetData>
  <mergeCells count="33">
    <mergeCell ref="C16:C17"/>
    <mergeCell ref="D16:D17"/>
    <mergeCell ref="E16:F16"/>
    <mergeCell ref="G16:K16"/>
    <mergeCell ref="A3:I3"/>
    <mergeCell ref="A4:I4"/>
    <mergeCell ref="A5:I5"/>
    <mergeCell ref="A6:I6"/>
    <mergeCell ref="A7:I7"/>
    <mergeCell ref="A8:I8"/>
    <mergeCell ref="B43:E43"/>
    <mergeCell ref="B44:E44"/>
    <mergeCell ref="B45:E45"/>
    <mergeCell ref="B46:E46"/>
    <mergeCell ref="A11:I11"/>
    <mergeCell ref="D13:G13"/>
    <mergeCell ref="D14:G14"/>
    <mergeCell ref="D15:G15"/>
    <mergeCell ref="A16:A17"/>
    <mergeCell ref="B16:B17"/>
    <mergeCell ref="B19:F19"/>
    <mergeCell ref="B38:E38"/>
    <mergeCell ref="B39:E39"/>
    <mergeCell ref="B40:E40"/>
    <mergeCell ref="B41:E41"/>
    <mergeCell ref="B42:E42"/>
    <mergeCell ref="B53:F53"/>
    <mergeCell ref="G53:K53"/>
    <mergeCell ref="B47:E47"/>
    <mergeCell ref="B51:F51"/>
    <mergeCell ref="G51:K51"/>
    <mergeCell ref="B52:F52"/>
    <mergeCell ref="G52:K52"/>
  </mergeCells>
  <pageMargins left="0.6" right="0.3" top="0.6" bottom="0.4" header="0.3" footer="0"/>
  <pageSetup paperSize="9" fitToHeight="0" orientation="landscape" r:id="rId1"/>
  <headerFooter alignWithMargins="0">
    <oddHeader>&amp;LСтроительные Технологии - Смета™ ред. 7.7.10&amp;C- &amp;P -&amp;R228_дцк_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="115" zoomScaleNormal="115" workbookViewId="0">
      <selection activeCell="E12" sqref="E12"/>
    </sheetView>
  </sheetViews>
  <sheetFormatPr defaultRowHeight="12.75"/>
  <cols>
    <col min="1" max="1" width="3.7109375" customWidth="1"/>
    <col min="2" max="2" width="22.7109375" customWidth="1"/>
    <col min="3" max="5" width="8.7109375" customWidth="1"/>
    <col min="6" max="6" width="10.7109375" customWidth="1"/>
    <col min="7" max="7" width="22.7109375" customWidth="1"/>
    <col min="8" max="10" width="8.7109375" customWidth="1"/>
    <col min="11" max="11" width="10.7109375" customWidth="1"/>
  </cols>
  <sheetData>
    <row r="1" spans="1:11" s="3" customFormat="1"/>
    <row r="2" spans="1:11" s="3" customFormat="1"/>
    <row r="3" spans="1:11" s="3" customFormat="1">
      <c r="A3" s="119" t="s">
        <v>0</v>
      </c>
      <c r="B3" s="119"/>
      <c r="C3" s="119"/>
      <c r="D3" s="119"/>
      <c r="E3" s="119"/>
      <c r="F3" s="119"/>
      <c r="G3" s="119"/>
      <c r="H3" s="119"/>
      <c r="I3" s="119"/>
    </row>
    <row r="4" spans="1:11" s="3" customFormat="1">
      <c r="A4" s="119" t="s">
        <v>1</v>
      </c>
      <c r="B4" s="119"/>
      <c r="C4" s="119"/>
      <c r="D4" s="119"/>
      <c r="E4" s="119"/>
      <c r="F4" s="119"/>
      <c r="G4" s="119"/>
      <c r="H4" s="119"/>
      <c r="I4" s="119"/>
    </row>
    <row r="5" spans="1:11" s="3" customFormat="1">
      <c r="A5" s="119" t="s">
        <v>2</v>
      </c>
      <c r="B5" s="119"/>
      <c r="C5" s="119"/>
      <c r="D5" s="119"/>
      <c r="E5" s="119"/>
      <c r="F5" s="119"/>
      <c r="G5" s="119"/>
      <c r="H5" s="119"/>
      <c r="I5" s="119"/>
    </row>
    <row r="6" spans="1:11" s="3" customFormat="1">
      <c r="A6" s="119" t="s">
        <v>3</v>
      </c>
      <c r="B6" s="119"/>
      <c r="C6" s="119"/>
      <c r="D6" s="119"/>
      <c r="E6" s="119"/>
      <c r="F6" s="119"/>
      <c r="G6" s="119"/>
      <c r="H6" s="119"/>
      <c r="I6" s="119"/>
    </row>
    <row r="7" spans="1:11" s="3" customFormat="1">
      <c r="A7" s="120" t="s">
        <v>332</v>
      </c>
      <c r="B7" s="120"/>
      <c r="C7" s="120"/>
      <c r="D7" s="120"/>
      <c r="E7" s="120"/>
      <c r="F7" s="120"/>
      <c r="G7" s="120"/>
      <c r="H7" s="120"/>
      <c r="I7" s="120"/>
    </row>
    <row r="8" spans="1:11" s="3" customFormat="1">
      <c r="A8" s="119" t="s">
        <v>4</v>
      </c>
      <c r="B8" s="119"/>
      <c r="C8" s="119"/>
      <c r="D8" s="119"/>
      <c r="E8" s="119"/>
      <c r="F8" s="119"/>
      <c r="G8" s="119"/>
      <c r="H8" s="119"/>
      <c r="I8" s="119"/>
    </row>
    <row r="9" spans="1:11" s="3" customFormat="1"/>
    <row r="10" spans="1:11" s="3" customFormat="1"/>
    <row r="11" spans="1:11" s="3" customFormat="1" ht="24.95" customHeight="1">
      <c r="A11" s="123" t="s">
        <v>5</v>
      </c>
      <c r="B11" s="123"/>
      <c r="C11" s="123"/>
      <c r="D11" s="123"/>
      <c r="E11" s="123"/>
      <c r="F11" s="123"/>
      <c r="G11" s="123"/>
      <c r="H11" s="123"/>
      <c r="I11" s="123"/>
    </row>
    <row r="12" spans="1:11" s="3" customFormat="1"/>
    <row r="13" spans="1:11" s="3" customFormat="1">
      <c r="D13" s="124" t="s">
        <v>6</v>
      </c>
      <c r="E13" s="124"/>
      <c r="F13" s="124"/>
      <c r="G13" s="124"/>
      <c r="H13" s="13">
        <f>F64</f>
        <v>0</v>
      </c>
      <c r="I13" s="68"/>
    </row>
    <row r="14" spans="1:11" s="3" customFormat="1">
      <c r="D14" s="124" t="s">
        <v>7</v>
      </c>
      <c r="E14" s="124"/>
      <c r="F14" s="124"/>
      <c r="G14" s="124"/>
      <c r="H14" s="13">
        <f>K55</f>
        <v>0</v>
      </c>
      <c r="I14" s="68"/>
    </row>
    <row r="15" spans="1:11" s="3" customFormat="1">
      <c r="D15" s="124" t="s">
        <v>8</v>
      </c>
      <c r="E15" s="124"/>
      <c r="F15" s="124"/>
      <c r="G15" s="124"/>
      <c r="H15" s="13">
        <f>F58</f>
        <v>0</v>
      </c>
      <c r="I15" s="68"/>
    </row>
    <row r="16" spans="1:11" s="3" customFormat="1">
      <c r="A16" s="121" t="s">
        <v>9</v>
      </c>
      <c r="B16" s="121" t="s">
        <v>10</v>
      </c>
      <c r="C16" s="121" t="s">
        <v>11</v>
      </c>
      <c r="D16" s="121" t="s">
        <v>12</v>
      </c>
      <c r="E16" s="121" t="s">
        <v>232</v>
      </c>
      <c r="F16" s="121"/>
      <c r="G16" s="121" t="s">
        <v>233</v>
      </c>
      <c r="H16" s="121"/>
      <c r="I16" s="121"/>
      <c r="J16" s="121"/>
      <c r="K16" s="121"/>
    </row>
    <row r="17" spans="1:13" s="3" customFormat="1" ht="22.5">
      <c r="A17" s="121"/>
      <c r="B17" s="121"/>
      <c r="C17" s="121"/>
      <c r="D17" s="121"/>
      <c r="E17" s="67" t="s">
        <v>13</v>
      </c>
      <c r="F17" s="67" t="s">
        <v>14</v>
      </c>
      <c r="G17" s="67" t="s">
        <v>15</v>
      </c>
      <c r="H17" s="67" t="s">
        <v>11</v>
      </c>
      <c r="I17" s="67" t="s">
        <v>12</v>
      </c>
      <c r="J17" s="67" t="s">
        <v>16</v>
      </c>
      <c r="K17" s="67" t="s">
        <v>17</v>
      </c>
    </row>
    <row r="18" spans="1:13" s="3" customFormat="1">
      <c r="A18" s="67">
        <v>1</v>
      </c>
      <c r="B18" s="67">
        <v>2</v>
      </c>
      <c r="C18" s="67">
        <v>4</v>
      </c>
      <c r="D18" s="67">
        <v>5</v>
      </c>
      <c r="E18" s="67">
        <v>6</v>
      </c>
      <c r="F18" s="67">
        <v>7</v>
      </c>
      <c r="G18" s="67">
        <v>8</v>
      </c>
      <c r="H18" s="67">
        <v>9</v>
      </c>
      <c r="I18" s="67">
        <v>11</v>
      </c>
      <c r="J18" s="67">
        <v>12</v>
      </c>
      <c r="K18" s="67">
        <v>13</v>
      </c>
    </row>
    <row r="19" spans="1:13" s="3" customFormat="1">
      <c r="A19" s="35"/>
      <c r="B19" s="128" t="s">
        <v>262</v>
      </c>
      <c r="C19" s="128"/>
      <c r="D19" s="128"/>
      <c r="E19" s="128"/>
      <c r="F19" s="128"/>
      <c r="G19" s="128"/>
      <c r="H19" s="35"/>
      <c r="I19" s="35"/>
      <c r="J19" s="35"/>
      <c r="K19" s="81"/>
      <c r="L19" s="12"/>
      <c r="M19" s="12"/>
    </row>
    <row r="20" spans="1:13" s="3" customFormat="1">
      <c r="A20" s="76"/>
      <c r="B20" s="129" t="s">
        <v>122</v>
      </c>
      <c r="C20" s="129"/>
      <c r="D20" s="129"/>
      <c r="E20" s="129"/>
      <c r="F20" s="129"/>
      <c r="G20" s="129"/>
      <c r="H20" s="76"/>
      <c r="I20" s="76"/>
      <c r="J20" s="76"/>
      <c r="K20" s="82"/>
      <c r="L20" s="12"/>
      <c r="M20" s="12"/>
    </row>
    <row r="21" spans="1:13" s="3" customFormat="1" ht="24">
      <c r="A21" s="1">
        <v>1</v>
      </c>
      <c r="B21" s="69" t="s">
        <v>250</v>
      </c>
      <c r="C21" s="1" t="s">
        <v>35</v>
      </c>
      <c r="D21" s="6">
        <v>694.66</v>
      </c>
      <c r="E21" s="9"/>
      <c r="F21" s="10"/>
      <c r="G21" s="69" t="s">
        <v>123</v>
      </c>
      <c r="H21" s="1" t="s">
        <v>25</v>
      </c>
      <c r="I21" s="39">
        <f>D21*3</f>
        <v>2083.98</v>
      </c>
      <c r="J21" s="9"/>
      <c r="K21" s="10"/>
    </row>
    <row r="22" spans="1:13" s="3" customFormat="1">
      <c r="A22" s="31"/>
      <c r="B22" s="32"/>
      <c r="C22" s="31"/>
      <c r="D22" s="33">
        <v>0</v>
      </c>
      <c r="E22" s="34"/>
      <c r="F22" s="10"/>
      <c r="G22" s="69" t="s">
        <v>124</v>
      </c>
      <c r="H22" s="1" t="s">
        <v>35</v>
      </c>
      <c r="I22" s="39">
        <f>0.05*D21</f>
        <v>34.732999999999997</v>
      </c>
      <c r="J22" s="9"/>
      <c r="K22" s="10"/>
    </row>
    <row r="23" spans="1:13" s="3" customFormat="1">
      <c r="A23" s="31"/>
      <c r="B23" s="32"/>
      <c r="C23" s="31"/>
      <c r="D23" s="33">
        <v>0</v>
      </c>
      <c r="E23" s="34"/>
      <c r="F23" s="10"/>
      <c r="G23" s="69" t="s">
        <v>125</v>
      </c>
      <c r="H23" s="1" t="s">
        <v>55</v>
      </c>
      <c r="I23" s="39">
        <f>5.5*D21</f>
        <v>3820.6299999999997</v>
      </c>
      <c r="J23" s="9"/>
      <c r="K23" s="10"/>
    </row>
    <row r="24" spans="1:13" s="3" customFormat="1">
      <c r="A24" s="31"/>
      <c r="B24" s="32"/>
      <c r="C24" s="31"/>
      <c r="D24" s="33">
        <v>0</v>
      </c>
      <c r="E24" s="34"/>
      <c r="F24" s="10"/>
      <c r="G24" s="69" t="s">
        <v>126</v>
      </c>
      <c r="H24" s="1" t="s">
        <v>55</v>
      </c>
      <c r="I24" s="39">
        <f>2.3*D21</f>
        <v>1597.7179999999998</v>
      </c>
      <c r="J24" s="9"/>
      <c r="K24" s="10"/>
    </row>
    <row r="25" spans="1:13" s="3" customFormat="1">
      <c r="A25" s="31"/>
      <c r="B25" s="32"/>
      <c r="C25" s="31"/>
      <c r="D25" s="33">
        <v>0</v>
      </c>
      <c r="E25" s="34"/>
      <c r="F25" s="10"/>
      <c r="G25" s="69" t="s">
        <v>127</v>
      </c>
      <c r="H25" s="1" t="s">
        <v>55</v>
      </c>
      <c r="I25" s="39">
        <f>0.15*D21</f>
        <v>104.199</v>
      </c>
      <c r="J25" s="9"/>
      <c r="K25" s="10"/>
    </row>
    <row r="26" spans="1:13" s="3" customFormat="1" ht="24">
      <c r="A26" s="1">
        <v>2</v>
      </c>
      <c r="B26" s="69" t="s">
        <v>251</v>
      </c>
      <c r="C26" s="1" t="s">
        <v>239</v>
      </c>
      <c r="D26" s="6">
        <v>83.2</v>
      </c>
      <c r="E26" s="9"/>
      <c r="F26" s="10"/>
      <c r="G26" s="69" t="s">
        <v>123</v>
      </c>
      <c r="H26" s="1" t="s">
        <v>25</v>
      </c>
      <c r="I26" s="8">
        <f>2*D26</f>
        <v>166.4</v>
      </c>
      <c r="J26" s="9"/>
      <c r="K26" s="10"/>
    </row>
    <row r="27" spans="1:13" s="3" customFormat="1">
      <c r="A27" s="31"/>
      <c r="B27" s="32"/>
      <c r="C27" s="31"/>
      <c r="D27" s="33">
        <v>0</v>
      </c>
      <c r="E27" s="34"/>
      <c r="F27" s="10"/>
      <c r="G27" s="69" t="s">
        <v>124</v>
      </c>
      <c r="H27" s="1" t="s">
        <v>35</v>
      </c>
      <c r="I27" s="8">
        <f>0.05*D26</f>
        <v>4.16</v>
      </c>
      <c r="J27" s="9"/>
      <c r="K27" s="10"/>
    </row>
    <row r="28" spans="1:13" s="3" customFormat="1">
      <c r="A28" s="31"/>
      <c r="B28" s="32"/>
      <c r="C28" s="31"/>
      <c r="D28" s="33">
        <v>0</v>
      </c>
      <c r="E28" s="34"/>
      <c r="F28" s="10"/>
      <c r="G28" s="69" t="s">
        <v>125</v>
      </c>
      <c r="H28" s="1" t="s">
        <v>55</v>
      </c>
      <c r="I28" s="8">
        <f>5.5*D26</f>
        <v>457.6</v>
      </c>
      <c r="J28" s="9"/>
      <c r="K28" s="10"/>
    </row>
    <row r="29" spans="1:13" s="3" customFormat="1">
      <c r="A29" s="31"/>
      <c r="B29" s="32"/>
      <c r="C29" s="31"/>
      <c r="D29" s="33">
        <v>0</v>
      </c>
      <c r="E29" s="34"/>
      <c r="F29" s="10"/>
      <c r="G29" s="69" t="s">
        <v>126</v>
      </c>
      <c r="H29" s="1" t="s">
        <v>55</v>
      </c>
      <c r="I29" s="8">
        <f>2.3*D26</f>
        <v>191.35999999999999</v>
      </c>
      <c r="J29" s="9"/>
      <c r="K29" s="10"/>
    </row>
    <row r="30" spans="1:13" s="3" customFormat="1">
      <c r="A30" s="31"/>
      <c r="B30" s="32"/>
      <c r="C30" s="31"/>
      <c r="D30" s="33">
        <v>0</v>
      </c>
      <c r="E30" s="34"/>
      <c r="F30" s="10"/>
      <c r="G30" s="69" t="s">
        <v>127</v>
      </c>
      <c r="H30" s="1" t="s">
        <v>55</v>
      </c>
      <c r="I30" s="8">
        <f>0.1*D26</f>
        <v>8.32</v>
      </c>
      <c r="J30" s="9"/>
      <c r="K30" s="10"/>
    </row>
    <row r="31" spans="1:13" s="3" customFormat="1">
      <c r="A31" s="1"/>
      <c r="B31" s="69"/>
      <c r="C31" s="1"/>
      <c r="D31" s="6">
        <v>0</v>
      </c>
      <c r="E31" s="9"/>
      <c r="F31" s="10"/>
      <c r="G31" s="69" t="s">
        <v>128</v>
      </c>
      <c r="H31" s="1" t="s">
        <v>25</v>
      </c>
      <c r="I31" s="8">
        <v>145</v>
      </c>
      <c r="J31" s="9"/>
      <c r="K31" s="10"/>
    </row>
    <row r="32" spans="1:13" s="5" customFormat="1">
      <c r="A32" s="77"/>
      <c r="B32" s="78" t="s">
        <v>129</v>
      </c>
      <c r="C32" s="79"/>
      <c r="D32" s="79"/>
      <c r="E32" s="79"/>
      <c r="F32" s="74">
        <f>D32*E32</f>
        <v>0</v>
      </c>
      <c r="G32" s="74">
        <f>E32*F32</f>
        <v>0</v>
      </c>
      <c r="H32" s="77"/>
      <c r="I32" s="77"/>
      <c r="J32" s="74"/>
      <c r="K32" s="74"/>
    </row>
    <row r="33" spans="1:11" s="3" customFormat="1">
      <c r="A33" s="1">
        <v>3</v>
      </c>
      <c r="B33" s="69" t="s">
        <v>130</v>
      </c>
      <c r="C33" s="1" t="s">
        <v>35</v>
      </c>
      <c r="D33" s="6">
        <v>217.08</v>
      </c>
      <c r="E33" s="9"/>
      <c r="F33" s="10"/>
      <c r="G33" s="69" t="s">
        <v>131</v>
      </c>
      <c r="H33" s="1" t="s">
        <v>21</v>
      </c>
      <c r="I33" s="39">
        <f>26*D33</f>
        <v>5644.08</v>
      </c>
      <c r="J33" s="9"/>
      <c r="K33" s="10"/>
    </row>
    <row r="34" spans="1:11" s="3" customFormat="1">
      <c r="A34" s="31"/>
      <c r="B34" s="32"/>
      <c r="C34" s="31"/>
      <c r="D34" s="33">
        <v>0</v>
      </c>
      <c r="E34" s="34"/>
      <c r="F34" s="10"/>
      <c r="G34" s="69" t="s">
        <v>132</v>
      </c>
      <c r="H34" s="1" t="s">
        <v>25</v>
      </c>
      <c r="I34" s="39">
        <f>2.9*D33</f>
        <v>629.53200000000004</v>
      </c>
      <c r="J34" s="9"/>
      <c r="K34" s="10"/>
    </row>
    <row r="35" spans="1:11" s="3" customFormat="1">
      <c r="A35" s="31"/>
      <c r="B35" s="32"/>
      <c r="C35" s="31"/>
      <c r="D35" s="33">
        <v>0</v>
      </c>
      <c r="E35" s="34"/>
      <c r="F35" s="10"/>
      <c r="G35" s="69" t="s">
        <v>133</v>
      </c>
      <c r="H35" s="1" t="s">
        <v>21</v>
      </c>
      <c r="I35" s="39">
        <f>1*D33</f>
        <v>217.08</v>
      </c>
      <c r="J35" s="9"/>
      <c r="K35" s="10"/>
    </row>
    <row r="36" spans="1:11" s="3" customFormat="1" ht="36">
      <c r="A36" s="31"/>
      <c r="B36" s="32"/>
      <c r="C36" s="31"/>
      <c r="D36" s="33">
        <v>0</v>
      </c>
      <c r="E36" s="34"/>
      <c r="F36" s="10"/>
      <c r="G36" s="69" t="s">
        <v>134</v>
      </c>
      <c r="H36" s="1" t="s">
        <v>35</v>
      </c>
      <c r="I36" s="39">
        <f>1.1*D33</f>
        <v>238.78800000000004</v>
      </c>
      <c r="J36" s="9"/>
      <c r="K36" s="10"/>
    </row>
    <row r="37" spans="1:11" s="3" customFormat="1">
      <c r="A37" s="1"/>
      <c r="B37" s="69"/>
      <c r="C37" s="1"/>
      <c r="D37" s="6">
        <v>0</v>
      </c>
      <c r="E37" s="9"/>
      <c r="F37" s="10"/>
      <c r="G37" s="69" t="s">
        <v>135</v>
      </c>
      <c r="H37" s="1" t="s">
        <v>25</v>
      </c>
      <c r="I37" s="39">
        <f>D33*1.05</f>
        <v>227.93400000000003</v>
      </c>
      <c r="J37" s="9"/>
      <c r="K37" s="10"/>
    </row>
    <row r="38" spans="1:11" s="3" customFormat="1">
      <c r="A38" s="1"/>
      <c r="B38" s="69"/>
      <c r="C38" s="1"/>
      <c r="D38" s="6">
        <v>0</v>
      </c>
      <c r="E38" s="9"/>
      <c r="F38" s="10"/>
      <c r="G38" s="69" t="s">
        <v>136</v>
      </c>
      <c r="H38" s="1" t="s">
        <v>21</v>
      </c>
      <c r="I38" s="39">
        <f>1*D33</f>
        <v>217.08</v>
      </c>
      <c r="J38" s="9"/>
      <c r="K38" s="10"/>
    </row>
    <row r="39" spans="1:11" s="3" customFormat="1">
      <c r="A39" s="1"/>
      <c r="B39" s="69"/>
      <c r="C39" s="1"/>
      <c r="D39" s="6">
        <v>0</v>
      </c>
      <c r="E39" s="9"/>
      <c r="F39" s="10"/>
      <c r="G39" s="69" t="s">
        <v>137</v>
      </c>
      <c r="H39" s="1" t="s">
        <v>21</v>
      </c>
      <c r="I39" s="39">
        <f>2.3*D33</f>
        <v>499.28399999999999</v>
      </c>
      <c r="J39" s="9"/>
      <c r="K39" s="10"/>
    </row>
    <row r="40" spans="1:11" s="3" customFormat="1" ht="24">
      <c r="A40" s="1">
        <v>4</v>
      </c>
      <c r="B40" s="69" t="s">
        <v>138</v>
      </c>
      <c r="C40" s="1" t="s">
        <v>25</v>
      </c>
      <c r="D40" s="6">
        <f>D33*1.2</f>
        <v>260.49599999999998</v>
      </c>
      <c r="E40" s="9"/>
      <c r="F40" s="10"/>
      <c r="G40" s="69"/>
      <c r="H40" s="1"/>
      <c r="I40" s="39">
        <v>0</v>
      </c>
      <c r="J40" s="9"/>
      <c r="K40" s="10"/>
    </row>
    <row r="41" spans="1:11" s="3" customFormat="1" ht="24">
      <c r="A41" s="1"/>
      <c r="B41" s="69"/>
      <c r="C41" s="1"/>
      <c r="D41" s="6">
        <v>0</v>
      </c>
      <c r="E41" s="9"/>
      <c r="F41" s="10"/>
      <c r="G41" s="69" t="s">
        <v>139</v>
      </c>
      <c r="H41" s="1" t="s">
        <v>55</v>
      </c>
      <c r="I41" s="39">
        <f>0.35*D40</f>
        <v>91.173599999999993</v>
      </c>
      <c r="J41" s="9"/>
      <c r="K41" s="10"/>
    </row>
    <row r="42" spans="1:11" s="3" customFormat="1" ht="24">
      <c r="A42" s="1"/>
      <c r="B42" s="69"/>
      <c r="C42" s="1"/>
      <c r="D42" s="6">
        <v>0</v>
      </c>
      <c r="E42" s="9"/>
      <c r="F42" s="10"/>
      <c r="G42" s="69" t="s">
        <v>123</v>
      </c>
      <c r="H42" s="1" t="s">
        <v>230</v>
      </c>
      <c r="I42" s="39">
        <f>D40*1.1</f>
        <v>286.54559999999998</v>
      </c>
      <c r="J42" s="9"/>
      <c r="K42" s="10"/>
    </row>
    <row r="43" spans="1:11" s="3" customFormat="1" ht="24">
      <c r="A43" s="1">
        <v>5</v>
      </c>
      <c r="B43" s="69" t="s">
        <v>141</v>
      </c>
      <c r="C43" s="1" t="s">
        <v>35</v>
      </c>
      <c r="D43" s="6">
        <f>D33</f>
        <v>217.08</v>
      </c>
      <c r="E43" s="9"/>
      <c r="F43" s="10"/>
      <c r="G43" s="69" t="s">
        <v>124</v>
      </c>
      <c r="H43" s="1" t="s">
        <v>35</v>
      </c>
      <c r="I43" s="39">
        <f>0.05*D43</f>
        <v>10.854000000000001</v>
      </c>
      <c r="J43" s="9"/>
      <c r="K43" s="10"/>
    </row>
    <row r="44" spans="1:11" s="3" customFormat="1">
      <c r="A44" s="31"/>
      <c r="B44" s="32"/>
      <c r="C44" s="31"/>
      <c r="D44" s="33">
        <v>0</v>
      </c>
      <c r="E44" s="34"/>
      <c r="F44" s="10"/>
      <c r="G44" s="69" t="s">
        <v>125</v>
      </c>
      <c r="H44" s="1" t="s">
        <v>55</v>
      </c>
      <c r="I44" s="39">
        <f>2.1*D43</f>
        <v>455.86800000000005</v>
      </c>
      <c r="J44" s="9"/>
      <c r="K44" s="10"/>
    </row>
    <row r="45" spans="1:11" s="3" customFormat="1">
      <c r="A45" s="31"/>
      <c r="B45" s="32"/>
      <c r="C45" s="31"/>
      <c r="D45" s="33">
        <v>0</v>
      </c>
      <c r="E45" s="34"/>
      <c r="F45" s="10"/>
      <c r="G45" s="69" t="s">
        <v>126</v>
      </c>
      <c r="H45" s="1" t="s">
        <v>55</v>
      </c>
      <c r="I45" s="39">
        <f>2.3*D43</f>
        <v>499.28399999999999</v>
      </c>
      <c r="J45" s="9"/>
      <c r="K45" s="10"/>
    </row>
    <row r="46" spans="1:11" s="3" customFormat="1">
      <c r="A46" s="31"/>
      <c r="B46" s="32"/>
      <c r="C46" s="31"/>
      <c r="D46" s="33">
        <v>0</v>
      </c>
      <c r="E46" s="34"/>
      <c r="F46" s="10"/>
      <c r="G46" s="69" t="s">
        <v>127</v>
      </c>
      <c r="H46" s="1" t="s">
        <v>55</v>
      </c>
      <c r="I46" s="39">
        <f>0.25*D43</f>
        <v>54.27</v>
      </c>
      <c r="J46" s="9"/>
      <c r="K46" s="10"/>
    </row>
    <row r="47" spans="1:11" s="3" customFormat="1">
      <c r="A47" s="1"/>
      <c r="B47" s="69"/>
      <c r="C47" s="1"/>
      <c r="D47" s="6">
        <v>0</v>
      </c>
      <c r="E47" s="9"/>
      <c r="F47" s="10"/>
      <c r="G47" s="69" t="s">
        <v>140</v>
      </c>
      <c r="H47" s="1" t="s">
        <v>35</v>
      </c>
      <c r="I47" s="39">
        <f>1.1*D43</f>
        <v>238.78800000000004</v>
      </c>
      <c r="J47" s="9"/>
      <c r="K47" s="10"/>
    </row>
    <row r="48" spans="1:11" s="5" customFormat="1">
      <c r="A48" s="77"/>
      <c r="B48" s="78" t="s">
        <v>142</v>
      </c>
      <c r="C48" s="79"/>
      <c r="D48" s="79"/>
      <c r="E48" s="80"/>
      <c r="F48" s="10">
        <f>D48*E48</f>
        <v>0</v>
      </c>
      <c r="G48" s="77"/>
      <c r="H48" s="77"/>
      <c r="I48" s="77"/>
      <c r="J48" s="77"/>
      <c r="K48" s="10">
        <f>I48*J48</f>
        <v>0</v>
      </c>
    </row>
    <row r="49" spans="1:11" s="3" customFormat="1" ht="24">
      <c r="A49" s="1">
        <v>6</v>
      </c>
      <c r="B49" s="69" t="s">
        <v>111</v>
      </c>
      <c r="C49" s="1" t="s">
        <v>35</v>
      </c>
      <c r="D49" s="6">
        <v>119.27</v>
      </c>
      <c r="E49" s="9"/>
      <c r="F49" s="10"/>
      <c r="G49" s="69" t="s">
        <v>112</v>
      </c>
      <c r="H49" s="1" t="s">
        <v>35</v>
      </c>
      <c r="I49" s="50">
        <f>D49*1.1</f>
        <v>131.197</v>
      </c>
      <c r="J49" s="9"/>
      <c r="K49" s="10"/>
    </row>
    <row r="50" spans="1:11" s="3" customFormat="1" ht="48">
      <c r="A50" s="1">
        <v>7</v>
      </c>
      <c r="B50" s="69" t="s">
        <v>143</v>
      </c>
      <c r="C50" s="1" t="s">
        <v>35</v>
      </c>
      <c r="D50" s="6">
        <v>217.08</v>
      </c>
      <c r="E50" s="9"/>
      <c r="F50" s="10"/>
      <c r="G50" s="69" t="s">
        <v>144</v>
      </c>
      <c r="H50" s="1" t="s">
        <v>35</v>
      </c>
      <c r="I50" s="51">
        <v>112.86</v>
      </c>
      <c r="J50" s="9"/>
      <c r="K50" s="10"/>
    </row>
    <row r="51" spans="1:11" s="3" customFormat="1" ht="48">
      <c r="A51" s="1"/>
      <c r="B51" s="69"/>
      <c r="C51" s="1"/>
      <c r="D51" s="6"/>
      <c r="E51" s="9"/>
      <c r="F51" s="10"/>
      <c r="G51" s="69" t="s">
        <v>427</v>
      </c>
      <c r="H51" s="1" t="s">
        <v>35</v>
      </c>
      <c r="I51" s="51">
        <v>106.43</v>
      </c>
      <c r="J51" s="9"/>
      <c r="K51" s="10"/>
    </row>
    <row r="52" spans="1:11" s="3" customFormat="1">
      <c r="A52" s="1">
        <v>8</v>
      </c>
      <c r="B52" s="69" t="s">
        <v>145</v>
      </c>
      <c r="C52" s="1" t="s">
        <v>29</v>
      </c>
      <c r="D52" s="51">
        <f>D54*0.05</f>
        <v>10.854000000000001</v>
      </c>
      <c r="E52" s="9"/>
      <c r="F52" s="10"/>
      <c r="G52" s="69" t="s">
        <v>146</v>
      </c>
      <c r="H52" s="1" t="s">
        <v>23</v>
      </c>
      <c r="I52" s="40">
        <f>0.34*D52</f>
        <v>3.6903600000000005</v>
      </c>
      <c r="J52" s="9"/>
      <c r="K52" s="10"/>
    </row>
    <row r="53" spans="1:11" s="3" customFormat="1">
      <c r="A53" s="1"/>
      <c r="B53" s="69"/>
      <c r="C53" s="1"/>
      <c r="D53" s="6">
        <v>0</v>
      </c>
      <c r="E53" s="9"/>
      <c r="F53" s="10"/>
      <c r="G53" s="69" t="s">
        <v>110</v>
      </c>
      <c r="H53" s="1" t="s">
        <v>23</v>
      </c>
      <c r="I53" s="50">
        <f>1.17*D52</f>
        <v>12.69918</v>
      </c>
      <c r="J53" s="9"/>
      <c r="K53" s="10"/>
    </row>
    <row r="54" spans="1:11" s="3" customFormat="1" ht="36">
      <c r="A54" s="1">
        <v>9</v>
      </c>
      <c r="B54" s="69" t="s">
        <v>147</v>
      </c>
      <c r="C54" s="1" t="s">
        <v>35</v>
      </c>
      <c r="D54" s="6">
        <v>217.08</v>
      </c>
      <c r="E54" s="9"/>
      <c r="F54" s="10"/>
      <c r="G54" s="69" t="s">
        <v>116</v>
      </c>
      <c r="H54" s="1" t="s">
        <v>35</v>
      </c>
      <c r="I54" s="50">
        <f>D54*1.1</f>
        <v>238.78800000000004</v>
      </c>
      <c r="J54" s="9"/>
      <c r="K54" s="10"/>
    </row>
    <row r="55" spans="1:11" s="3" customFormat="1">
      <c r="A55" s="35"/>
      <c r="B55" s="116" t="s">
        <v>61</v>
      </c>
      <c r="C55" s="116"/>
      <c r="D55" s="116"/>
      <c r="E55" s="116"/>
      <c r="F55" s="10">
        <f>SUM(F21:F54)</f>
        <v>0</v>
      </c>
      <c r="G55" s="35"/>
      <c r="H55" s="35"/>
      <c r="I55" s="35"/>
      <c r="J55" s="35"/>
      <c r="K55" s="10">
        <f>SUM(K21:K54)</f>
        <v>0</v>
      </c>
    </row>
    <row r="56" spans="1:11" s="3" customFormat="1">
      <c r="A56" s="1"/>
      <c r="B56" s="118" t="s">
        <v>212</v>
      </c>
      <c r="C56" s="118"/>
      <c r="D56" s="118"/>
      <c r="E56" s="118"/>
      <c r="F56" s="10">
        <f>F55+K55</f>
        <v>0</v>
      </c>
      <c r="G56" s="35" t="s">
        <v>213</v>
      </c>
      <c r="H56" s="35" t="s">
        <v>213</v>
      </c>
      <c r="I56" s="35" t="s">
        <v>213</v>
      </c>
      <c r="J56" s="35"/>
      <c r="K56" s="35"/>
    </row>
    <row r="57" spans="1:11" s="3" customFormat="1">
      <c r="A57" s="1"/>
      <c r="B57" s="118" t="s">
        <v>214</v>
      </c>
      <c r="C57" s="118"/>
      <c r="D57" s="118"/>
      <c r="E57" s="118"/>
      <c r="F57" s="35"/>
      <c r="G57" s="35" t="s">
        <v>213</v>
      </c>
      <c r="H57" s="35" t="s">
        <v>213</v>
      </c>
      <c r="I57" s="35" t="s">
        <v>213</v>
      </c>
      <c r="J57" s="35"/>
      <c r="K57" s="35"/>
    </row>
    <row r="58" spans="1:11" s="3" customFormat="1">
      <c r="A58" s="1"/>
      <c r="B58" s="118" t="s">
        <v>215</v>
      </c>
      <c r="C58" s="118"/>
      <c r="D58" s="118"/>
      <c r="E58" s="118"/>
      <c r="F58" s="10">
        <f>F55-F60</f>
        <v>0</v>
      </c>
      <c r="G58" s="35" t="s">
        <v>213</v>
      </c>
      <c r="H58" s="35" t="s">
        <v>213</v>
      </c>
      <c r="I58" s="35" t="s">
        <v>213</v>
      </c>
      <c r="J58" s="35"/>
      <c r="K58" s="35"/>
    </row>
    <row r="59" spans="1:11" s="3" customFormat="1">
      <c r="A59" s="1"/>
      <c r="B59" s="118" t="s">
        <v>216</v>
      </c>
      <c r="C59" s="118"/>
      <c r="D59" s="118"/>
      <c r="E59" s="118"/>
      <c r="F59" s="10">
        <f>K55</f>
        <v>0</v>
      </c>
      <c r="G59" s="35" t="s">
        <v>213</v>
      </c>
      <c r="H59" s="35" t="s">
        <v>213</v>
      </c>
      <c r="I59" s="35" t="s">
        <v>213</v>
      </c>
      <c r="J59" s="35"/>
      <c r="K59" s="35"/>
    </row>
    <row r="60" spans="1:11" s="3" customFormat="1">
      <c r="A60" s="1"/>
      <c r="B60" s="118" t="s">
        <v>217</v>
      </c>
      <c r="C60" s="118"/>
      <c r="D60" s="118"/>
      <c r="E60" s="118"/>
      <c r="F60" s="10">
        <f>F30+F41</f>
        <v>0</v>
      </c>
      <c r="G60" s="35" t="s">
        <v>213</v>
      </c>
      <c r="H60" s="35" t="s">
        <v>213</v>
      </c>
      <c r="I60" s="35" t="s">
        <v>213</v>
      </c>
      <c r="J60" s="35"/>
      <c r="K60" s="35"/>
    </row>
    <row r="61" spans="1:11" s="3" customFormat="1">
      <c r="A61" s="1"/>
      <c r="B61" s="118" t="s">
        <v>218</v>
      </c>
      <c r="C61" s="118"/>
      <c r="D61" s="118"/>
      <c r="E61" s="118"/>
      <c r="F61" s="10">
        <f>SUM(F58:F60)</f>
        <v>0</v>
      </c>
      <c r="G61" s="35" t="s">
        <v>213</v>
      </c>
      <c r="H61" s="35" t="s">
        <v>213</v>
      </c>
      <c r="I61" s="35" t="s">
        <v>213</v>
      </c>
      <c r="J61" s="35"/>
      <c r="K61" s="35"/>
    </row>
    <row r="62" spans="1:11" s="3" customFormat="1">
      <c r="A62" s="36"/>
      <c r="B62" s="117" t="s">
        <v>219</v>
      </c>
      <c r="C62" s="117"/>
      <c r="D62" s="117"/>
      <c r="E62" s="117"/>
      <c r="F62" s="37">
        <f>F58*0.15</f>
        <v>0</v>
      </c>
      <c r="G62" s="38"/>
      <c r="H62" s="38"/>
      <c r="I62" s="38"/>
      <c r="J62" s="38"/>
      <c r="K62" s="38"/>
    </row>
    <row r="63" spans="1:11" s="3" customFormat="1">
      <c r="A63" s="36"/>
      <c r="B63" s="117" t="s">
        <v>220</v>
      </c>
      <c r="C63" s="117"/>
      <c r="D63" s="117"/>
      <c r="E63" s="117"/>
      <c r="F63" s="37">
        <f>K55*0.1</f>
        <v>0</v>
      </c>
      <c r="G63" s="38"/>
      <c r="H63" s="38"/>
      <c r="I63" s="38"/>
      <c r="J63" s="38"/>
      <c r="K63" s="38"/>
    </row>
    <row r="64" spans="1:11" s="3" customFormat="1">
      <c r="A64" s="35"/>
      <c r="B64" s="118" t="s">
        <v>221</v>
      </c>
      <c r="C64" s="118"/>
      <c r="D64" s="118"/>
      <c r="E64" s="118"/>
      <c r="F64" s="10">
        <f>SUM(F61:F63)</f>
        <v>0</v>
      </c>
      <c r="G64" s="35"/>
      <c r="H64" s="35"/>
      <c r="I64" s="35"/>
      <c r="J64" s="35"/>
      <c r="K64" s="35"/>
    </row>
    <row r="65" spans="1:11" s="3" customForma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s="3" customFormat="1"/>
    <row r="67" spans="1:11" s="3" customFormat="1"/>
    <row r="68" spans="1:11" s="3" customFormat="1" ht="24.95" customHeight="1">
      <c r="B68" s="115" t="s">
        <v>222</v>
      </c>
      <c r="C68" s="115"/>
      <c r="D68" s="115"/>
      <c r="E68" s="115"/>
      <c r="F68" s="115"/>
      <c r="G68" s="115" t="s">
        <v>223</v>
      </c>
      <c r="H68" s="115"/>
      <c r="I68" s="115"/>
      <c r="J68" s="115"/>
      <c r="K68" s="115"/>
    </row>
    <row r="69" spans="1:11" s="3" customFormat="1" ht="24.95" customHeight="1">
      <c r="B69" s="115" t="s">
        <v>224</v>
      </c>
      <c r="C69" s="115"/>
      <c r="D69" s="115"/>
      <c r="E69" s="115"/>
      <c r="F69" s="115"/>
      <c r="G69" s="115" t="s">
        <v>224</v>
      </c>
      <c r="H69" s="115"/>
      <c r="I69" s="115"/>
      <c r="J69" s="115"/>
      <c r="K69" s="115"/>
    </row>
    <row r="70" spans="1:11" s="3" customFormat="1" ht="24.95" customHeight="1">
      <c r="B70" s="115" t="s">
        <v>225</v>
      </c>
      <c r="C70" s="115"/>
      <c r="D70" s="115"/>
      <c r="E70" s="115"/>
      <c r="F70" s="115"/>
      <c r="G70" s="115" t="s">
        <v>225</v>
      </c>
      <c r="H70" s="115"/>
      <c r="I70" s="115"/>
      <c r="J70" s="115"/>
      <c r="K70" s="115"/>
    </row>
    <row r="74" spans="1:11">
      <c r="G74" s="3"/>
    </row>
  </sheetData>
  <autoFilter ref="G3:G74"/>
  <mergeCells count="34">
    <mergeCell ref="A8:I8"/>
    <mergeCell ref="B16:B17"/>
    <mergeCell ref="C16:C17"/>
    <mergeCell ref="D16:D17"/>
    <mergeCell ref="E16:F16"/>
    <mergeCell ref="G16:K16"/>
    <mergeCell ref="A11:I11"/>
    <mergeCell ref="D13:G13"/>
    <mergeCell ref="D14:G14"/>
    <mergeCell ref="D15:G15"/>
    <mergeCell ref="A16:A17"/>
    <mergeCell ref="A3:I3"/>
    <mergeCell ref="A4:I4"/>
    <mergeCell ref="A5:I5"/>
    <mergeCell ref="A6:I6"/>
    <mergeCell ref="A7:I7"/>
    <mergeCell ref="B55:E55"/>
    <mergeCell ref="B59:E59"/>
    <mergeCell ref="B19:G19"/>
    <mergeCell ref="B20:G20"/>
    <mergeCell ref="B56:E56"/>
    <mergeCell ref="B57:E57"/>
    <mergeCell ref="B70:F70"/>
    <mergeCell ref="G70:K70"/>
    <mergeCell ref="B58:E58"/>
    <mergeCell ref="B64:E64"/>
    <mergeCell ref="B68:F68"/>
    <mergeCell ref="G68:K68"/>
    <mergeCell ref="B69:F69"/>
    <mergeCell ref="G69:K69"/>
    <mergeCell ref="B60:E60"/>
    <mergeCell ref="B61:E61"/>
    <mergeCell ref="B62:E62"/>
    <mergeCell ref="B63:E63"/>
  </mergeCells>
  <pageMargins left="0.6" right="0.3" top="0.6" bottom="0.4" header="0.3" footer="0"/>
  <pageSetup paperSize="9" fitToHeight="0" orientation="landscape" r:id="rId1"/>
  <headerFooter alignWithMargins="0">
    <oddHeader>&amp;LСтроительные Технологии - Смета™ ред. 7.7.10&amp;C- &amp;P -&amp;R228_дцк_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70" zoomScale="175" zoomScaleNormal="175" workbookViewId="0">
      <selection activeCell="B85" sqref="B85:E85"/>
    </sheetView>
  </sheetViews>
  <sheetFormatPr defaultRowHeight="12.75"/>
  <cols>
    <col min="1" max="1" width="3.7109375" customWidth="1"/>
    <col min="2" max="2" width="22.7109375" customWidth="1"/>
    <col min="3" max="5" width="8.7109375" customWidth="1"/>
    <col min="6" max="6" width="10.7109375" customWidth="1"/>
    <col min="7" max="7" width="22.7109375" customWidth="1"/>
    <col min="8" max="10" width="8.7109375" customWidth="1"/>
    <col min="11" max="11" width="10.7109375" customWidth="1"/>
  </cols>
  <sheetData>
    <row r="1" spans="1:11" s="3" customFormat="1"/>
    <row r="2" spans="1:11" s="3" customFormat="1"/>
    <row r="3" spans="1:11" s="3" customFormat="1">
      <c r="A3" s="119" t="s">
        <v>0</v>
      </c>
      <c r="B3" s="119"/>
      <c r="C3" s="119"/>
      <c r="D3" s="119"/>
      <c r="E3" s="119"/>
      <c r="F3" s="119"/>
      <c r="G3" s="119"/>
      <c r="H3" s="119"/>
      <c r="I3" s="119"/>
    </row>
    <row r="4" spans="1:11" s="3" customFormat="1">
      <c r="A4" s="119" t="s">
        <v>1</v>
      </c>
      <c r="B4" s="119"/>
      <c r="C4" s="119"/>
      <c r="D4" s="119"/>
      <c r="E4" s="119"/>
      <c r="F4" s="119"/>
      <c r="G4" s="119"/>
      <c r="H4" s="119"/>
      <c r="I4" s="119"/>
    </row>
    <row r="5" spans="1:11" s="3" customFormat="1">
      <c r="A5" s="119" t="s">
        <v>2</v>
      </c>
      <c r="B5" s="119"/>
      <c r="C5" s="119"/>
      <c r="D5" s="119"/>
      <c r="E5" s="119"/>
      <c r="F5" s="119"/>
      <c r="G5" s="119"/>
      <c r="H5" s="119"/>
      <c r="I5" s="119"/>
    </row>
    <row r="6" spans="1:11" s="3" customFormat="1">
      <c r="A6" s="119" t="s">
        <v>3</v>
      </c>
      <c r="B6" s="119"/>
      <c r="C6" s="119"/>
      <c r="D6" s="119"/>
      <c r="E6" s="119"/>
      <c r="F6" s="119"/>
      <c r="G6" s="119"/>
      <c r="H6" s="119"/>
      <c r="I6" s="119"/>
    </row>
    <row r="7" spans="1:11" s="3" customFormat="1">
      <c r="A7" s="120" t="s">
        <v>336</v>
      </c>
      <c r="B7" s="120"/>
      <c r="C7" s="120"/>
      <c r="D7" s="120"/>
      <c r="E7" s="120"/>
      <c r="F7" s="120"/>
      <c r="G7" s="120"/>
      <c r="H7" s="120"/>
      <c r="I7" s="120"/>
    </row>
    <row r="8" spans="1:11" s="3" customFormat="1">
      <c r="A8" s="119" t="s">
        <v>4</v>
      </c>
      <c r="B8" s="119"/>
      <c r="C8" s="119"/>
      <c r="D8" s="119"/>
      <c r="E8" s="119"/>
      <c r="F8" s="119"/>
      <c r="G8" s="119"/>
      <c r="H8" s="119"/>
      <c r="I8" s="119"/>
    </row>
    <row r="9" spans="1:11" s="3" customFormat="1"/>
    <row r="10" spans="1:11" s="3" customFormat="1"/>
    <row r="11" spans="1:11" s="3" customFormat="1" ht="24.95" customHeight="1">
      <c r="A11" s="123" t="s">
        <v>5</v>
      </c>
      <c r="B11" s="123"/>
      <c r="C11" s="123"/>
      <c r="D11" s="123"/>
      <c r="E11" s="123"/>
      <c r="F11" s="123"/>
      <c r="G11" s="123"/>
      <c r="H11" s="123"/>
      <c r="I11" s="123"/>
    </row>
    <row r="12" spans="1:11" s="3" customFormat="1"/>
    <row r="13" spans="1:11" s="3" customFormat="1">
      <c r="D13" s="124" t="s">
        <v>6</v>
      </c>
      <c r="E13" s="124"/>
      <c r="F13" s="124"/>
      <c r="G13" s="124"/>
      <c r="H13" s="13">
        <f>F90</f>
        <v>0</v>
      </c>
      <c r="I13" s="68"/>
    </row>
    <row r="14" spans="1:11" s="3" customFormat="1">
      <c r="D14" s="124" t="s">
        <v>7</v>
      </c>
      <c r="E14" s="124"/>
      <c r="F14" s="124"/>
      <c r="G14" s="124"/>
      <c r="H14" s="13">
        <f>K81</f>
        <v>0</v>
      </c>
      <c r="I14" s="68"/>
    </row>
    <row r="15" spans="1:11" s="3" customFormat="1">
      <c r="D15" s="124" t="s">
        <v>8</v>
      </c>
      <c r="E15" s="124"/>
      <c r="F15" s="124"/>
      <c r="G15" s="124"/>
      <c r="H15" s="13">
        <f>F84</f>
        <v>0</v>
      </c>
      <c r="I15" s="68"/>
    </row>
    <row r="16" spans="1:11" s="3" customFormat="1">
      <c r="A16" s="121" t="s">
        <v>9</v>
      </c>
      <c r="B16" s="121" t="s">
        <v>10</v>
      </c>
      <c r="C16" s="121" t="s">
        <v>11</v>
      </c>
      <c r="D16" s="121" t="s">
        <v>12</v>
      </c>
      <c r="E16" s="121" t="s">
        <v>232</v>
      </c>
      <c r="F16" s="121"/>
      <c r="G16" s="121" t="s">
        <v>233</v>
      </c>
      <c r="H16" s="121"/>
      <c r="I16" s="121"/>
      <c r="J16" s="121"/>
      <c r="K16" s="121"/>
    </row>
    <row r="17" spans="1:11" s="3" customFormat="1" ht="22.5">
      <c r="A17" s="121"/>
      <c r="B17" s="121"/>
      <c r="C17" s="121"/>
      <c r="D17" s="121"/>
      <c r="E17" s="67" t="s">
        <v>13</v>
      </c>
      <c r="F17" s="67" t="s">
        <v>14</v>
      </c>
      <c r="G17" s="67" t="s">
        <v>15</v>
      </c>
      <c r="H17" s="67" t="s">
        <v>11</v>
      </c>
      <c r="I17" s="67" t="s">
        <v>12</v>
      </c>
      <c r="J17" s="67" t="s">
        <v>16</v>
      </c>
      <c r="K17" s="67" t="s">
        <v>17</v>
      </c>
    </row>
    <row r="18" spans="1:11" s="3" customFormat="1">
      <c r="A18" s="67">
        <v>1</v>
      </c>
      <c r="B18" s="67">
        <v>2</v>
      </c>
      <c r="C18" s="67">
        <v>4</v>
      </c>
      <c r="D18" s="67">
        <v>5</v>
      </c>
      <c r="E18" s="67">
        <v>6</v>
      </c>
      <c r="F18" s="67">
        <v>7</v>
      </c>
      <c r="G18" s="67">
        <v>8</v>
      </c>
      <c r="H18" s="67">
        <v>9</v>
      </c>
      <c r="I18" s="67">
        <v>11</v>
      </c>
      <c r="J18" s="67">
        <v>12</v>
      </c>
      <c r="K18" s="67">
        <v>13</v>
      </c>
    </row>
    <row r="19" spans="1:11" s="5" customFormat="1">
      <c r="A19" s="14"/>
      <c r="B19" s="122" t="s">
        <v>263</v>
      </c>
      <c r="C19" s="122"/>
      <c r="D19" s="122"/>
      <c r="E19" s="122"/>
      <c r="F19" s="122"/>
      <c r="G19" s="14"/>
      <c r="H19" s="14"/>
      <c r="I19" s="14"/>
      <c r="J19" s="14"/>
      <c r="K19" s="14"/>
    </row>
    <row r="20" spans="1:11" s="5" customFormat="1">
      <c r="A20" s="77"/>
      <c r="B20" s="130" t="s">
        <v>148</v>
      </c>
      <c r="C20" s="130"/>
      <c r="D20" s="130"/>
      <c r="E20" s="130"/>
      <c r="F20" s="130"/>
      <c r="G20" s="77"/>
      <c r="H20" s="77"/>
      <c r="I20" s="77"/>
      <c r="J20" s="77"/>
      <c r="K20" s="77"/>
    </row>
    <row r="21" spans="1:11" s="3" customFormat="1" ht="48">
      <c r="A21" s="1">
        <v>1</v>
      </c>
      <c r="B21" s="69" t="s">
        <v>226</v>
      </c>
      <c r="C21" s="1" t="s">
        <v>56</v>
      </c>
      <c r="D21" s="6">
        <v>0.15</v>
      </c>
      <c r="E21" s="9">
        <v>4000</v>
      </c>
      <c r="F21" s="10">
        <f>D21*E21</f>
        <v>600</v>
      </c>
      <c r="G21" s="69" t="s">
        <v>333</v>
      </c>
      <c r="H21" s="1" t="s">
        <v>25</v>
      </c>
      <c r="I21" s="6">
        <v>15</v>
      </c>
      <c r="J21" s="9"/>
      <c r="K21" s="10"/>
    </row>
    <row r="22" spans="1:11" s="3" customFormat="1" ht="24">
      <c r="A22" s="1"/>
      <c r="B22" s="69"/>
      <c r="C22" s="1"/>
      <c r="D22" s="6">
        <v>0</v>
      </c>
      <c r="E22" s="9"/>
      <c r="F22" s="10">
        <f>D22*E22</f>
        <v>0</v>
      </c>
      <c r="G22" s="69" t="s">
        <v>334</v>
      </c>
      <c r="H22" s="1" t="s">
        <v>21</v>
      </c>
      <c r="I22" s="6">
        <v>4</v>
      </c>
      <c r="J22" s="9"/>
      <c r="K22" s="10"/>
    </row>
    <row r="23" spans="1:11" s="3" customFormat="1">
      <c r="A23" s="1"/>
      <c r="B23" s="69"/>
      <c r="C23" s="1"/>
      <c r="D23" s="6">
        <v>0</v>
      </c>
      <c r="E23" s="9"/>
      <c r="F23" s="10">
        <f>D23*E23</f>
        <v>0</v>
      </c>
      <c r="G23" s="69" t="s">
        <v>335</v>
      </c>
      <c r="H23" s="1" t="s">
        <v>21</v>
      </c>
      <c r="I23" s="6">
        <v>4</v>
      </c>
      <c r="J23" s="9"/>
      <c r="K23" s="10"/>
    </row>
    <row r="24" spans="1:11" s="5" customFormat="1" ht="12.75" customHeight="1">
      <c r="A24" s="77"/>
      <c r="B24" s="131" t="s">
        <v>149</v>
      </c>
      <c r="C24" s="132"/>
      <c r="D24" s="132"/>
      <c r="E24" s="132"/>
      <c r="F24" s="10">
        <f>D24*E24</f>
        <v>0</v>
      </c>
      <c r="G24" s="77"/>
      <c r="H24" s="77"/>
      <c r="I24" s="77"/>
      <c r="J24" s="77"/>
      <c r="K24" s="10">
        <f>I24*J24</f>
        <v>0</v>
      </c>
    </row>
    <row r="25" spans="1:11" s="3" customFormat="1" ht="48">
      <c r="A25" s="1">
        <v>2</v>
      </c>
      <c r="B25" s="69" t="s">
        <v>226</v>
      </c>
      <c r="C25" s="1" t="s">
        <v>56</v>
      </c>
      <c r="D25" s="6">
        <f>(I26+I27+I28)/100</f>
        <v>1.4</v>
      </c>
      <c r="E25" s="9"/>
      <c r="F25" s="10"/>
      <c r="G25" s="69"/>
      <c r="H25" s="1"/>
      <c r="I25" s="6">
        <v>0</v>
      </c>
      <c r="J25" s="9"/>
      <c r="K25" s="10">
        <f>I25*J25</f>
        <v>0</v>
      </c>
    </row>
    <row r="26" spans="1:11" s="3" customFormat="1" ht="36">
      <c r="A26" s="1"/>
      <c r="B26" s="69"/>
      <c r="C26" s="1"/>
      <c r="D26" s="6">
        <v>0</v>
      </c>
      <c r="E26" s="9"/>
      <c r="F26" s="10"/>
      <c r="G26" s="69" t="s">
        <v>428</v>
      </c>
      <c r="H26" s="1" t="s">
        <v>25</v>
      </c>
      <c r="I26" s="6">
        <v>100</v>
      </c>
      <c r="J26" s="9"/>
      <c r="K26" s="10"/>
    </row>
    <row r="27" spans="1:11" s="3" customFormat="1" ht="36">
      <c r="A27" s="1"/>
      <c r="B27" s="69"/>
      <c r="C27" s="1"/>
      <c r="D27" s="6">
        <v>0</v>
      </c>
      <c r="E27" s="9"/>
      <c r="F27" s="10"/>
      <c r="G27" s="69" t="s">
        <v>286</v>
      </c>
      <c r="H27" s="1" t="s">
        <v>25</v>
      </c>
      <c r="I27" s="6">
        <v>25</v>
      </c>
      <c r="J27" s="9"/>
      <c r="K27" s="10"/>
    </row>
    <row r="28" spans="1:11" s="3" customFormat="1" ht="36">
      <c r="A28" s="1"/>
      <c r="B28" s="69"/>
      <c r="C28" s="1"/>
      <c r="D28" s="6"/>
      <c r="E28" s="9"/>
      <c r="F28" s="10"/>
      <c r="G28" s="69" t="s">
        <v>285</v>
      </c>
      <c r="H28" s="1" t="s">
        <v>25</v>
      </c>
      <c r="I28" s="6">
        <v>15</v>
      </c>
      <c r="J28" s="9"/>
      <c r="K28" s="10"/>
    </row>
    <row r="29" spans="1:11" s="3" customFormat="1" ht="36">
      <c r="A29" s="1"/>
      <c r="B29" s="69"/>
      <c r="C29" s="1"/>
      <c r="D29" s="6">
        <v>0</v>
      </c>
      <c r="E29" s="9"/>
      <c r="F29" s="10">
        <f>D29*E29</f>
        <v>0</v>
      </c>
      <c r="G29" s="69" t="s">
        <v>150</v>
      </c>
      <c r="H29" s="1" t="s">
        <v>55</v>
      </c>
      <c r="I29" s="6">
        <v>8</v>
      </c>
      <c r="J29" s="9"/>
      <c r="K29" s="10"/>
    </row>
    <row r="30" spans="1:11" s="3" customFormat="1" ht="24">
      <c r="A30" s="1"/>
      <c r="B30" s="69"/>
      <c r="C30" s="1"/>
      <c r="D30" s="6"/>
      <c r="E30" s="9"/>
      <c r="F30" s="10"/>
      <c r="G30" s="69" t="s">
        <v>287</v>
      </c>
      <c r="H30" s="1" t="s">
        <v>21</v>
      </c>
      <c r="I30" s="6">
        <v>3</v>
      </c>
      <c r="J30" s="9"/>
      <c r="K30" s="10"/>
    </row>
    <row r="31" spans="1:11" s="3" customFormat="1" ht="24">
      <c r="A31" s="1"/>
      <c r="B31" s="69"/>
      <c r="C31" s="1"/>
      <c r="D31" s="6"/>
      <c r="E31" s="9"/>
      <c r="F31" s="10"/>
      <c r="G31" s="69" t="s">
        <v>429</v>
      </c>
      <c r="H31" s="1" t="s">
        <v>21</v>
      </c>
      <c r="I31" s="6">
        <v>1</v>
      </c>
      <c r="J31" s="9"/>
      <c r="K31" s="10"/>
    </row>
    <row r="32" spans="1:11" s="3" customFormat="1" ht="24">
      <c r="A32" s="1"/>
      <c r="B32" s="69"/>
      <c r="C32" s="1"/>
      <c r="D32" s="6"/>
      <c r="E32" s="9"/>
      <c r="F32" s="10"/>
      <c r="G32" s="69" t="s">
        <v>430</v>
      </c>
      <c r="H32" s="1" t="s">
        <v>21</v>
      </c>
      <c r="I32" s="6">
        <v>2</v>
      </c>
      <c r="J32" s="9"/>
      <c r="K32" s="10"/>
    </row>
    <row r="33" spans="1:11" s="3" customFormat="1" ht="24">
      <c r="A33" s="1"/>
      <c r="B33" s="69"/>
      <c r="C33" s="1"/>
      <c r="D33" s="6">
        <v>0</v>
      </c>
      <c r="E33" s="9"/>
      <c r="F33" s="10">
        <f>D33*E33</f>
        <v>0</v>
      </c>
      <c r="G33" s="69" t="s">
        <v>431</v>
      </c>
      <c r="H33" s="1" t="s">
        <v>21</v>
      </c>
      <c r="I33" s="6">
        <v>8</v>
      </c>
      <c r="J33" s="9"/>
      <c r="K33" s="10"/>
    </row>
    <row r="34" spans="1:11" s="3" customFormat="1" ht="24">
      <c r="A34" s="1"/>
      <c r="B34" s="69"/>
      <c r="C34" s="1"/>
      <c r="D34" s="6">
        <v>0</v>
      </c>
      <c r="E34" s="9"/>
      <c r="F34" s="10">
        <f>D34*E34</f>
        <v>0</v>
      </c>
      <c r="G34" s="69" t="s">
        <v>432</v>
      </c>
      <c r="H34" s="1" t="s">
        <v>21</v>
      </c>
      <c r="I34" s="6">
        <v>4</v>
      </c>
      <c r="J34" s="9"/>
      <c r="K34" s="10"/>
    </row>
    <row r="35" spans="1:11" s="3" customFormat="1" ht="24">
      <c r="A35" s="1"/>
      <c r="B35" s="69"/>
      <c r="C35" s="1"/>
      <c r="D35" s="6">
        <v>0</v>
      </c>
      <c r="E35" s="9"/>
      <c r="F35" s="10">
        <f>D35*E35</f>
        <v>0</v>
      </c>
      <c r="G35" s="69" t="s">
        <v>433</v>
      </c>
      <c r="H35" s="1" t="s">
        <v>21</v>
      </c>
      <c r="I35" s="6">
        <v>11</v>
      </c>
      <c r="J35" s="9"/>
      <c r="K35" s="10"/>
    </row>
    <row r="36" spans="1:11" s="3" customFormat="1" ht="24">
      <c r="A36" s="1"/>
      <c r="B36" s="69"/>
      <c r="C36" s="1"/>
      <c r="D36" s="6">
        <v>0</v>
      </c>
      <c r="E36" s="9"/>
      <c r="F36" s="10">
        <f>D36*E36</f>
        <v>0</v>
      </c>
      <c r="G36" s="69" t="s">
        <v>434</v>
      </c>
      <c r="H36" s="1" t="s">
        <v>21</v>
      </c>
      <c r="I36" s="6">
        <v>20</v>
      </c>
      <c r="J36" s="9"/>
      <c r="K36" s="10"/>
    </row>
    <row r="37" spans="1:11" s="3" customFormat="1" ht="24">
      <c r="A37" s="1"/>
      <c r="B37" s="69"/>
      <c r="C37" s="1"/>
      <c r="D37" s="6"/>
      <c r="E37" s="9"/>
      <c r="F37" s="10"/>
      <c r="G37" s="69" t="s">
        <v>288</v>
      </c>
      <c r="H37" s="1" t="s">
        <v>21</v>
      </c>
      <c r="I37" s="6">
        <v>10</v>
      </c>
      <c r="J37" s="9"/>
      <c r="K37" s="10"/>
    </row>
    <row r="38" spans="1:11" s="3" customFormat="1" ht="24">
      <c r="A38" s="1"/>
      <c r="B38" s="69"/>
      <c r="C38" s="1"/>
      <c r="D38" s="6"/>
      <c r="E38" s="9"/>
      <c r="F38" s="10"/>
      <c r="G38" s="69" t="s">
        <v>289</v>
      </c>
      <c r="H38" s="1" t="s">
        <v>21</v>
      </c>
      <c r="I38" s="6">
        <v>10</v>
      </c>
      <c r="J38" s="9"/>
      <c r="K38" s="10"/>
    </row>
    <row r="39" spans="1:11" s="3" customFormat="1" ht="24">
      <c r="A39" s="1"/>
      <c r="B39" s="69"/>
      <c r="C39" s="1"/>
      <c r="D39" s="6"/>
      <c r="E39" s="9"/>
      <c r="F39" s="10">
        <f>D39*E39</f>
        <v>0</v>
      </c>
      <c r="G39" s="69" t="s">
        <v>228</v>
      </c>
      <c r="H39" s="1" t="s">
        <v>21</v>
      </c>
      <c r="I39" s="6">
        <v>14</v>
      </c>
      <c r="J39" s="9"/>
      <c r="K39" s="10"/>
    </row>
    <row r="40" spans="1:11" s="3" customFormat="1">
      <c r="A40" s="1"/>
      <c r="B40" s="69"/>
      <c r="C40" s="1"/>
      <c r="D40" s="6">
        <v>0</v>
      </c>
      <c r="E40" s="9"/>
      <c r="F40" s="10">
        <f>D40*E40</f>
        <v>0</v>
      </c>
      <c r="G40" s="69" t="s">
        <v>174</v>
      </c>
      <c r="H40" s="1" t="s">
        <v>151</v>
      </c>
      <c r="I40" s="6">
        <v>1</v>
      </c>
      <c r="J40" s="9"/>
      <c r="K40" s="10"/>
    </row>
    <row r="41" spans="1:11" s="3" customFormat="1">
      <c r="A41" s="1"/>
      <c r="B41" s="69"/>
      <c r="C41" s="1"/>
      <c r="D41" s="6">
        <v>0</v>
      </c>
      <c r="E41" s="9"/>
      <c r="F41" s="10">
        <f>D41*E41</f>
        <v>0</v>
      </c>
      <c r="G41" s="69" t="s">
        <v>168</v>
      </c>
      <c r="H41" s="1" t="s">
        <v>151</v>
      </c>
      <c r="I41" s="6">
        <v>1</v>
      </c>
      <c r="J41" s="9"/>
      <c r="K41" s="10"/>
    </row>
    <row r="42" spans="1:11" s="3" customFormat="1">
      <c r="A42" s="1">
        <v>2</v>
      </c>
      <c r="B42" s="69" t="s">
        <v>152</v>
      </c>
      <c r="C42" s="1" t="s">
        <v>153</v>
      </c>
      <c r="D42" s="6">
        <f>(I44+I45+I43)/10</f>
        <v>14</v>
      </c>
      <c r="E42" s="9"/>
      <c r="F42" s="10"/>
      <c r="G42" s="69"/>
      <c r="H42" s="1"/>
      <c r="I42" s="6">
        <v>0</v>
      </c>
      <c r="J42" s="9"/>
      <c r="K42" s="10">
        <f>I42*J42</f>
        <v>0</v>
      </c>
    </row>
    <row r="43" spans="1:11" s="3" customFormat="1" ht="36">
      <c r="A43" s="1"/>
      <c r="B43" s="69"/>
      <c r="C43" s="1"/>
      <c r="D43" s="6">
        <v>0</v>
      </c>
      <c r="E43" s="9"/>
      <c r="F43" s="10"/>
      <c r="G43" s="69" t="s">
        <v>290</v>
      </c>
      <c r="H43" s="1" t="s">
        <v>25</v>
      </c>
      <c r="I43" s="6">
        <v>15</v>
      </c>
      <c r="J43" s="9"/>
      <c r="K43" s="10"/>
    </row>
    <row r="44" spans="1:11" s="3" customFormat="1" ht="36">
      <c r="A44" s="1"/>
      <c r="B44" s="69"/>
      <c r="C44" s="1"/>
      <c r="D44" s="6">
        <v>0</v>
      </c>
      <c r="E44" s="9"/>
      <c r="F44" s="10"/>
      <c r="G44" s="69" t="s">
        <v>291</v>
      </c>
      <c r="H44" s="1" t="s">
        <v>25</v>
      </c>
      <c r="I44" s="6">
        <v>25</v>
      </c>
      <c r="J44" s="9"/>
      <c r="K44" s="10"/>
    </row>
    <row r="45" spans="1:11" s="3" customFormat="1" ht="36">
      <c r="A45" s="1"/>
      <c r="B45" s="69"/>
      <c r="C45" s="1"/>
      <c r="D45" s="6">
        <v>0</v>
      </c>
      <c r="E45" s="9"/>
      <c r="F45" s="10"/>
      <c r="G45" s="69" t="s">
        <v>292</v>
      </c>
      <c r="H45" s="1" t="s">
        <v>25</v>
      </c>
      <c r="I45" s="6">
        <v>100</v>
      </c>
      <c r="J45" s="9"/>
      <c r="K45" s="10"/>
    </row>
    <row r="46" spans="1:11" s="3" customFormat="1" ht="24">
      <c r="A46" s="1">
        <v>3</v>
      </c>
      <c r="B46" s="69" t="s">
        <v>227</v>
      </c>
      <c r="C46" s="1" t="s">
        <v>21</v>
      </c>
      <c r="D46" s="6">
        <f>I47+I48+I49+I50+I51</f>
        <v>37</v>
      </c>
      <c r="E46" s="9"/>
      <c r="F46" s="10"/>
      <c r="G46" s="69"/>
      <c r="H46" s="1"/>
      <c r="I46" s="6">
        <v>0</v>
      </c>
      <c r="J46" s="9"/>
      <c r="K46" s="10"/>
    </row>
    <row r="47" spans="1:11" s="3" customFormat="1">
      <c r="A47" s="1"/>
      <c r="B47" s="69"/>
      <c r="C47" s="1"/>
      <c r="D47" s="6"/>
      <c r="E47" s="9"/>
      <c r="F47" s="10"/>
      <c r="G47" s="69" t="s">
        <v>293</v>
      </c>
      <c r="H47" s="1" t="s">
        <v>21</v>
      </c>
      <c r="I47" s="6">
        <v>4</v>
      </c>
      <c r="J47" s="9"/>
      <c r="K47" s="10"/>
    </row>
    <row r="48" spans="1:11" s="3" customFormat="1">
      <c r="A48" s="1"/>
      <c r="B48" s="69"/>
      <c r="C48" s="1"/>
      <c r="D48" s="6">
        <v>0</v>
      </c>
      <c r="E48" s="9"/>
      <c r="F48" s="10"/>
      <c r="G48" s="69" t="s">
        <v>252</v>
      </c>
      <c r="H48" s="1" t="s">
        <v>21</v>
      </c>
      <c r="I48" s="6">
        <v>25</v>
      </c>
      <c r="J48" s="9"/>
      <c r="K48" s="10"/>
    </row>
    <row r="49" spans="1:11" s="3" customFormat="1">
      <c r="A49" s="1"/>
      <c r="B49" s="69"/>
      <c r="C49" s="1"/>
      <c r="D49" s="6"/>
      <c r="E49" s="9"/>
      <c r="F49" s="10"/>
      <c r="G49" s="69" t="s">
        <v>294</v>
      </c>
      <c r="H49" s="1" t="s">
        <v>21</v>
      </c>
      <c r="I49" s="6">
        <v>4</v>
      </c>
      <c r="J49" s="9"/>
      <c r="K49" s="10"/>
    </row>
    <row r="50" spans="1:11" s="3" customFormat="1">
      <c r="A50" s="1"/>
      <c r="B50" s="69"/>
      <c r="C50" s="1"/>
      <c r="D50" s="6"/>
      <c r="E50" s="9"/>
      <c r="F50" s="10"/>
      <c r="G50" s="69" t="s">
        <v>295</v>
      </c>
      <c r="H50" s="1" t="s">
        <v>21</v>
      </c>
      <c r="I50" s="6">
        <v>2</v>
      </c>
      <c r="J50" s="9"/>
      <c r="K50" s="10"/>
    </row>
    <row r="51" spans="1:11" s="3" customFormat="1" ht="24">
      <c r="A51" s="1"/>
      <c r="B51" s="69"/>
      <c r="C51" s="1"/>
      <c r="D51" s="6"/>
      <c r="E51" s="9"/>
      <c r="F51" s="10"/>
      <c r="G51" s="69" t="s">
        <v>296</v>
      </c>
      <c r="H51" s="1" t="s">
        <v>21</v>
      </c>
      <c r="I51" s="6">
        <v>2</v>
      </c>
      <c r="J51" s="9"/>
      <c r="K51" s="10"/>
    </row>
    <row r="52" spans="1:11" s="3" customFormat="1" ht="24">
      <c r="A52" s="31">
        <v>4</v>
      </c>
      <c r="B52" s="83" t="s">
        <v>297</v>
      </c>
      <c r="C52" s="84" t="s">
        <v>21</v>
      </c>
      <c r="D52" s="85">
        <v>2</v>
      </c>
      <c r="E52" s="86"/>
      <c r="F52" s="10"/>
      <c r="G52" s="32" t="s">
        <v>298</v>
      </c>
      <c r="H52" s="31" t="s">
        <v>256</v>
      </c>
      <c r="I52" s="33">
        <v>2</v>
      </c>
      <c r="J52" s="34"/>
      <c r="K52" s="10"/>
    </row>
    <row r="53" spans="1:11" s="3" customFormat="1" ht="60">
      <c r="A53" s="1">
        <v>5</v>
      </c>
      <c r="B53" s="69" t="s">
        <v>154</v>
      </c>
      <c r="C53" s="1" t="s">
        <v>25</v>
      </c>
      <c r="D53" s="6">
        <f>D25*100</f>
        <v>140</v>
      </c>
      <c r="E53" s="9"/>
      <c r="F53" s="10"/>
      <c r="G53" s="69"/>
      <c r="H53" s="1"/>
      <c r="I53" s="6">
        <v>0</v>
      </c>
      <c r="J53" s="9"/>
      <c r="K53" s="10">
        <f>I53*J53</f>
        <v>0</v>
      </c>
    </row>
    <row r="54" spans="1:11" s="5" customFormat="1" ht="12.75" customHeight="1">
      <c r="A54" s="77"/>
      <c r="B54" s="131" t="s">
        <v>155</v>
      </c>
      <c r="C54" s="132"/>
      <c r="D54" s="132"/>
      <c r="E54" s="79"/>
      <c r="F54" s="10">
        <f>D54*E54</f>
        <v>0</v>
      </c>
      <c r="G54" s="77"/>
      <c r="H54" s="77"/>
      <c r="I54" s="77"/>
      <c r="J54" s="77"/>
      <c r="K54" s="10">
        <f>I54*J54</f>
        <v>0</v>
      </c>
    </row>
    <row r="55" spans="1:11" s="3" customFormat="1" ht="36">
      <c r="A55" s="1">
        <v>6</v>
      </c>
      <c r="B55" s="69" t="s">
        <v>156</v>
      </c>
      <c r="C55" s="1" t="s">
        <v>56</v>
      </c>
      <c r="D55" s="6">
        <v>0.16</v>
      </c>
      <c r="E55" s="9"/>
      <c r="F55" s="10"/>
      <c r="G55" s="69"/>
      <c r="H55" s="1"/>
      <c r="I55" s="6">
        <v>0</v>
      </c>
      <c r="J55" s="9"/>
      <c r="K55" s="10">
        <f>I55*J55</f>
        <v>0</v>
      </c>
    </row>
    <row r="56" spans="1:11" s="3" customFormat="1" ht="24">
      <c r="A56" s="1"/>
      <c r="B56" s="69"/>
      <c r="C56" s="1"/>
      <c r="D56" s="6">
        <v>0</v>
      </c>
      <c r="E56" s="9"/>
      <c r="F56" s="10">
        <f>D56*E56</f>
        <v>0</v>
      </c>
      <c r="G56" s="69" t="s">
        <v>299</v>
      </c>
      <c r="H56" s="1" t="s">
        <v>21</v>
      </c>
      <c r="I56" s="6">
        <v>4</v>
      </c>
      <c r="J56" s="9"/>
      <c r="K56" s="10"/>
    </row>
    <row r="57" spans="1:11" s="3" customFormat="1" ht="24">
      <c r="A57" s="1"/>
      <c r="B57" s="69"/>
      <c r="C57" s="1"/>
      <c r="D57" s="6">
        <v>0</v>
      </c>
      <c r="E57" s="9"/>
      <c r="F57" s="10">
        <f>D57*E57</f>
        <v>0</v>
      </c>
      <c r="G57" s="69" t="s">
        <v>300</v>
      </c>
      <c r="H57" s="1" t="s">
        <v>21</v>
      </c>
      <c r="I57" s="6">
        <v>2</v>
      </c>
      <c r="J57" s="9"/>
      <c r="K57" s="10"/>
    </row>
    <row r="58" spans="1:11" s="3" customFormat="1" ht="24">
      <c r="A58" s="1"/>
      <c r="B58" s="69"/>
      <c r="C58" s="1"/>
      <c r="D58" s="6">
        <v>0</v>
      </c>
      <c r="E58" s="9"/>
      <c r="F58" s="10">
        <f>D58*E58</f>
        <v>0</v>
      </c>
      <c r="G58" s="69" t="s">
        <v>301</v>
      </c>
      <c r="H58" s="1" t="s">
        <v>21</v>
      </c>
      <c r="I58" s="6">
        <v>12</v>
      </c>
      <c r="J58" s="9"/>
      <c r="K58" s="10"/>
    </row>
    <row r="59" spans="1:11" s="3" customFormat="1" ht="36">
      <c r="A59" s="1">
        <v>7</v>
      </c>
      <c r="B59" s="69" t="s">
        <v>157</v>
      </c>
      <c r="C59" s="1" t="s">
        <v>56</v>
      </c>
      <c r="D59" s="6">
        <v>0.41</v>
      </c>
      <c r="E59" s="9"/>
      <c r="F59" s="10"/>
      <c r="G59" s="69"/>
      <c r="H59" s="1"/>
      <c r="I59" s="6">
        <v>0</v>
      </c>
      <c r="J59" s="9"/>
      <c r="K59" s="10">
        <f>I59*J59</f>
        <v>0</v>
      </c>
    </row>
    <row r="60" spans="1:11" s="3" customFormat="1" ht="24">
      <c r="A60" s="1"/>
      <c r="B60" s="69"/>
      <c r="C60" s="1"/>
      <c r="D60" s="6">
        <v>0</v>
      </c>
      <c r="E60" s="9"/>
      <c r="F60" s="10"/>
      <c r="G60" s="69" t="s">
        <v>302</v>
      </c>
      <c r="H60" s="1" t="s">
        <v>21</v>
      </c>
      <c r="I60" s="6">
        <v>10</v>
      </c>
      <c r="J60" s="9"/>
      <c r="K60" s="10"/>
    </row>
    <row r="61" spans="1:11" s="3" customFormat="1" ht="24">
      <c r="A61" s="1"/>
      <c r="B61" s="69"/>
      <c r="C61" s="1"/>
      <c r="D61" s="6">
        <v>0</v>
      </c>
      <c r="E61" s="9"/>
      <c r="F61" s="10"/>
      <c r="G61" s="69" t="s">
        <v>303</v>
      </c>
      <c r="H61" s="1" t="s">
        <v>21</v>
      </c>
      <c r="I61" s="6">
        <v>7</v>
      </c>
      <c r="J61" s="9"/>
      <c r="K61" s="10"/>
    </row>
    <row r="62" spans="1:11" s="3" customFormat="1" ht="24">
      <c r="A62" s="1"/>
      <c r="B62" s="69"/>
      <c r="C62" s="1"/>
      <c r="D62" s="6">
        <v>0</v>
      </c>
      <c r="E62" s="9"/>
      <c r="F62" s="10"/>
      <c r="G62" s="69" t="s">
        <v>304</v>
      </c>
      <c r="H62" s="1" t="s">
        <v>21</v>
      </c>
      <c r="I62" s="6">
        <v>13</v>
      </c>
      <c r="J62" s="9"/>
      <c r="K62" s="10"/>
    </row>
    <row r="63" spans="1:11" s="3" customFormat="1" ht="24">
      <c r="A63" s="1"/>
      <c r="B63" s="69"/>
      <c r="C63" s="1"/>
      <c r="D63" s="6">
        <v>0</v>
      </c>
      <c r="E63" s="9"/>
      <c r="F63" s="10"/>
      <c r="G63" s="69" t="s">
        <v>305</v>
      </c>
      <c r="H63" s="1" t="s">
        <v>21</v>
      </c>
      <c r="I63" s="6">
        <v>11</v>
      </c>
      <c r="J63" s="9"/>
      <c r="K63" s="10"/>
    </row>
    <row r="64" spans="1:11" s="3" customFormat="1" ht="48">
      <c r="A64" s="1">
        <v>8</v>
      </c>
      <c r="B64" s="69" t="s">
        <v>158</v>
      </c>
      <c r="C64" s="1" t="s">
        <v>159</v>
      </c>
      <c r="D64" s="6">
        <v>1</v>
      </c>
      <c r="E64" s="9"/>
      <c r="F64" s="10"/>
      <c r="G64" s="69" t="s">
        <v>160</v>
      </c>
      <c r="H64" s="1" t="s">
        <v>55</v>
      </c>
      <c r="I64" s="6">
        <v>0.64</v>
      </c>
      <c r="J64" s="9"/>
      <c r="K64" s="10"/>
    </row>
    <row r="65" spans="1:11" s="3" customFormat="1">
      <c r="A65" s="1"/>
      <c r="B65" s="32"/>
      <c r="C65" s="31"/>
      <c r="D65" s="33">
        <v>0</v>
      </c>
      <c r="E65" s="34"/>
      <c r="F65" s="10">
        <f t="shared" ref="F65:F73" si="0">D65*E65</f>
        <v>0</v>
      </c>
      <c r="G65" s="69" t="s">
        <v>161</v>
      </c>
      <c r="H65" s="1" t="s">
        <v>55</v>
      </c>
      <c r="I65" s="6">
        <v>1.8</v>
      </c>
      <c r="J65" s="9"/>
      <c r="K65" s="10"/>
    </row>
    <row r="66" spans="1:11" s="3" customFormat="1">
      <c r="A66" s="1"/>
      <c r="B66" s="69"/>
      <c r="C66" s="1"/>
      <c r="D66" s="6">
        <v>0</v>
      </c>
      <c r="E66" s="9"/>
      <c r="F66" s="10">
        <f t="shared" si="0"/>
        <v>0</v>
      </c>
      <c r="G66" s="69" t="s">
        <v>162</v>
      </c>
      <c r="H66" s="1" t="s">
        <v>21</v>
      </c>
      <c r="I66" s="6">
        <v>1</v>
      </c>
      <c r="J66" s="9"/>
      <c r="K66" s="10"/>
    </row>
    <row r="67" spans="1:11" s="3" customFormat="1" ht="36">
      <c r="A67" s="1"/>
      <c r="B67" s="69"/>
      <c r="C67" s="1"/>
      <c r="D67" s="6">
        <v>0</v>
      </c>
      <c r="E67" s="9"/>
      <c r="F67" s="10">
        <f t="shared" si="0"/>
        <v>0</v>
      </c>
      <c r="G67" s="69" t="s">
        <v>163</v>
      </c>
      <c r="H67" s="1" t="s">
        <v>21</v>
      </c>
      <c r="I67" s="6">
        <v>1</v>
      </c>
      <c r="J67" s="9"/>
      <c r="K67" s="10"/>
    </row>
    <row r="68" spans="1:11" s="3" customFormat="1">
      <c r="A68" s="1"/>
      <c r="B68" s="69"/>
      <c r="C68" s="1"/>
      <c r="D68" s="6">
        <v>0</v>
      </c>
      <c r="E68" s="9"/>
      <c r="F68" s="10">
        <f t="shared" si="0"/>
        <v>0</v>
      </c>
      <c r="G68" s="69" t="s">
        <v>306</v>
      </c>
      <c r="H68" s="1" t="s">
        <v>21</v>
      </c>
      <c r="I68" s="6">
        <v>16</v>
      </c>
      <c r="J68" s="9"/>
      <c r="K68" s="10"/>
    </row>
    <row r="69" spans="1:11" s="3" customFormat="1">
      <c r="A69" s="1"/>
      <c r="B69" s="69"/>
      <c r="C69" s="1"/>
      <c r="D69" s="6">
        <v>0</v>
      </c>
      <c r="E69" s="9"/>
      <c r="F69" s="10">
        <f t="shared" si="0"/>
        <v>0</v>
      </c>
      <c r="G69" s="69" t="s">
        <v>164</v>
      </c>
      <c r="H69" s="1" t="s">
        <v>21</v>
      </c>
      <c r="I69" s="6">
        <v>30</v>
      </c>
      <c r="J69" s="9"/>
      <c r="K69" s="10"/>
    </row>
    <row r="70" spans="1:11" s="3" customFormat="1">
      <c r="A70" s="1"/>
      <c r="B70" s="69"/>
      <c r="C70" s="1"/>
      <c r="D70" s="6">
        <v>0</v>
      </c>
      <c r="E70" s="9"/>
      <c r="F70" s="10">
        <f t="shared" si="0"/>
        <v>0</v>
      </c>
      <c r="G70" s="69" t="s">
        <v>307</v>
      </c>
      <c r="H70" s="1" t="s">
        <v>21</v>
      </c>
      <c r="I70" s="6">
        <v>2</v>
      </c>
      <c r="J70" s="9"/>
      <c r="K70" s="10"/>
    </row>
    <row r="71" spans="1:11" s="3" customFormat="1">
      <c r="A71" s="1"/>
      <c r="B71" s="69"/>
      <c r="C71" s="1"/>
      <c r="D71" s="6">
        <v>0</v>
      </c>
      <c r="E71" s="9"/>
      <c r="F71" s="10">
        <f t="shared" si="0"/>
        <v>0</v>
      </c>
      <c r="G71" s="69" t="s">
        <v>437</v>
      </c>
      <c r="H71" s="1" t="s">
        <v>21</v>
      </c>
      <c r="I71" s="6">
        <v>3</v>
      </c>
      <c r="J71" s="9"/>
      <c r="K71" s="10"/>
    </row>
    <row r="72" spans="1:11" s="3" customFormat="1">
      <c r="A72" s="1"/>
      <c r="B72" s="69"/>
      <c r="C72" s="1"/>
      <c r="D72" s="6">
        <v>0</v>
      </c>
      <c r="E72" s="9"/>
      <c r="F72" s="10">
        <f t="shared" si="0"/>
        <v>0</v>
      </c>
      <c r="G72" s="69" t="s">
        <v>308</v>
      </c>
      <c r="H72" s="1" t="s">
        <v>21</v>
      </c>
      <c r="I72" s="6">
        <v>5</v>
      </c>
      <c r="J72" s="9"/>
      <c r="K72" s="10"/>
    </row>
    <row r="73" spans="1:11" s="3" customFormat="1">
      <c r="A73" s="1"/>
      <c r="B73" s="69"/>
      <c r="C73" s="1"/>
      <c r="D73" s="6">
        <v>0</v>
      </c>
      <c r="E73" s="9"/>
      <c r="F73" s="10">
        <f t="shared" si="0"/>
        <v>0</v>
      </c>
      <c r="G73" s="69" t="s">
        <v>309</v>
      </c>
      <c r="H73" s="1" t="s">
        <v>21</v>
      </c>
      <c r="I73" s="6">
        <v>12</v>
      </c>
      <c r="J73" s="9"/>
      <c r="K73" s="10"/>
    </row>
    <row r="74" spans="1:11" s="3" customFormat="1" ht="24">
      <c r="A74" s="1"/>
      <c r="B74" s="69"/>
      <c r="C74" s="1"/>
      <c r="D74" s="6">
        <v>0</v>
      </c>
      <c r="E74" s="9"/>
      <c r="F74" s="10"/>
      <c r="G74" s="69" t="s">
        <v>435</v>
      </c>
      <c r="H74" s="1" t="s">
        <v>21</v>
      </c>
      <c r="I74" s="6">
        <v>1</v>
      </c>
      <c r="J74" s="9"/>
      <c r="K74" s="10"/>
    </row>
    <row r="75" spans="1:11" s="3" customFormat="1" ht="24">
      <c r="A75" s="1"/>
      <c r="B75" s="69"/>
      <c r="C75" s="1"/>
      <c r="D75" s="6">
        <v>0</v>
      </c>
      <c r="E75" s="9"/>
      <c r="F75" s="10"/>
      <c r="G75" s="69" t="s">
        <v>438</v>
      </c>
      <c r="H75" s="1" t="s">
        <v>21</v>
      </c>
      <c r="I75" s="6">
        <v>2</v>
      </c>
      <c r="J75" s="9"/>
      <c r="K75" s="10"/>
    </row>
    <row r="76" spans="1:11" s="3" customFormat="1">
      <c r="A76" s="1"/>
      <c r="B76" s="69"/>
      <c r="C76" s="1"/>
      <c r="D76" s="6">
        <v>0</v>
      </c>
      <c r="E76" s="9"/>
      <c r="F76" s="10">
        <f>D76*E76</f>
        <v>0</v>
      </c>
      <c r="G76" s="69" t="s">
        <v>174</v>
      </c>
      <c r="H76" s="1" t="s">
        <v>21</v>
      </c>
      <c r="I76" s="6">
        <v>1</v>
      </c>
      <c r="J76" s="9"/>
      <c r="K76" s="10"/>
    </row>
    <row r="77" spans="1:11" s="3" customFormat="1">
      <c r="A77" s="1"/>
      <c r="B77" s="69"/>
      <c r="C77" s="1"/>
      <c r="D77" s="6">
        <v>0</v>
      </c>
      <c r="E77" s="9"/>
      <c r="F77" s="10">
        <f>D77*E77</f>
        <v>0</v>
      </c>
      <c r="G77" s="69" t="s">
        <v>168</v>
      </c>
      <c r="H77" s="1" t="s">
        <v>21</v>
      </c>
      <c r="I77" s="6">
        <v>1</v>
      </c>
      <c r="J77" s="9"/>
      <c r="K77" s="10"/>
    </row>
    <row r="78" spans="1:11" s="3" customFormat="1">
      <c r="A78" s="1"/>
      <c r="B78" s="69"/>
      <c r="C78" s="1"/>
      <c r="D78" s="6"/>
      <c r="E78" s="9"/>
      <c r="F78" s="10"/>
      <c r="G78" s="69" t="s">
        <v>364</v>
      </c>
      <c r="H78" s="1" t="s">
        <v>256</v>
      </c>
      <c r="I78" s="6">
        <v>1</v>
      </c>
      <c r="J78" s="9"/>
      <c r="K78" s="10"/>
    </row>
    <row r="79" spans="1:11" s="3" customFormat="1" ht="24">
      <c r="A79" s="1">
        <v>9</v>
      </c>
      <c r="B79" s="69" t="s">
        <v>337</v>
      </c>
      <c r="C79" s="1" t="s">
        <v>338</v>
      </c>
      <c r="D79" s="6">
        <v>0.3</v>
      </c>
      <c r="E79" s="9"/>
      <c r="F79" s="10"/>
      <c r="G79" s="69" t="s">
        <v>339</v>
      </c>
      <c r="H79" s="1" t="s">
        <v>55</v>
      </c>
      <c r="I79" s="6">
        <v>6.9999999999999993E-2</v>
      </c>
      <c r="J79" s="9"/>
      <c r="K79" s="10"/>
    </row>
    <row r="80" spans="1:11" s="3" customFormat="1" ht="24">
      <c r="A80" s="1"/>
      <c r="B80" s="69"/>
      <c r="C80" s="1"/>
      <c r="D80" s="6">
        <v>0</v>
      </c>
      <c r="E80" s="9"/>
      <c r="F80" s="10"/>
      <c r="G80" s="69" t="s">
        <v>436</v>
      </c>
      <c r="H80" s="1" t="s">
        <v>21</v>
      </c>
      <c r="I80" s="6">
        <v>3</v>
      </c>
      <c r="J80" s="9"/>
      <c r="K80" s="10"/>
    </row>
    <row r="81" spans="1:11" s="3" customFormat="1">
      <c r="A81" s="35"/>
      <c r="B81" s="116" t="s">
        <v>61</v>
      </c>
      <c r="C81" s="116"/>
      <c r="D81" s="116"/>
      <c r="E81" s="116"/>
      <c r="F81" s="10"/>
      <c r="G81" s="35"/>
      <c r="H81" s="35"/>
      <c r="I81" s="35"/>
      <c r="J81" s="35"/>
      <c r="K81" s="10"/>
    </row>
    <row r="82" spans="1:11" s="3" customFormat="1">
      <c r="A82" s="1"/>
      <c r="B82" s="118" t="s">
        <v>212</v>
      </c>
      <c r="C82" s="118"/>
      <c r="D82" s="118"/>
      <c r="E82" s="118"/>
      <c r="F82" s="10"/>
      <c r="G82" s="35"/>
      <c r="H82" s="35"/>
      <c r="I82" s="35"/>
      <c r="J82" s="35"/>
      <c r="K82" s="35"/>
    </row>
    <row r="83" spans="1:11" s="3" customFormat="1">
      <c r="A83" s="1"/>
      <c r="B83" s="118" t="s">
        <v>214</v>
      </c>
      <c r="C83" s="118"/>
      <c r="D83" s="118"/>
      <c r="E83" s="118"/>
      <c r="F83" s="35"/>
      <c r="G83" s="35"/>
      <c r="H83" s="35"/>
      <c r="I83" s="35"/>
      <c r="J83" s="35"/>
      <c r="K83" s="35"/>
    </row>
    <row r="84" spans="1:11" s="3" customFormat="1">
      <c r="A84" s="1"/>
      <c r="B84" s="118" t="s">
        <v>215</v>
      </c>
      <c r="C84" s="118"/>
      <c r="D84" s="118"/>
      <c r="E84" s="118"/>
      <c r="F84" s="10"/>
      <c r="G84" s="35"/>
      <c r="H84" s="35"/>
      <c r="I84" s="35"/>
      <c r="J84" s="35"/>
      <c r="K84" s="35"/>
    </row>
    <row r="85" spans="1:11" s="3" customFormat="1">
      <c r="A85" s="1"/>
      <c r="B85" s="118" t="s">
        <v>216</v>
      </c>
      <c r="C85" s="118"/>
      <c r="D85" s="118"/>
      <c r="E85" s="118"/>
      <c r="F85" s="10"/>
      <c r="G85" s="35"/>
      <c r="H85" s="35"/>
      <c r="I85" s="35"/>
      <c r="J85" s="35"/>
      <c r="K85" s="35"/>
    </row>
    <row r="86" spans="1:11" s="3" customFormat="1">
      <c r="A86" s="1"/>
      <c r="B86" s="118" t="s">
        <v>217</v>
      </c>
      <c r="C86" s="118"/>
      <c r="D86" s="118"/>
      <c r="E86" s="118"/>
      <c r="F86" s="10"/>
      <c r="G86" s="35"/>
      <c r="H86" s="35"/>
      <c r="I86" s="35"/>
      <c r="J86" s="35"/>
      <c r="K86" s="35"/>
    </row>
    <row r="87" spans="1:11" s="3" customFormat="1">
      <c r="A87" s="1"/>
      <c r="B87" s="118" t="s">
        <v>218</v>
      </c>
      <c r="C87" s="118"/>
      <c r="D87" s="118"/>
      <c r="E87" s="118"/>
      <c r="F87" s="10"/>
      <c r="G87" s="35"/>
      <c r="H87" s="35"/>
      <c r="I87" s="35"/>
      <c r="J87" s="35"/>
      <c r="K87" s="35"/>
    </row>
    <row r="88" spans="1:11" s="3" customFormat="1">
      <c r="A88" s="36"/>
      <c r="B88" s="117" t="s">
        <v>219</v>
      </c>
      <c r="C88" s="117"/>
      <c r="D88" s="117"/>
      <c r="E88" s="117"/>
      <c r="F88" s="37"/>
      <c r="G88" s="38"/>
      <c r="H88" s="38"/>
      <c r="I88" s="38"/>
      <c r="J88" s="38"/>
      <c r="K88" s="38"/>
    </row>
    <row r="89" spans="1:11" s="3" customFormat="1">
      <c r="A89" s="36"/>
      <c r="B89" s="117" t="s">
        <v>220</v>
      </c>
      <c r="C89" s="117"/>
      <c r="D89" s="117"/>
      <c r="E89" s="117"/>
      <c r="F89" s="37"/>
      <c r="G89" s="38"/>
      <c r="H89" s="38"/>
      <c r="I89" s="38"/>
      <c r="J89" s="38"/>
      <c r="K89" s="38"/>
    </row>
    <row r="90" spans="1:11" s="3" customFormat="1">
      <c r="A90" s="35"/>
      <c r="B90" s="118" t="s">
        <v>221</v>
      </c>
      <c r="C90" s="118"/>
      <c r="D90" s="118"/>
      <c r="E90" s="118"/>
      <c r="F90" s="10"/>
      <c r="G90" s="35"/>
      <c r="H90" s="35"/>
      <c r="I90" s="35"/>
      <c r="J90" s="35"/>
      <c r="K90" s="35"/>
    </row>
    <row r="91" spans="1:11" s="3" customForma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s="3" customFormat="1"/>
    <row r="93" spans="1:11" s="3" customFormat="1"/>
    <row r="94" spans="1:11" s="3" customFormat="1" ht="24.95" customHeight="1">
      <c r="B94" s="115" t="s">
        <v>222</v>
      </c>
      <c r="C94" s="115"/>
      <c r="D94" s="115"/>
      <c r="E94" s="115"/>
      <c r="F94" s="115"/>
      <c r="G94" s="115" t="s">
        <v>223</v>
      </c>
      <c r="H94" s="115"/>
      <c r="I94" s="115"/>
      <c r="J94" s="115"/>
      <c r="K94" s="115"/>
    </row>
    <row r="95" spans="1:11" s="3" customFormat="1" ht="24.95" customHeight="1">
      <c r="B95" s="115" t="s">
        <v>224</v>
      </c>
      <c r="C95" s="115"/>
      <c r="D95" s="115"/>
      <c r="E95" s="115"/>
      <c r="F95" s="115"/>
      <c r="G95" s="115" t="s">
        <v>224</v>
      </c>
      <c r="H95" s="115"/>
      <c r="I95" s="115"/>
      <c r="J95" s="115"/>
      <c r="K95" s="115"/>
    </row>
    <row r="96" spans="1:11" s="3" customFormat="1" ht="24.95" customHeight="1">
      <c r="B96" s="115" t="s">
        <v>225</v>
      </c>
      <c r="C96" s="115"/>
      <c r="D96" s="115"/>
      <c r="E96" s="115"/>
      <c r="F96" s="115"/>
      <c r="G96" s="115" t="s">
        <v>225</v>
      </c>
      <c r="H96" s="115"/>
      <c r="I96" s="115"/>
      <c r="J96" s="115"/>
      <c r="K96" s="115"/>
    </row>
    <row r="100" spans="7:7">
      <c r="G100" s="3"/>
    </row>
  </sheetData>
  <autoFilter ref="G3:G100"/>
  <mergeCells count="36">
    <mergeCell ref="A8:I8"/>
    <mergeCell ref="A3:I3"/>
    <mergeCell ref="A4:I4"/>
    <mergeCell ref="A5:I5"/>
    <mergeCell ref="A6:I6"/>
    <mergeCell ref="A7:I7"/>
    <mergeCell ref="A11:I11"/>
    <mergeCell ref="D13:G13"/>
    <mergeCell ref="D14:G14"/>
    <mergeCell ref="D15:G15"/>
    <mergeCell ref="A16:A17"/>
    <mergeCell ref="B16:B17"/>
    <mergeCell ref="C16:C17"/>
    <mergeCell ref="D16:D17"/>
    <mergeCell ref="E16:F16"/>
    <mergeCell ref="G16:K16"/>
    <mergeCell ref="B19:F19"/>
    <mergeCell ref="B20:F20"/>
    <mergeCell ref="B24:E24"/>
    <mergeCell ref="B54:D54"/>
    <mergeCell ref="B81:E81"/>
    <mergeCell ref="B96:F96"/>
    <mergeCell ref="G96:K96"/>
    <mergeCell ref="B82:E82"/>
    <mergeCell ref="B90:E90"/>
    <mergeCell ref="B94:F94"/>
    <mergeCell ref="G94:K94"/>
    <mergeCell ref="B95:F95"/>
    <mergeCell ref="G95:K95"/>
    <mergeCell ref="B89:E89"/>
    <mergeCell ref="B83:E83"/>
    <mergeCell ref="B84:E84"/>
    <mergeCell ref="B85:E85"/>
    <mergeCell ref="B86:E86"/>
    <mergeCell ref="B87:E87"/>
    <mergeCell ref="B88:E88"/>
  </mergeCells>
  <pageMargins left="0.6" right="0.3" top="0.6" bottom="0.4" header="0.3" footer="0"/>
  <pageSetup paperSize="9" fitToHeight="0" orientation="landscape" r:id="rId1"/>
  <headerFooter alignWithMargins="0">
    <oddHeader>&amp;LСтроительные Технологии - Смета™ ред. 7.7.10&amp;C- &amp;P -&amp;R228_дцк_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opLeftCell="A91" zoomScale="145" zoomScaleNormal="145" workbookViewId="0">
      <selection activeCell="A115" sqref="A115"/>
    </sheetView>
  </sheetViews>
  <sheetFormatPr defaultRowHeight="12.75"/>
  <cols>
    <col min="1" max="1" width="3.7109375" customWidth="1"/>
    <col min="2" max="2" width="22.7109375" customWidth="1"/>
    <col min="3" max="5" width="8.7109375" customWidth="1"/>
    <col min="6" max="6" width="10.7109375" customWidth="1"/>
    <col min="7" max="7" width="22.7109375" customWidth="1"/>
    <col min="8" max="10" width="8.7109375" customWidth="1"/>
    <col min="11" max="11" width="10.7109375" customWidth="1"/>
  </cols>
  <sheetData>
    <row r="1" spans="1:11" s="3" customFormat="1"/>
    <row r="2" spans="1:11" s="3" customFormat="1"/>
    <row r="3" spans="1:11" s="3" customFormat="1">
      <c r="A3" s="119" t="s">
        <v>0</v>
      </c>
      <c r="B3" s="119"/>
      <c r="C3" s="119"/>
      <c r="D3" s="119"/>
      <c r="E3" s="119"/>
      <c r="F3" s="119"/>
      <c r="G3" s="119"/>
      <c r="H3" s="119"/>
      <c r="I3" s="119"/>
    </row>
    <row r="4" spans="1:11" s="3" customFormat="1">
      <c r="A4" s="119" t="s">
        <v>1</v>
      </c>
      <c r="B4" s="119"/>
      <c r="C4" s="119"/>
      <c r="D4" s="119"/>
      <c r="E4" s="119"/>
      <c r="F4" s="119"/>
      <c r="G4" s="119"/>
      <c r="H4" s="119"/>
      <c r="I4" s="119"/>
    </row>
    <row r="5" spans="1:11" s="3" customFormat="1">
      <c r="A5" s="119" t="s">
        <v>2</v>
      </c>
      <c r="B5" s="119"/>
      <c r="C5" s="119"/>
      <c r="D5" s="119"/>
      <c r="E5" s="119"/>
      <c r="F5" s="119"/>
      <c r="G5" s="119"/>
      <c r="H5" s="119"/>
      <c r="I5" s="119"/>
    </row>
    <row r="6" spans="1:11" s="3" customFormat="1">
      <c r="A6" s="119" t="s">
        <v>3</v>
      </c>
      <c r="B6" s="119"/>
      <c r="C6" s="119"/>
      <c r="D6" s="119"/>
      <c r="E6" s="119"/>
      <c r="F6" s="119"/>
      <c r="G6" s="119"/>
      <c r="H6" s="119"/>
      <c r="I6" s="119"/>
    </row>
    <row r="7" spans="1:11" s="3" customFormat="1">
      <c r="A7" s="120" t="s">
        <v>332</v>
      </c>
      <c r="B7" s="120"/>
      <c r="C7" s="120"/>
      <c r="D7" s="120"/>
      <c r="E7" s="120"/>
      <c r="F7" s="120"/>
      <c r="G7" s="120"/>
      <c r="H7" s="120"/>
      <c r="I7" s="120"/>
    </row>
    <row r="8" spans="1:11" s="3" customFormat="1">
      <c r="A8" s="119" t="s">
        <v>4</v>
      </c>
      <c r="B8" s="119"/>
      <c r="C8" s="119"/>
      <c r="D8" s="119"/>
      <c r="E8" s="119"/>
      <c r="F8" s="119"/>
      <c r="G8" s="119"/>
      <c r="H8" s="119"/>
      <c r="I8" s="119"/>
    </row>
    <row r="9" spans="1:11" s="3" customFormat="1"/>
    <row r="10" spans="1:11" s="3" customFormat="1"/>
    <row r="11" spans="1:11" s="3" customFormat="1" ht="24.95" customHeight="1">
      <c r="A11" s="123" t="s">
        <v>5</v>
      </c>
      <c r="B11" s="123"/>
      <c r="C11" s="123"/>
      <c r="D11" s="123"/>
      <c r="E11" s="123"/>
      <c r="F11" s="123"/>
      <c r="G11" s="123"/>
      <c r="H11" s="123"/>
      <c r="I11" s="123"/>
    </row>
    <row r="12" spans="1:11" s="3" customFormat="1"/>
    <row r="13" spans="1:11" s="3" customFormat="1">
      <c r="D13" s="124" t="s">
        <v>6</v>
      </c>
      <c r="E13" s="124"/>
      <c r="F13" s="124"/>
      <c r="G13" s="124"/>
      <c r="H13" s="13">
        <f>F121</f>
        <v>0</v>
      </c>
      <c r="I13" s="68"/>
    </row>
    <row r="14" spans="1:11" s="3" customFormat="1">
      <c r="D14" s="124" t="s">
        <v>7</v>
      </c>
      <c r="E14" s="124"/>
      <c r="F14" s="124"/>
      <c r="G14" s="124"/>
      <c r="H14" s="13">
        <f>K112</f>
        <v>0</v>
      </c>
      <c r="I14" s="68"/>
    </row>
    <row r="15" spans="1:11" s="3" customFormat="1">
      <c r="D15" s="124" t="s">
        <v>8</v>
      </c>
      <c r="E15" s="124"/>
      <c r="F15" s="124"/>
      <c r="G15" s="124"/>
      <c r="H15" s="13">
        <f>F115</f>
        <v>0</v>
      </c>
      <c r="I15" s="68"/>
    </row>
    <row r="16" spans="1:11" s="3" customFormat="1">
      <c r="A16" s="121" t="s">
        <v>9</v>
      </c>
      <c r="B16" s="121" t="s">
        <v>10</v>
      </c>
      <c r="C16" s="121" t="s">
        <v>11</v>
      </c>
      <c r="D16" s="121" t="s">
        <v>12</v>
      </c>
      <c r="E16" s="121" t="s">
        <v>232</v>
      </c>
      <c r="F16" s="121"/>
      <c r="G16" s="121" t="s">
        <v>233</v>
      </c>
      <c r="H16" s="121"/>
      <c r="I16" s="121"/>
      <c r="J16" s="121"/>
      <c r="K16" s="121"/>
    </row>
    <row r="17" spans="1:11" s="3" customFormat="1" ht="22.5">
      <c r="A17" s="121"/>
      <c r="B17" s="121"/>
      <c r="C17" s="121"/>
      <c r="D17" s="121"/>
      <c r="E17" s="67" t="s">
        <v>13</v>
      </c>
      <c r="F17" s="67" t="s">
        <v>14</v>
      </c>
      <c r="G17" s="67" t="s">
        <v>15</v>
      </c>
      <c r="H17" s="67" t="s">
        <v>11</v>
      </c>
      <c r="I17" s="67" t="s">
        <v>12</v>
      </c>
      <c r="J17" s="67" t="s">
        <v>16</v>
      </c>
      <c r="K17" s="67" t="s">
        <v>17</v>
      </c>
    </row>
    <row r="18" spans="1:11" s="3" customFormat="1">
      <c r="A18" s="67">
        <v>1</v>
      </c>
      <c r="B18" s="67">
        <v>2</v>
      </c>
      <c r="C18" s="67">
        <v>4</v>
      </c>
      <c r="D18" s="67">
        <v>5</v>
      </c>
      <c r="E18" s="67">
        <v>6</v>
      </c>
      <c r="F18" s="67">
        <v>7</v>
      </c>
      <c r="G18" s="67">
        <v>8</v>
      </c>
      <c r="H18" s="67">
        <v>9</v>
      </c>
      <c r="I18" s="67">
        <v>11</v>
      </c>
      <c r="J18" s="67">
        <v>12</v>
      </c>
      <c r="K18" s="67">
        <v>13</v>
      </c>
    </row>
    <row r="19" spans="1:11" s="5" customFormat="1">
      <c r="A19" s="14"/>
      <c r="B19" s="122" t="s">
        <v>264</v>
      </c>
      <c r="C19" s="122"/>
      <c r="D19" s="122"/>
      <c r="E19" s="122"/>
      <c r="F19" s="122"/>
      <c r="G19" s="14"/>
      <c r="H19" s="14"/>
      <c r="I19" s="14"/>
      <c r="J19" s="14"/>
      <c r="K19" s="10">
        <f>I19*J19</f>
        <v>0</v>
      </c>
    </row>
    <row r="20" spans="1:11" s="5" customFormat="1">
      <c r="A20" s="77"/>
      <c r="B20" s="130" t="s">
        <v>439</v>
      </c>
      <c r="C20" s="130"/>
      <c r="D20" s="130"/>
      <c r="E20" s="130"/>
      <c r="F20" s="130"/>
      <c r="G20" s="77"/>
      <c r="H20" s="77"/>
      <c r="I20" s="77"/>
      <c r="J20" s="77"/>
      <c r="K20" s="10"/>
    </row>
    <row r="21" spans="1:11" s="3" customFormat="1" ht="36">
      <c r="A21" s="1">
        <v>1</v>
      </c>
      <c r="B21" s="69" t="s">
        <v>165</v>
      </c>
      <c r="C21" s="1" t="s">
        <v>56</v>
      </c>
      <c r="D21" s="6">
        <f>(I23+I24+I22)/100</f>
        <v>2.2000000000000002</v>
      </c>
      <c r="E21" s="9"/>
      <c r="F21" s="10"/>
      <c r="G21" s="69"/>
      <c r="H21" s="1"/>
      <c r="I21" s="6">
        <v>0</v>
      </c>
      <c r="J21" s="9"/>
      <c r="K21" s="10"/>
    </row>
    <row r="22" spans="1:11" s="3" customFormat="1" ht="24">
      <c r="A22" s="1"/>
      <c r="B22" s="69"/>
      <c r="C22" s="1"/>
      <c r="D22" s="6">
        <v>0</v>
      </c>
      <c r="E22" s="9"/>
      <c r="F22" s="10"/>
      <c r="G22" s="69" t="s">
        <v>340</v>
      </c>
      <c r="H22" s="1" t="s">
        <v>25</v>
      </c>
      <c r="I22" s="6">
        <v>10</v>
      </c>
      <c r="J22" s="9"/>
      <c r="K22" s="10"/>
    </row>
    <row r="23" spans="1:11" s="3" customFormat="1" ht="24">
      <c r="A23" s="1"/>
      <c r="B23" s="69"/>
      <c r="C23" s="1"/>
      <c r="D23" s="6">
        <v>0</v>
      </c>
      <c r="E23" s="9"/>
      <c r="F23" s="10"/>
      <c r="G23" s="69" t="s">
        <v>367</v>
      </c>
      <c r="H23" s="1" t="s">
        <v>25</v>
      </c>
      <c r="I23" s="6">
        <v>20</v>
      </c>
      <c r="J23" s="9"/>
      <c r="K23" s="10"/>
    </row>
    <row r="24" spans="1:11" s="3" customFormat="1" ht="24">
      <c r="A24" s="1"/>
      <c r="B24" s="69"/>
      <c r="C24" s="1"/>
      <c r="D24" s="6">
        <v>0</v>
      </c>
      <c r="E24" s="9"/>
      <c r="F24" s="10"/>
      <c r="G24" s="69" t="s">
        <v>440</v>
      </c>
      <c r="H24" s="1" t="s">
        <v>25</v>
      </c>
      <c r="I24" s="6">
        <v>190</v>
      </c>
      <c r="J24" s="9"/>
      <c r="K24" s="10"/>
    </row>
    <row r="25" spans="1:11" s="3" customFormat="1" ht="36">
      <c r="A25" s="1"/>
      <c r="B25" s="69"/>
      <c r="C25" s="1"/>
      <c r="D25" s="6">
        <v>0</v>
      </c>
      <c r="E25" s="9"/>
      <c r="F25" s="10"/>
      <c r="G25" s="69" t="s">
        <v>441</v>
      </c>
      <c r="H25" s="1" t="s">
        <v>21</v>
      </c>
      <c r="I25" s="6">
        <v>11</v>
      </c>
      <c r="J25" s="9"/>
      <c r="K25" s="10"/>
    </row>
    <row r="26" spans="1:11" s="3" customFormat="1">
      <c r="A26" s="1"/>
      <c r="B26" s="69"/>
      <c r="C26" s="1"/>
      <c r="D26" s="6">
        <v>0</v>
      </c>
      <c r="E26" s="9"/>
      <c r="F26" s="10"/>
      <c r="G26" s="69" t="s">
        <v>462</v>
      </c>
      <c r="H26" s="1" t="s">
        <v>21</v>
      </c>
      <c r="I26" s="6">
        <v>2</v>
      </c>
      <c r="J26" s="9"/>
      <c r="K26" s="10"/>
    </row>
    <row r="27" spans="1:11" s="3" customFormat="1">
      <c r="A27" s="1"/>
      <c r="B27" s="69"/>
      <c r="C27" s="1"/>
      <c r="D27" s="6">
        <v>0</v>
      </c>
      <c r="E27" s="9"/>
      <c r="F27" s="10"/>
      <c r="G27" s="69" t="s">
        <v>443</v>
      </c>
      <c r="H27" s="1" t="s">
        <v>21</v>
      </c>
      <c r="I27" s="6">
        <v>8</v>
      </c>
      <c r="J27" s="9"/>
      <c r="K27" s="10"/>
    </row>
    <row r="28" spans="1:11" s="3" customFormat="1">
      <c r="A28" s="1"/>
      <c r="B28" s="69"/>
      <c r="C28" s="1"/>
      <c r="D28" s="6"/>
      <c r="E28" s="9"/>
      <c r="F28" s="10"/>
      <c r="G28" s="69" t="s">
        <v>444</v>
      </c>
      <c r="H28" s="1" t="s">
        <v>21</v>
      </c>
      <c r="I28" s="6">
        <v>30</v>
      </c>
      <c r="J28" s="9"/>
      <c r="K28" s="10"/>
    </row>
    <row r="29" spans="1:11" s="3" customFormat="1">
      <c r="A29" s="1"/>
      <c r="B29" s="69"/>
      <c r="C29" s="1"/>
      <c r="D29" s="6"/>
      <c r="E29" s="9"/>
      <c r="F29" s="10"/>
      <c r="G29" s="69" t="s">
        <v>445</v>
      </c>
      <c r="H29" s="1" t="s">
        <v>21</v>
      </c>
      <c r="I29" s="6">
        <v>14</v>
      </c>
      <c r="J29" s="9"/>
      <c r="K29" s="10"/>
    </row>
    <row r="30" spans="1:11" s="3" customFormat="1">
      <c r="A30" s="1"/>
      <c r="B30" s="69"/>
      <c r="C30" s="1"/>
      <c r="D30" s="6"/>
      <c r="E30" s="9"/>
      <c r="F30" s="10"/>
      <c r="G30" s="69" t="s">
        <v>446</v>
      </c>
      <c r="H30" s="1" t="s">
        <v>21</v>
      </c>
      <c r="I30" s="6">
        <v>6</v>
      </c>
      <c r="J30" s="9"/>
      <c r="K30" s="10"/>
    </row>
    <row r="31" spans="1:11" s="3" customFormat="1" ht="24">
      <c r="A31" s="1">
        <v>2</v>
      </c>
      <c r="B31" s="69" t="s">
        <v>166</v>
      </c>
      <c r="C31" s="1" t="s">
        <v>21</v>
      </c>
      <c r="D31" s="6">
        <v>1</v>
      </c>
      <c r="E31" s="9"/>
      <c r="F31" s="10"/>
      <c r="G31" s="69"/>
      <c r="H31" s="1"/>
      <c r="I31" s="6">
        <v>0</v>
      </c>
      <c r="J31" s="9"/>
      <c r="K31" s="10"/>
    </row>
    <row r="32" spans="1:11" s="3" customFormat="1" ht="36">
      <c r="A32" s="1"/>
      <c r="B32" s="69"/>
      <c r="C32" s="1"/>
      <c r="D32" s="6">
        <v>0</v>
      </c>
      <c r="E32" s="9"/>
      <c r="F32" s="10"/>
      <c r="G32" s="69" t="s">
        <v>463</v>
      </c>
      <c r="H32" s="1" t="s">
        <v>151</v>
      </c>
      <c r="I32" s="6">
        <v>1</v>
      </c>
      <c r="J32" s="9"/>
      <c r="K32" s="10"/>
    </row>
    <row r="33" spans="1:11" s="3" customFormat="1">
      <c r="A33" s="1"/>
      <c r="B33" s="69"/>
      <c r="C33" s="1"/>
      <c r="D33" s="6">
        <v>0</v>
      </c>
      <c r="E33" s="9"/>
      <c r="F33" s="10"/>
      <c r="G33" s="69" t="s">
        <v>447</v>
      </c>
      <c r="H33" s="1" t="s">
        <v>21</v>
      </c>
      <c r="I33" s="6">
        <v>2</v>
      </c>
      <c r="J33" s="9"/>
      <c r="K33" s="10"/>
    </row>
    <row r="34" spans="1:11" s="3" customFormat="1" ht="36">
      <c r="A34" s="1"/>
      <c r="B34" s="69"/>
      <c r="C34" s="1"/>
      <c r="D34" s="6">
        <v>0</v>
      </c>
      <c r="E34" s="9"/>
      <c r="F34" s="10"/>
      <c r="G34" s="69" t="s">
        <v>448</v>
      </c>
      <c r="H34" s="1" t="s">
        <v>21</v>
      </c>
      <c r="I34" s="6">
        <v>14</v>
      </c>
      <c r="J34" s="9"/>
      <c r="K34" s="10"/>
    </row>
    <row r="35" spans="1:11" s="3" customFormat="1">
      <c r="A35" s="1">
        <v>3</v>
      </c>
      <c r="B35" s="69" t="s">
        <v>167</v>
      </c>
      <c r="C35" s="1" t="s">
        <v>21</v>
      </c>
      <c r="D35" s="6">
        <v>1</v>
      </c>
      <c r="E35" s="9"/>
      <c r="F35" s="10"/>
      <c r="G35" s="69"/>
      <c r="H35" s="1"/>
      <c r="I35" s="6">
        <v>0</v>
      </c>
      <c r="J35" s="9"/>
      <c r="K35" s="10"/>
    </row>
    <row r="36" spans="1:11" s="3" customFormat="1" ht="24">
      <c r="A36" s="1"/>
      <c r="B36" s="69"/>
      <c r="C36" s="1"/>
      <c r="D36" s="6">
        <v>0</v>
      </c>
      <c r="E36" s="9"/>
      <c r="F36" s="10"/>
      <c r="G36" s="69" t="s">
        <v>229</v>
      </c>
      <c r="H36" s="1" t="s">
        <v>21</v>
      </c>
      <c r="I36" s="6">
        <v>1</v>
      </c>
      <c r="J36" s="9"/>
      <c r="K36" s="10"/>
    </row>
    <row r="37" spans="1:11" s="3" customFormat="1" ht="24">
      <c r="A37" s="1"/>
      <c r="B37" s="69"/>
      <c r="C37" s="1"/>
      <c r="D37" s="6">
        <v>0</v>
      </c>
      <c r="E37" s="9"/>
      <c r="F37" s="10"/>
      <c r="G37" s="69" t="s">
        <v>449</v>
      </c>
      <c r="H37" s="1" t="s">
        <v>21</v>
      </c>
      <c r="I37" s="6">
        <v>550</v>
      </c>
      <c r="J37" s="9"/>
      <c r="K37" s="10"/>
    </row>
    <row r="38" spans="1:11" s="3" customFormat="1">
      <c r="A38" s="1">
        <v>4</v>
      </c>
      <c r="B38" s="69" t="s">
        <v>152</v>
      </c>
      <c r="C38" s="1" t="s">
        <v>153</v>
      </c>
      <c r="D38" s="6">
        <f>(I39+I41+I40)/10</f>
        <v>22</v>
      </c>
      <c r="E38" s="9"/>
      <c r="F38" s="10"/>
      <c r="G38" s="69"/>
      <c r="H38" s="1"/>
      <c r="I38" s="6">
        <v>0</v>
      </c>
      <c r="J38" s="9"/>
      <c r="K38" s="10"/>
    </row>
    <row r="39" spans="1:11" s="3" customFormat="1" ht="24">
      <c r="A39" s="1"/>
      <c r="B39" s="69"/>
      <c r="C39" s="1"/>
      <c r="D39" s="6">
        <v>0</v>
      </c>
      <c r="E39" s="9"/>
      <c r="F39" s="10"/>
      <c r="G39" s="69" t="s">
        <v>450</v>
      </c>
      <c r="H39" s="1" t="s">
        <v>25</v>
      </c>
      <c r="I39" s="6">
        <v>10</v>
      </c>
      <c r="J39" s="9"/>
      <c r="K39" s="10"/>
    </row>
    <row r="40" spans="1:11" s="3" customFormat="1" ht="24">
      <c r="A40" s="1"/>
      <c r="B40" s="69"/>
      <c r="C40" s="1"/>
      <c r="D40" s="6">
        <v>0</v>
      </c>
      <c r="E40" s="9"/>
      <c r="F40" s="10"/>
      <c r="G40" s="69" t="s">
        <v>451</v>
      </c>
      <c r="H40" s="1" t="s">
        <v>25</v>
      </c>
      <c r="I40" s="6">
        <v>20</v>
      </c>
      <c r="J40" s="9"/>
      <c r="K40" s="10"/>
    </row>
    <row r="41" spans="1:11" s="3" customFormat="1" ht="24">
      <c r="A41" s="1"/>
      <c r="B41" s="69"/>
      <c r="C41" s="1"/>
      <c r="D41" s="6">
        <v>0</v>
      </c>
      <c r="E41" s="9"/>
      <c r="F41" s="10"/>
      <c r="G41" s="69" t="s">
        <v>317</v>
      </c>
      <c r="H41" s="1" t="s">
        <v>25</v>
      </c>
      <c r="I41" s="6">
        <v>190</v>
      </c>
      <c r="J41" s="9"/>
      <c r="K41" s="10"/>
    </row>
    <row r="42" spans="1:11" s="3" customFormat="1">
      <c r="A42" s="1"/>
      <c r="B42" s="69"/>
      <c r="C42" s="1"/>
      <c r="D42" s="6">
        <v>0</v>
      </c>
      <c r="E42" s="9"/>
      <c r="F42" s="10"/>
      <c r="G42" s="69" t="s">
        <v>168</v>
      </c>
      <c r="H42" s="1" t="s">
        <v>151</v>
      </c>
      <c r="I42" s="6">
        <v>1</v>
      </c>
      <c r="J42" s="9"/>
      <c r="K42" s="10"/>
    </row>
    <row r="43" spans="1:11" s="3" customFormat="1" ht="60">
      <c r="A43" s="1">
        <v>5</v>
      </c>
      <c r="B43" s="69" t="s">
        <v>154</v>
      </c>
      <c r="C43" s="1" t="s">
        <v>25</v>
      </c>
      <c r="D43" s="6">
        <f>D38*10</f>
        <v>220</v>
      </c>
      <c r="E43" s="9"/>
      <c r="F43" s="10"/>
      <c r="G43" s="69"/>
      <c r="H43" s="1"/>
      <c r="I43" s="6">
        <v>0</v>
      </c>
      <c r="J43" s="9"/>
      <c r="K43" s="10"/>
    </row>
    <row r="44" spans="1:11" s="5" customFormat="1" ht="25.5" customHeight="1">
      <c r="A44" s="77"/>
      <c r="B44" s="78" t="s">
        <v>452</v>
      </c>
      <c r="C44" s="79"/>
      <c r="D44" s="79"/>
      <c r="E44" s="79"/>
      <c r="F44" s="10"/>
      <c r="G44" s="77"/>
      <c r="H44" s="77"/>
      <c r="I44" s="77"/>
      <c r="J44" s="77"/>
      <c r="K44" s="10"/>
    </row>
    <row r="45" spans="1:11" s="3" customFormat="1" ht="24">
      <c r="A45" s="1">
        <v>6</v>
      </c>
      <c r="B45" s="69" t="s">
        <v>453</v>
      </c>
      <c r="C45" s="1" t="s">
        <v>21</v>
      </c>
      <c r="D45" s="6">
        <v>11</v>
      </c>
      <c r="E45" s="9"/>
      <c r="F45" s="10"/>
      <c r="G45" s="69"/>
      <c r="H45" s="1"/>
      <c r="I45" s="6">
        <v>0</v>
      </c>
      <c r="J45" s="9"/>
      <c r="K45" s="10"/>
    </row>
    <row r="46" spans="1:11" s="3" customFormat="1" ht="24">
      <c r="A46" s="1"/>
      <c r="B46" s="69"/>
      <c r="C46" s="1"/>
      <c r="D46" s="6">
        <v>0</v>
      </c>
      <c r="E46" s="9"/>
      <c r="F46" s="10"/>
      <c r="G46" s="69" t="s">
        <v>458</v>
      </c>
      <c r="H46" s="1" t="s">
        <v>21</v>
      </c>
      <c r="I46" s="6">
        <v>1</v>
      </c>
      <c r="J46" s="9"/>
      <c r="K46" s="10"/>
    </row>
    <row r="47" spans="1:11" s="3" customFormat="1" ht="24">
      <c r="A47" s="1"/>
      <c r="B47" s="69"/>
      <c r="C47" s="1"/>
      <c r="D47" s="6">
        <v>0</v>
      </c>
      <c r="E47" s="9"/>
      <c r="F47" s="10"/>
      <c r="G47" s="69" t="s">
        <v>459</v>
      </c>
      <c r="H47" s="1" t="s">
        <v>21</v>
      </c>
      <c r="I47" s="6">
        <v>1</v>
      </c>
      <c r="J47" s="9"/>
      <c r="K47" s="10"/>
    </row>
    <row r="48" spans="1:11" s="3" customFormat="1" ht="24">
      <c r="A48" s="1"/>
      <c r="B48" s="69"/>
      <c r="C48" s="1"/>
      <c r="D48" s="6">
        <v>0</v>
      </c>
      <c r="E48" s="9"/>
      <c r="F48" s="10"/>
      <c r="G48" s="69" t="s">
        <v>454</v>
      </c>
      <c r="H48" s="1" t="s">
        <v>21</v>
      </c>
      <c r="I48" s="6">
        <v>4</v>
      </c>
      <c r="J48" s="9"/>
      <c r="K48" s="10"/>
    </row>
    <row r="49" spans="1:11" s="3" customFormat="1" ht="24">
      <c r="A49" s="1"/>
      <c r="B49" s="69"/>
      <c r="C49" s="1"/>
      <c r="D49" s="6">
        <v>0</v>
      </c>
      <c r="E49" s="9"/>
      <c r="F49" s="10"/>
      <c r="G49" s="69" t="s">
        <v>460</v>
      </c>
      <c r="H49" s="1" t="s">
        <v>21</v>
      </c>
      <c r="I49" s="6">
        <v>2</v>
      </c>
      <c r="J49" s="9"/>
      <c r="K49" s="10"/>
    </row>
    <row r="50" spans="1:11" s="3" customFormat="1" ht="24">
      <c r="A50" s="1"/>
      <c r="B50" s="69"/>
      <c r="C50" s="1"/>
      <c r="D50" s="6">
        <v>0</v>
      </c>
      <c r="E50" s="9"/>
      <c r="F50" s="10"/>
      <c r="G50" s="69" t="s">
        <v>461</v>
      </c>
      <c r="H50" s="1" t="s">
        <v>21</v>
      </c>
      <c r="I50" s="6">
        <v>3</v>
      </c>
      <c r="J50" s="9"/>
      <c r="K50" s="10"/>
    </row>
    <row r="51" spans="1:11" s="3" customFormat="1" ht="24">
      <c r="A51" s="1"/>
      <c r="B51" s="69"/>
      <c r="C51" s="1"/>
      <c r="D51" s="6">
        <v>0</v>
      </c>
      <c r="E51" s="9"/>
      <c r="F51" s="10"/>
      <c r="G51" s="69" t="s">
        <v>455</v>
      </c>
      <c r="H51" s="1" t="s">
        <v>21</v>
      </c>
      <c r="I51" s="6">
        <v>11</v>
      </c>
      <c r="J51" s="9"/>
      <c r="K51" s="10"/>
    </row>
    <row r="52" spans="1:11" s="3" customFormat="1" ht="36">
      <c r="A52" s="1"/>
      <c r="B52" s="69"/>
      <c r="C52" s="1"/>
      <c r="D52" s="6">
        <v>0</v>
      </c>
      <c r="E52" s="9"/>
      <c r="F52" s="10"/>
      <c r="G52" s="69" t="s">
        <v>456</v>
      </c>
      <c r="H52" s="1" t="s">
        <v>21</v>
      </c>
      <c r="I52" s="6">
        <v>11</v>
      </c>
      <c r="J52" s="9"/>
      <c r="K52" s="10"/>
    </row>
    <row r="53" spans="1:11" s="3" customFormat="1" ht="24">
      <c r="A53" s="1"/>
      <c r="B53" s="69"/>
      <c r="C53" s="1"/>
      <c r="D53" s="6">
        <v>0</v>
      </c>
      <c r="E53" s="9"/>
      <c r="F53" s="10"/>
      <c r="G53" s="69" t="s">
        <v>457</v>
      </c>
      <c r="H53" s="1" t="s">
        <v>21</v>
      </c>
      <c r="I53" s="6">
        <v>11</v>
      </c>
      <c r="J53" s="9"/>
      <c r="K53" s="10"/>
    </row>
    <row r="54" spans="1:11" s="5" customFormat="1" ht="16.5" customHeight="1">
      <c r="A54" s="77"/>
      <c r="B54" s="131" t="s">
        <v>467</v>
      </c>
      <c r="C54" s="132"/>
      <c r="D54" s="132"/>
      <c r="E54" s="135"/>
      <c r="F54" s="10">
        <f>D54*E54</f>
        <v>0</v>
      </c>
      <c r="G54" s="77"/>
      <c r="H54" s="77"/>
      <c r="I54" s="77"/>
      <c r="J54" s="77"/>
      <c r="K54" s="10">
        <f>I54*J54</f>
        <v>0</v>
      </c>
    </row>
    <row r="55" spans="1:11" s="3" customFormat="1">
      <c r="A55" s="1">
        <v>7</v>
      </c>
      <c r="B55" s="69" t="s">
        <v>342</v>
      </c>
      <c r="C55" s="1" t="s">
        <v>35</v>
      </c>
      <c r="D55" s="6">
        <v>125</v>
      </c>
      <c r="E55" s="9"/>
      <c r="F55" s="10"/>
      <c r="G55" s="69"/>
      <c r="H55" s="1"/>
      <c r="I55" s="6">
        <v>0</v>
      </c>
      <c r="J55" s="9"/>
      <c r="K55" s="10"/>
    </row>
    <row r="56" spans="1:11" s="3" customFormat="1" ht="36">
      <c r="A56" s="1"/>
      <c r="B56" s="69"/>
      <c r="C56" s="1"/>
      <c r="D56" s="6"/>
      <c r="E56" s="9"/>
      <c r="F56" s="10"/>
      <c r="G56" s="69" t="s">
        <v>343</v>
      </c>
      <c r="H56" s="1" t="s">
        <v>21</v>
      </c>
      <c r="I56" s="6">
        <v>25</v>
      </c>
      <c r="J56" s="9"/>
      <c r="K56" s="10"/>
    </row>
    <row r="57" spans="1:11" s="3" customFormat="1" ht="24">
      <c r="A57" s="1"/>
      <c r="B57" s="69"/>
      <c r="C57" s="1"/>
      <c r="D57" s="6">
        <v>0</v>
      </c>
      <c r="E57" s="9"/>
      <c r="F57" s="10"/>
      <c r="G57" s="69" t="s">
        <v>316</v>
      </c>
      <c r="H57" s="1" t="s">
        <v>25</v>
      </c>
      <c r="I57" s="6">
        <v>700</v>
      </c>
      <c r="J57" s="9"/>
      <c r="K57" s="10"/>
    </row>
    <row r="58" spans="1:11" s="3" customFormat="1" ht="43.5" customHeight="1">
      <c r="A58" s="1"/>
      <c r="B58" s="69"/>
      <c r="C58" s="1"/>
      <c r="D58" s="6">
        <v>0</v>
      </c>
      <c r="E58" s="9"/>
      <c r="F58" s="10"/>
      <c r="G58" s="69" t="s">
        <v>344</v>
      </c>
      <c r="H58" s="1" t="s">
        <v>230</v>
      </c>
      <c r="I58" s="6">
        <v>15</v>
      </c>
      <c r="J58" s="9"/>
      <c r="K58" s="10"/>
    </row>
    <row r="59" spans="1:11" s="3" customFormat="1">
      <c r="A59" s="1"/>
      <c r="B59" s="69"/>
      <c r="C59" s="1"/>
      <c r="D59" s="6">
        <v>0</v>
      </c>
      <c r="E59" s="9"/>
      <c r="F59" s="10"/>
      <c r="G59" s="69" t="s">
        <v>345</v>
      </c>
      <c r="H59" s="1" t="s">
        <v>230</v>
      </c>
      <c r="I59" s="6">
        <v>130</v>
      </c>
      <c r="J59" s="9"/>
      <c r="K59" s="10"/>
    </row>
    <row r="60" spans="1:11" s="3" customFormat="1">
      <c r="A60" s="1"/>
      <c r="B60" s="69"/>
      <c r="C60" s="1"/>
      <c r="D60" s="6">
        <v>0</v>
      </c>
      <c r="E60" s="9"/>
      <c r="F60" s="10"/>
      <c r="G60" s="69" t="s">
        <v>346</v>
      </c>
      <c r="H60" s="1" t="s">
        <v>55</v>
      </c>
      <c r="I60" s="6">
        <v>90</v>
      </c>
      <c r="J60" s="9"/>
      <c r="K60" s="10"/>
    </row>
    <row r="61" spans="1:11" s="3" customFormat="1">
      <c r="A61" s="1"/>
      <c r="B61" s="69"/>
      <c r="C61" s="1"/>
      <c r="D61" s="6">
        <v>0</v>
      </c>
      <c r="E61" s="9"/>
      <c r="F61" s="10"/>
      <c r="G61" s="69" t="s">
        <v>347</v>
      </c>
      <c r="H61" s="1" t="s">
        <v>21</v>
      </c>
      <c r="I61" s="6">
        <v>2100</v>
      </c>
      <c r="J61" s="9"/>
      <c r="K61" s="10"/>
    </row>
    <row r="62" spans="1:11" s="3" customFormat="1" ht="24">
      <c r="A62" s="1"/>
      <c r="B62" s="69"/>
      <c r="C62" s="1"/>
      <c r="D62" s="6"/>
      <c r="E62" s="9"/>
      <c r="F62" s="10"/>
      <c r="G62" s="69" t="s">
        <v>365</v>
      </c>
      <c r="H62" s="1" t="s">
        <v>21</v>
      </c>
      <c r="I62" s="6">
        <v>7</v>
      </c>
      <c r="J62" s="9"/>
      <c r="K62" s="10"/>
    </row>
    <row r="63" spans="1:11" s="3" customFormat="1" ht="24">
      <c r="A63" s="1"/>
      <c r="B63" s="69"/>
      <c r="C63" s="1"/>
      <c r="D63" s="6"/>
      <c r="E63" s="9"/>
      <c r="F63" s="10"/>
      <c r="G63" s="69" t="s">
        <v>366</v>
      </c>
      <c r="H63" s="1" t="s">
        <v>21</v>
      </c>
      <c r="I63" s="6">
        <v>7</v>
      </c>
      <c r="J63" s="9"/>
      <c r="K63" s="10"/>
    </row>
    <row r="64" spans="1:11" s="3" customFormat="1" ht="24">
      <c r="A64" s="1"/>
      <c r="B64" s="69"/>
      <c r="C64" s="1"/>
      <c r="D64" s="6"/>
      <c r="E64" s="9"/>
      <c r="F64" s="10"/>
      <c r="G64" s="69" t="s">
        <v>464</v>
      </c>
      <c r="H64" s="1" t="s">
        <v>21</v>
      </c>
      <c r="I64" s="6">
        <v>7</v>
      </c>
      <c r="J64" s="9"/>
      <c r="K64" s="10"/>
    </row>
    <row r="65" spans="1:11" s="3" customFormat="1" ht="24">
      <c r="A65" s="1"/>
      <c r="B65" s="69"/>
      <c r="C65" s="1"/>
      <c r="D65" s="6"/>
      <c r="E65" s="9"/>
      <c r="F65" s="10"/>
      <c r="G65" s="69" t="s">
        <v>465</v>
      </c>
      <c r="H65" s="1" t="s">
        <v>21</v>
      </c>
      <c r="I65" s="6">
        <v>1</v>
      </c>
      <c r="J65" s="9"/>
      <c r="K65" s="10"/>
    </row>
    <row r="66" spans="1:11" s="3" customFormat="1" ht="24">
      <c r="A66" s="1"/>
      <c r="B66" s="69"/>
      <c r="C66" s="1"/>
      <c r="D66" s="6">
        <v>0</v>
      </c>
      <c r="E66" s="9"/>
      <c r="F66" s="10"/>
      <c r="G66" s="69" t="s">
        <v>466</v>
      </c>
      <c r="H66" s="1" t="s">
        <v>21</v>
      </c>
      <c r="I66" s="6">
        <v>1</v>
      </c>
      <c r="J66" s="9"/>
      <c r="K66" s="10"/>
    </row>
    <row r="67" spans="1:11" s="3" customFormat="1" ht="36">
      <c r="A67" s="1">
        <v>8</v>
      </c>
      <c r="B67" s="69" t="s">
        <v>166</v>
      </c>
      <c r="C67" s="1" t="s">
        <v>21</v>
      </c>
      <c r="D67" s="6">
        <v>2</v>
      </c>
      <c r="E67" s="9"/>
      <c r="F67" s="10"/>
      <c r="G67" s="69" t="s">
        <v>341</v>
      </c>
      <c r="H67" s="1" t="s">
        <v>151</v>
      </c>
      <c r="I67" s="6">
        <v>2</v>
      </c>
      <c r="J67" s="9"/>
      <c r="K67" s="10"/>
    </row>
    <row r="68" spans="1:11" s="5" customFormat="1" ht="12.75" customHeight="1">
      <c r="A68" s="87"/>
      <c r="B68" s="133" t="s">
        <v>484</v>
      </c>
      <c r="C68" s="134"/>
      <c r="D68" s="134"/>
      <c r="E68" s="134"/>
      <c r="F68" s="88">
        <f>D68*E68</f>
        <v>0</v>
      </c>
      <c r="G68" s="77"/>
      <c r="H68" s="77"/>
      <c r="I68" s="77"/>
      <c r="J68" s="77"/>
      <c r="K68" s="10">
        <f>I68*J68</f>
        <v>0</v>
      </c>
    </row>
    <row r="69" spans="1:11" s="3" customFormat="1" ht="36">
      <c r="A69" s="1">
        <v>9</v>
      </c>
      <c r="B69" s="69" t="s">
        <v>474</v>
      </c>
      <c r="C69" s="1" t="s">
        <v>21</v>
      </c>
      <c r="D69" s="6">
        <v>1</v>
      </c>
      <c r="E69" s="9"/>
      <c r="F69" s="10"/>
      <c r="G69" s="69" t="s">
        <v>475</v>
      </c>
      <c r="H69" s="1" t="s">
        <v>21</v>
      </c>
      <c r="I69" s="6">
        <v>1</v>
      </c>
      <c r="J69" s="9"/>
      <c r="K69" s="10"/>
    </row>
    <row r="70" spans="1:11" s="3" customFormat="1" ht="24">
      <c r="A70" s="1">
        <v>10</v>
      </c>
      <c r="B70" s="69" t="s">
        <v>476</v>
      </c>
      <c r="C70" s="1" t="s">
        <v>21</v>
      </c>
      <c r="D70" s="6">
        <v>1</v>
      </c>
      <c r="E70" s="9"/>
      <c r="F70" s="10"/>
      <c r="G70" s="69" t="s">
        <v>477</v>
      </c>
      <c r="H70" s="1" t="s">
        <v>21</v>
      </c>
      <c r="I70" s="6">
        <v>1</v>
      </c>
      <c r="J70" s="9"/>
      <c r="K70" s="10"/>
    </row>
    <row r="71" spans="1:11" s="3" customFormat="1" ht="24">
      <c r="A71" s="1"/>
      <c r="B71" s="69" t="s">
        <v>478</v>
      </c>
      <c r="C71" s="1" t="s">
        <v>21</v>
      </c>
      <c r="D71" s="6">
        <v>1</v>
      </c>
      <c r="E71" s="9"/>
      <c r="F71" s="10"/>
      <c r="G71" s="69" t="s">
        <v>479</v>
      </c>
      <c r="H71" s="1" t="s">
        <v>21</v>
      </c>
      <c r="I71" s="6">
        <v>1</v>
      </c>
      <c r="J71" s="9"/>
      <c r="K71" s="10"/>
    </row>
    <row r="72" spans="1:11" s="3" customFormat="1" ht="24">
      <c r="A72" s="1">
        <v>11</v>
      </c>
      <c r="B72" s="69" t="s">
        <v>472</v>
      </c>
      <c r="C72" s="1" t="s">
        <v>21</v>
      </c>
      <c r="D72" s="6">
        <v>1</v>
      </c>
      <c r="E72" s="9"/>
      <c r="F72" s="10"/>
      <c r="G72" s="69"/>
      <c r="H72" s="1"/>
      <c r="I72" s="6">
        <v>0</v>
      </c>
      <c r="J72" s="9"/>
      <c r="K72" s="10">
        <f>I72*J72</f>
        <v>0</v>
      </c>
    </row>
    <row r="73" spans="1:11" s="3" customFormat="1" ht="36">
      <c r="A73" s="1"/>
      <c r="B73" s="69"/>
      <c r="C73" s="1"/>
      <c r="D73" s="6">
        <v>0</v>
      </c>
      <c r="E73" s="9"/>
      <c r="F73" s="10"/>
      <c r="G73" s="69" t="s">
        <v>473</v>
      </c>
      <c r="H73" s="1" t="s">
        <v>151</v>
      </c>
      <c r="I73" s="6">
        <v>1</v>
      </c>
      <c r="J73" s="9"/>
      <c r="K73" s="10">
        <f>I73*J73</f>
        <v>0</v>
      </c>
    </row>
    <row r="74" spans="1:11" s="3" customFormat="1" ht="24">
      <c r="A74" s="1">
        <v>12</v>
      </c>
      <c r="B74" s="69" t="s">
        <v>310</v>
      </c>
      <c r="C74" s="1" t="s">
        <v>21</v>
      </c>
      <c r="D74" s="6">
        <v>1</v>
      </c>
      <c r="E74" s="9"/>
      <c r="F74" s="10"/>
      <c r="G74" s="69" t="s">
        <v>311</v>
      </c>
      <c r="H74" s="1" t="s">
        <v>21</v>
      </c>
      <c r="I74" s="6">
        <v>1</v>
      </c>
      <c r="J74" s="9"/>
      <c r="K74" s="10"/>
    </row>
    <row r="75" spans="1:11" s="3" customFormat="1">
      <c r="A75" s="1">
        <v>13</v>
      </c>
      <c r="B75" s="69" t="s">
        <v>315</v>
      </c>
      <c r="C75" s="1" t="s">
        <v>256</v>
      </c>
      <c r="D75" s="6">
        <v>6</v>
      </c>
      <c r="E75" s="9"/>
      <c r="F75" s="10"/>
      <c r="G75" s="69"/>
      <c r="H75" s="1"/>
      <c r="I75" s="6"/>
      <c r="J75" s="9"/>
      <c r="K75" s="10"/>
    </row>
    <row r="76" spans="1:11" s="3" customFormat="1" ht="24">
      <c r="A76" s="1"/>
      <c r="B76" s="69"/>
      <c r="C76" s="1"/>
      <c r="D76" s="6"/>
      <c r="E76" s="9"/>
      <c r="F76" s="10"/>
      <c r="G76" s="69" t="s">
        <v>312</v>
      </c>
      <c r="H76" s="1" t="s">
        <v>21</v>
      </c>
      <c r="I76" s="6">
        <v>3</v>
      </c>
      <c r="J76" s="9"/>
      <c r="K76" s="10"/>
    </row>
    <row r="77" spans="1:11" s="3" customFormat="1">
      <c r="A77" s="1"/>
      <c r="B77" s="69"/>
      <c r="C77" s="1"/>
      <c r="D77" s="6"/>
      <c r="E77" s="9"/>
      <c r="F77" s="10"/>
      <c r="G77" s="69" t="s">
        <v>313</v>
      </c>
      <c r="H77" s="1" t="s">
        <v>21</v>
      </c>
      <c r="I77" s="6">
        <v>2</v>
      </c>
      <c r="J77" s="9"/>
      <c r="K77" s="10"/>
    </row>
    <row r="78" spans="1:11" s="3" customFormat="1" ht="36">
      <c r="A78" s="1"/>
      <c r="B78" s="69"/>
      <c r="C78" s="1"/>
      <c r="D78" s="6"/>
      <c r="E78" s="9"/>
      <c r="F78" s="10"/>
      <c r="G78" s="69" t="s">
        <v>314</v>
      </c>
      <c r="H78" s="1" t="s">
        <v>21</v>
      </c>
      <c r="I78" s="6">
        <v>1</v>
      </c>
      <c r="J78" s="9"/>
      <c r="K78" s="10"/>
    </row>
    <row r="79" spans="1:11" s="3" customFormat="1" ht="24">
      <c r="A79" s="1">
        <v>14</v>
      </c>
      <c r="B79" s="69" t="s">
        <v>169</v>
      </c>
      <c r="C79" s="1" t="s">
        <v>21</v>
      </c>
      <c r="D79" s="6">
        <v>1</v>
      </c>
      <c r="E79" s="9"/>
      <c r="F79" s="10"/>
      <c r="G79" s="69"/>
      <c r="H79" s="1"/>
      <c r="I79" s="6">
        <v>0</v>
      </c>
      <c r="J79" s="9"/>
      <c r="K79" s="10">
        <f>I79*J79</f>
        <v>0</v>
      </c>
    </row>
    <row r="80" spans="1:11" s="3" customFormat="1" ht="24">
      <c r="A80" s="1"/>
      <c r="B80" s="69"/>
      <c r="C80" s="1"/>
      <c r="D80" s="6">
        <v>0</v>
      </c>
      <c r="E80" s="9"/>
      <c r="F80" s="10"/>
      <c r="G80" s="69" t="s">
        <v>170</v>
      </c>
      <c r="H80" s="1" t="s">
        <v>21</v>
      </c>
      <c r="I80" s="6">
        <v>1</v>
      </c>
      <c r="J80" s="9"/>
      <c r="K80" s="10"/>
    </row>
    <row r="81" spans="1:11" s="3" customFormat="1" ht="36">
      <c r="A81" s="1">
        <v>15</v>
      </c>
      <c r="B81" s="69" t="s">
        <v>171</v>
      </c>
      <c r="C81" s="1" t="s">
        <v>21</v>
      </c>
      <c r="D81" s="6">
        <v>25</v>
      </c>
      <c r="E81" s="9"/>
      <c r="F81" s="10"/>
      <c r="G81" s="69"/>
      <c r="H81" s="1"/>
      <c r="I81" s="6">
        <v>0</v>
      </c>
      <c r="J81" s="9"/>
      <c r="K81" s="10">
        <f>I81*J81</f>
        <v>0</v>
      </c>
    </row>
    <row r="82" spans="1:11" s="3" customFormat="1" ht="24">
      <c r="A82" s="1"/>
      <c r="B82" s="69"/>
      <c r="C82" s="1"/>
      <c r="D82" s="6">
        <v>0</v>
      </c>
      <c r="E82" s="9"/>
      <c r="F82" s="10"/>
      <c r="G82" s="69" t="s">
        <v>172</v>
      </c>
      <c r="H82" s="1" t="s">
        <v>21</v>
      </c>
      <c r="I82" s="6">
        <v>3</v>
      </c>
      <c r="J82" s="9"/>
      <c r="K82" s="10"/>
    </row>
    <row r="83" spans="1:11" s="3" customFormat="1" ht="24">
      <c r="A83" s="1"/>
      <c r="B83" s="69"/>
      <c r="C83" s="1"/>
      <c r="D83" s="6">
        <v>0</v>
      </c>
      <c r="E83" s="9"/>
      <c r="F83" s="10"/>
      <c r="G83" s="69" t="s">
        <v>470</v>
      </c>
      <c r="H83" s="1" t="s">
        <v>21</v>
      </c>
      <c r="I83" s="6">
        <v>10</v>
      </c>
      <c r="J83" s="9"/>
      <c r="K83" s="10"/>
    </row>
    <row r="84" spans="1:11" s="3" customFormat="1" ht="24">
      <c r="A84" s="1"/>
      <c r="B84" s="69"/>
      <c r="C84" s="1"/>
      <c r="D84" s="6">
        <v>0</v>
      </c>
      <c r="E84" s="9"/>
      <c r="F84" s="10"/>
      <c r="G84" s="69" t="s">
        <v>471</v>
      </c>
      <c r="H84" s="1" t="s">
        <v>21</v>
      </c>
      <c r="I84" s="6">
        <v>7</v>
      </c>
      <c r="J84" s="9"/>
      <c r="K84" s="10"/>
    </row>
    <row r="85" spans="1:11" s="3" customFormat="1">
      <c r="A85" s="1"/>
      <c r="B85" s="69"/>
      <c r="C85" s="1"/>
      <c r="D85" s="6">
        <v>0</v>
      </c>
      <c r="E85" s="9"/>
      <c r="F85" s="10">
        <f t="shared" ref="F85:F91" si="0">D85*E85</f>
        <v>0</v>
      </c>
      <c r="G85" s="69" t="s">
        <v>173</v>
      </c>
      <c r="H85" s="1" t="s">
        <v>21</v>
      </c>
      <c r="I85" s="6">
        <v>1</v>
      </c>
      <c r="J85" s="9"/>
      <c r="K85" s="10"/>
    </row>
    <row r="86" spans="1:11" s="3" customFormat="1">
      <c r="A86" s="1"/>
      <c r="B86" s="69"/>
      <c r="C86" s="1"/>
      <c r="D86" s="6">
        <v>0</v>
      </c>
      <c r="E86" s="9"/>
      <c r="F86" s="10">
        <f t="shared" si="0"/>
        <v>0</v>
      </c>
      <c r="G86" s="69" t="s">
        <v>469</v>
      </c>
      <c r="H86" s="1" t="s">
        <v>21</v>
      </c>
      <c r="I86" s="6">
        <v>3</v>
      </c>
      <c r="J86" s="9"/>
      <c r="K86" s="10"/>
    </row>
    <row r="87" spans="1:11" s="3" customFormat="1" ht="24">
      <c r="A87" s="1"/>
      <c r="B87" s="69"/>
      <c r="C87" s="1"/>
      <c r="D87" s="6">
        <v>0</v>
      </c>
      <c r="E87" s="9"/>
      <c r="F87" s="10">
        <f t="shared" si="0"/>
        <v>0</v>
      </c>
      <c r="G87" s="69" t="s">
        <v>468</v>
      </c>
      <c r="H87" s="1" t="s">
        <v>21</v>
      </c>
      <c r="I87" s="6">
        <v>1</v>
      </c>
      <c r="J87" s="9"/>
      <c r="K87" s="10"/>
    </row>
    <row r="88" spans="1:11" s="3" customFormat="1">
      <c r="A88" s="1"/>
      <c r="B88" s="69"/>
      <c r="C88" s="1"/>
      <c r="D88" s="6">
        <v>0</v>
      </c>
      <c r="E88" s="9"/>
      <c r="F88" s="10">
        <f t="shared" si="0"/>
        <v>0</v>
      </c>
      <c r="G88" s="69" t="s">
        <v>174</v>
      </c>
      <c r="H88" s="1" t="s">
        <v>151</v>
      </c>
      <c r="I88" s="6">
        <v>1</v>
      </c>
      <c r="J88" s="9"/>
      <c r="K88" s="10"/>
    </row>
    <row r="89" spans="1:11" s="3" customFormat="1">
      <c r="A89" s="1"/>
      <c r="B89" s="69"/>
      <c r="C89" s="1"/>
      <c r="D89" s="6">
        <v>0</v>
      </c>
      <c r="E89" s="9"/>
      <c r="F89" s="10">
        <f t="shared" si="0"/>
        <v>0</v>
      </c>
      <c r="G89" s="69" t="s">
        <v>168</v>
      </c>
      <c r="H89" s="1" t="s">
        <v>21</v>
      </c>
      <c r="I89" s="6">
        <v>1</v>
      </c>
      <c r="J89" s="9"/>
      <c r="K89" s="10"/>
    </row>
    <row r="90" spans="1:11" s="3" customFormat="1" ht="36">
      <c r="A90" s="1"/>
      <c r="B90" s="69"/>
      <c r="C90" s="1"/>
      <c r="D90" s="6">
        <v>0</v>
      </c>
      <c r="E90" s="9"/>
      <c r="F90" s="10">
        <f t="shared" si="0"/>
        <v>0</v>
      </c>
      <c r="G90" s="69" t="s">
        <v>150</v>
      </c>
      <c r="H90" s="1" t="s">
        <v>55</v>
      </c>
      <c r="I90" s="6">
        <v>5</v>
      </c>
      <c r="J90" s="9"/>
      <c r="K90" s="10"/>
    </row>
    <row r="91" spans="1:11" s="5" customFormat="1">
      <c r="A91" s="77"/>
      <c r="B91" s="78" t="s">
        <v>485</v>
      </c>
      <c r="C91" s="79"/>
      <c r="D91" s="79"/>
      <c r="E91" s="79"/>
      <c r="F91" s="10">
        <f t="shared" si="0"/>
        <v>0</v>
      </c>
      <c r="G91" s="77"/>
      <c r="H91" s="77"/>
      <c r="I91" s="77"/>
      <c r="J91" s="77"/>
      <c r="K91" s="10">
        <f>I91*J91</f>
        <v>0</v>
      </c>
    </row>
    <row r="92" spans="1:11" s="3" customFormat="1">
      <c r="A92" s="1">
        <v>16</v>
      </c>
      <c r="B92" s="69" t="s">
        <v>175</v>
      </c>
      <c r="C92" s="1" t="s">
        <v>21</v>
      </c>
      <c r="D92" s="6">
        <v>3</v>
      </c>
      <c r="E92" s="9"/>
      <c r="F92" s="10"/>
      <c r="G92" s="69"/>
      <c r="H92" s="1"/>
      <c r="I92" s="6">
        <v>0</v>
      </c>
      <c r="J92" s="9"/>
      <c r="K92" s="10"/>
    </row>
    <row r="93" spans="1:11" s="3" customFormat="1" ht="24">
      <c r="A93" s="1"/>
      <c r="B93" s="69"/>
      <c r="C93" s="1"/>
      <c r="D93" s="6">
        <v>0</v>
      </c>
      <c r="E93" s="9"/>
      <c r="F93" s="10"/>
      <c r="G93" s="69" t="s">
        <v>176</v>
      </c>
      <c r="H93" s="1" t="s">
        <v>21</v>
      </c>
      <c r="I93" s="6">
        <v>3</v>
      </c>
      <c r="J93" s="9"/>
      <c r="K93" s="10"/>
    </row>
    <row r="94" spans="1:11" s="3" customFormat="1" ht="24">
      <c r="A94" s="1">
        <v>17</v>
      </c>
      <c r="B94" s="69" t="s">
        <v>177</v>
      </c>
      <c r="C94" s="1" t="s">
        <v>21</v>
      </c>
      <c r="D94" s="6">
        <v>2</v>
      </c>
      <c r="E94" s="9"/>
      <c r="F94" s="10"/>
      <c r="G94" s="69"/>
      <c r="H94" s="1"/>
      <c r="I94" s="6">
        <v>0</v>
      </c>
      <c r="J94" s="9"/>
      <c r="K94" s="10"/>
    </row>
    <row r="95" spans="1:11" s="3" customFormat="1" ht="24">
      <c r="A95" s="1"/>
      <c r="B95" s="69"/>
      <c r="C95" s="1"/>
      <c r="D95" s="6">
        <v>0</v>
      </c>
      <c r="E95" s="9"/>
      <c r="F95" s="10"/>
      <c r="G95" s="69" t="s">
        <v>178</v>
      </c>
      <c r="H95" s="1" t="s">
        <v>21</v>
      </c>
      <c r="I95" s="6">
        <v>2</v>
      </c>
      <c r="J95" s="9"/>
      <c r="K95" s="10"/>
    </row>
    <row r="96" spans="1:11" s="3" customFormat="1" ht="24">
      <c r="A96" s="1">
        <v>18</v>
      </c>
      <c r="B96" s="69" t="s">
        <v>179</v>
      </c>
      <c r="C96" s="1" t="s">
        <v>53</v>
      </c>
      <c r="D96" s="6">
        <v>5.3999999999999999E-2</v>
      </c>
      <c r="E96" s="9"/>
      <c r="F96" s="10"/>
      <c r="G96" s="69"/>
      <c r="H96" s="1"/>
      <c r="I96" s="6"/>
      <c r="J96" s="9"/>
      <c r="K96" s="10"/>
    </row>
    <row r="97" spans="1:11" s="3" customFormat="1" ht="36">
      <c r="A97" s="1"/>
      <c r="B97" s="69"/>
      <c r="C97" s="1"/>
      <c r="D97" s="6">
        <v>0</v>
      </c>
      <c r="E97" s="9"/>
      <c r="F97" s="10"/>
      <c r="G97" s="69" t="s">
        <v>180</v>
      </c>
      <c r="H97" s="1" t="s">
        <v>25</v>
      </c>
      <c r="I97" s="6">
        <v>6</v>
      </c>
      <c r="J97" s="9"/>
      <c r="K97" s="10"/>
    </row>
    <row r="98" spans="1:11" s="3" customFormat="1" ht="36">
      <c r="A98" s="1"/>
      <c r="B98" s="69"/>
      <c r="C98" s="1"/>
      <c r="D98" s="6">
        <v>0</v>
      </c>
      <c r="E98" s="9"/>
      <c r="F98" s="10"/>
      <c r="G98" s="69" t="s">
        <v>181</v>
      </c>
      <c r="H98" s="1" t="s">
        <v>21</v>
      </c>
      <c r="I98" s="6">
        <v>4</v>
      </c>
      <c r="J98" s="9"/>
      <c r="K98" s="10"/>
    </row>
    <row r="99" spans="1:11" s="5" customFormat="1" ht="24" customHeight="1">
      <c r="A99" s="77"/>
      <c r="B99" s="131" t="s">
        <v>486</v>
      </c>
      <c r="C99" s="132"/>
      <c r="D99" s="132"/>
      <c r="E99" s="135"/>
      <c r="F99" s="10"/>
      <c r="G99" s="77"/>
      <c r="H99" s="77"/>
      <c r="I99" s="77"/>
      <c r="J99" s="77"/>
      <c r="K99" s="10">
        <f>I99*J99</f>
        <v>0</v>
      </c>
    </row>
    <row r="100" spans="1:11" s="5" customFormat="1">
      <c r="A100" s="94">
        <v>19</v>
      </c>
      <c r="B100" s="93" t="s">
        <v>480</v>
      </c>
      <c r="C100" s="89" t="s">
        <v>21</v>
      </c>
      <c r="D100" s="89">
        <v>1</v>
      </c>
      <c r="E100" s="90"/>
      <c r="F100" s="91"/>
      <c r="G100" s="92" t="s">
        <v>481</v>
      </c>
      <c r="H100" s="94" t="s">
        <v>151</v>
      </c>
      <c r="I100" s="94">
        <v>4</v>
      </c>
      <c r="J100" s="92"/>
      <c r="K100" s="91"/>
    </row>
    <row r="101" spans="1:11" s="5" customFormat="1">
      <c r="A101" s="94"/>
      <c r="B101" s="93"/>
      <c r="C101" s="89"/>
      <c r="D101" s="89"/>
      <c r="E101" s="90"/>
      <c r="F101" s="91"/>
      <c r="G101" s="92" t="s">
        <v>482</v>
      </c>
      <c r="H101" s="94" t="s">
        <v>151</v>
      </c>
      <c r="I101" s="94">
        <v>2</v>
      </c>
      <c r="J101" s="92"/>
      <c r="K101" s="91"/>
    </row>
    <row r="102" spans="1:11" s="3" customFormat="1" ht="36">
      <c r="A102" s="1">
        <v>20</v>
      </c>
      <c r="B102" s="69" t="s">
        <v>165</v>
      </c>
      <c r="C102" s="1" t="s">
        <v>56</v>
      </c>
      <c r="D102" s="6">
        <f>(I103+I104)/100</f>
        <v>1</v>
      </c>
      <c r="E102" s="9"/>
      <c r="F102" s="10"/>
      <c r="G102" s="69"/>
      <c r="H102" s="1"/>
      <c r="I102" s="6">
        <v>0</v>
      </c>
      <c r="J102" s="9"/>
      <c r="K102" s="10"/>
    </row>
    <row r="103" spans="1:11" s="3" customFormat="1" ht="24">
      <c r="A103" s="1"/>
      <c r="B103" s="69"/>
      <c r="C103" s="1"/>
      <c r="D103" s="6">
        <v>0</v>
      </c>
      <c r="E103" s="9"/>
      <c r="F103" s="10"/>
      <c r="G103" s="69" t="s">
        <v>367</v>
      </c>
      <c r="H103" s="1" t="s">
        <v>25</v>
      </c>
      <c r="I103" s="6">
        <v>40</v>
      </c>
      <c r="J103" s="9"/>
      <c r="K103" s="10"/>
    </row>
    <row r="104" spans="1:11" s="3" customFormat="1" ht="24">
      <c r="A104" s="1"/>
      <c r="B104" s="69"/>
      <c r="C104" s="1"/>
      <c r="D104" s="6">
        <v>0</v>
      </c>
      <c r="E104" s="9"/>
      <c r="F104" s="10"/>
      <c r="G104" s="69" t="s">
        <v>440</v>
      </c>
      <c r="H104" s="1" t="s">
        <v>25</v>
      </c>
      <c r="I104" s="6">
        <v>60</v>
      </c>
      <c r="J104" s="9"/>
      <c r="K104" s="10"/>
    </row>
    <row r="105" spans="1:11" s="3" customFormat="1">
      <c r="A105" s="1"/>
      <c r="B105" s="69"/>
      <c r="C105" s="1"/>
      <c r="D105" s="6">
        <v>0</v>
      </c>
      <c r="E105" s="9"/>
      <c r="F105" s="10"/>
      <c r="G105" s="69" t="s">
        <v>442</v>
      </c>
      <c r="H105" s="1" t="s">
        <v>21</v>
      </c>
      <c r="I105" s="6">
        <v>2</v>
      </c>
      <c r="J105" s="9"/>
      <c r="K105" s="10"/>
    </row>
    <row r="106" spans="1:11" s="3" customFormat="1">
      <c r="A106" s="1"/>
      <c r="B106" s="69"/>
      <c r="C106" s="1"/>
      <c r="D106" s="6"/>
      <c r="E106" s="9"/>
      <c r="F106" s="10"/>
      <c r="G106" s="69" t="s">
        <v>462</v>
      </c>
      <c r="H106" s="1" t="s">
        <v>21</v>
      </c>
      <c r="I106" s="6">
        <v>4</v>
      </c>
      <c r="J106" s="9"/>
      <c r="K106" s="10"/>
    </row>
    <row r="107" spans="1:11" s="3" customFormat="1">
      <c r="A107" s="1"/>
      <c r="B107" s="69"/>
      <c r="C107" s="1"/>
      <c r="D107" s="6">
        <v>0</v>
      </c>
      <c r="E107" s="9"/>
      <c r="F107" s="10"/>
      <c r="G107" s="69" t="s">
        <v>483</v>
      </c>
      <c r="H107" s="1" t="s">
        <v>21</v>
      </c>
      <c r="I107" s="6">
        <v>4</v>
      </c>
      <c r="J107" s="9"/>
      <c r="K107" s="10"/>
    </row>
    <row r="108" spans="1:11" s="3" customFormat="1">
      <c r="A108" s="1">
        <v>21</v>
      </c>
      <c r="B108" s="69" t="s">
        <v>152</v>
      </c>
      <c r="C108" s="1" t="s">
        <v>153</v>
      </c>
      <c r="D108" s="6">
        <f>(I110+I109)/10</f>
        <v>10</v>
      </c>
      <c r="E108" s="9"/>
      <c r="F108" s="10"/>
      <c r="G108" s="69"/>
      <c r="H108" s="1"/>
      <c r="I108" s="6">
        <v>0</v>
      </c>
      <c r="J108" s="9"/>
      <c r="K108" s="10"/>
    </row>
    <row r="109" spans="1:11" s="3" customFormat="1" ht="24">
      <c r="A109" s="1"/>
      <c r="B109" s="69"/>
      <c r="C109" s="1"/>
      <c r="D109" s="6">
        <v>0</v>
      </c>
      <c r="E109" s="9"/>
      <c r="F109" s="10"/>
      <c r="G109" s="69" t="s">
        <v>451</v>
      </c>
      <c r="H109" s="1" t="s">
        <v>25</v>
      </c>
      <c r="I109" s="6">
        <v>40</v>
      </c>
      <c r="J109" s="9"/>
      <c r="K109" s="10"/>
    </row>
    <row r="110" spans="1:11" s="3" customFormat="1" ht="24">
      <c r="A110" s="1"/>
      <c r="B110" s="69"/>
      <c r="C110" s="1"/>
      <c r="D110" s="6">
        <v>0</v>
      </c>
      <c r="E110" s="9"/>
      <c r="F110" s="10"/>
      <c r="G110" s="69" t="s">
        <v>317</v>
      </c>
      <c r="H110" s="1" t="s">
        <v>25</v>
      </c>
      <c r="I110" s="6">
        <v>60</v>
      </c>
      <c r="J110" s="9"/>
      <c r="K110" s="10"/>
    </row>
    <row r="111" spans="1:11" s="3" customFormat="1">
      <c r="A111" s="1"/>
      <c r="B111" s="69"/>
      <c r="C111" s="1"/>
      <c r="D111" s="6">
        <v>0</v>
      </c>
      <c r="E111" s="9"/>
      <c r="F111" s="10"/>
      <c r="G111" s="69" t="s">
        <v>168</v>
      </c>
      <c r="H111" s="1" t="s">
        <v>151</v>
      </c>
      <c r="I111" s="6">
        <v>1</v>
      </c>
      <c r="J111" s="9"/>
      <c r="K111" s="10"/>
    </row>
    <row r="112" spans="1:11" s="3" customFormat="1">
      <c r="A112" s="35"/>
      <c r="B112" s="116" t="s">
        <v>61</v>
      </c>
      <c r="C112" s="116"/>
      <c r="D112" s="116"/>
      <c r="E112" s="116"/>
      <c r="F112" s="10"/>
      <c r="G112" s="35"/>
      <c r="H112" s="35"/>
      <c r="I112" s="35"/>
      <c r="J112" s="35"/>
      <c r="K112" s="10">
        <f>SUM(K68:K98)</f>
        <v>0</v>
      </c>
    </row>
    <row r="113" spans="1:11" s="3" customFormat="1">
      <c r="A113" s="1"/>
      <c r="B113" s="118" t="s">
        <v>212</v>
      </c>
      <c r="C113" s="118"/>
      <c r="D113" s="118"/>
      <c r="E113" s="118"/>
      <c r="F113" s="10"/>
      <c r="G113" s="35" t="s">
        <v>213</v>
      </c>
      <c r="H113" s="35" t="s">
        <v>213</v>
      </c>
      <c r="I113" s="35" t="s">
        <v>213</v>
      </c>
      <c r="J113" s="35"/>
      <c r="K113" s="35"/>
    </row>
    <row r="114" spans="1:11" s="3" customFormat="1">
      <c r="A114" s="1"/>
      <c r="B114" s="118" t="s">
        <v>214</v>
      </c>
      <c r="C114" s="118"/>
      <c r="D114" s="118"/>
      <c r="E114" s="118"/>
      <c r="F114" s="35"/>
      <c r="G114" s="35" t="s">
        <v>213</v>
      </c>
      <c r="H114" s="35" t="s">
        <v>213</v>
      </c>
      <c r="I114" s="35" t="s">
        <v>213</v>
      </c>
      <c r="J114" s="35"/>
      <c r="K114" s="35"/>
    </row>
    <row r="115" spans="1:11" s="3" customFormat="1">
      <c r="A115" s="1"/>
      <c r="B115" s="118" t="s">
        <v>215</v>
      </c>
      <c r="C115" s="118"/>
      <c r="D115" s="118"/>
      <c r="E115" s="118"/>
      <c r="F115" s="10"/>
      <c r="G115" s="35" t="s">
        <v>213</v>
      </c>
      <c r="H115" s="35" t="s">
        <v>213</v>
      </c>
      <c r="I115" s="35" t="s">
        <v>213</v>
      </c>
      <c r="J115" s="35"/>
      <c r="K115" s="35"/>
    </row>
    <row r="116" spans="1:11" s="3" customFormat="1">
      <c r="A116" s="1"/>
      <c r="B116" s="118" t="s">
        <v>216</v>
      </c>
      <c r="C116" s="118"/>
      <c r="D116" s="118"/>
      <c r="E116" s="118"/>
      <c r="F116" s="10"/>
      <c r="G116" s="35" t="s">
        <v>213</v>
      </c>
      <c r="H116" s="35" t="s">
        <v>213</v>
      </c>
      <c r="I116" s="35" t="s">
        <v>213</v>
      </c>
      <c r="J116" s="35"/>
      <c r="K116" s="35"/>
    </row>
    <row r="117" spans="1:11" s="3" customFormat="1">
      <c r="A117" s="1"/>
      <c r="B117" s="118" t="s">
        <v>217</v>
      </c>
      <c r="C117" s="118"/>
      <c r="D117" s="118"/>
      <c r="E117" s="118"/>
      <c r="F117" s="10"/>
      <c r="G117" s="35" t="s">
        <v>213</v>
      </c>
      <c r="H117" s="35" t="s">
        <v>213</v>
      </c>
      <c r="I117" s="35" t="s">
        <v>213</v>
      </c>
      <c r="J117" s="35"/>
      <c r="K117" s="35"/>
    </row>
    <row r="118" spans="1:11" s="3" customFormat="1">
      <c r="A118" s="1"/>
      <c r="B118" s="118" t="s">
        <v>218</v>
      </c>
      <c r="C118" s="118"/>
      <c r="D118" s="118"/>
      <c r="E118" s="118"/>
      <c r="F118" s="10"/>
      <c r="G118" s="35" t="s">
        <v>213</v>
      </c>
      <c r="H118" s="35" t="s">
        <v>213</v>
      </c>
      <c r="I118" s="35" t="s">
        <v>213</v>
      </c>
      <c r="J118" s="35"/>
      <c r="K118" s="35"/>
    </row>
    <row r="119" spans="1:11" s="3" customFormat="1">
      <c r="A119" s="36"/>
      <c r="B119" s="117" t="s">
        <v>219</v>
      </c>
      <c r="C119" s="117"/>
      <c r="D119" s="117"/>
      <c r="E119" s="117"/>
      <c r="F119" s="37"/>
      <c r="G119" s="38"/>
      <c r="H119" s="38"/>
      <c r="I119" s="38"/>
      <c r="J119" s="38"/>
      <c r="K119" s="38"/>
    </row>
    <row r="120" spans="1:11" s="3" customFormat="1">
      <c r="A120" s="36"/>
      <c r="B120" s="117" t="s">
        <v>220</v>
      </c>
      <c r="C120" s="117"/>
      <c r="D120" s="117"/>
      <c r="E120" s="117"/>
      <c r="F120" s="37"/>
      <c r="G120" s="38"/>
      <c r="H120" s="38"/>
      <c r="I120" s="38"/>
      <c r="J120" s="38"/>
      <c r="K120" s="38"/>
    </row>
    <row r="121" spans="1:11" s="3" customFormat="1">
      <c r="A121" s="35"/>
      <c r="B121" s="118" t="s">
        <v>221</v>
      </c>
      <c r="C121" s="118"/>
      <c r="D121" s="118"/>
      <c r="E121" s="118"/>
      <c r="F121" s="10"/>
      <c r="G121" s="35"/>
      <c r="H121" s="35"/>
      <c r="I121" s="35"/>
      <c r="J121" s="35"/>
      <c r="K121" s="35"/>
    </row>
    <row r="122" spans="1:11" s="3" customForma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s="3" customFormat="1"/>
    <row r="124" spans="1:11" s="3" customFormat="1"/>
    <row r="125" spans="1:11" s="3" customFormat="1" ht="24.95" customHeight="1">
      <c r="B125" s="115" t="s">
        <v>222</v>
      </c>
      <c r="C125" s="115"/>
      <c r="D125" s="115"/>
      <c r="E125" s="115"/>
      <c r="F125" s="115"/>
      <c r="G125" s="115" t="s">
        <v>223</v>
      </c>
      <c r="H125" s="115"/>
      <c r="I125" s="115"/>
      <c r="J125" s="115"/>
      <c r="K125" s="115"/>
    </row>
    <row r="126" spans="1:11" s="3" customFormat="1" ht="24.95" customHeight="1">
      <c r="B126" s="115" t="s">
        <v>224</v>
      </c>
      <c r="C126" s="115"/>
      <c r="D126" s="115"/>
      <c r="E126" s="115"/>
      <c r="F126" s="115"/>
      <c r="G126" s="115" t="s">
        <v>224</v>
      </c>
      <c r="H126" s="115"/>
      <c r="I126" s="115"/>
      <c r="J126" s="115"/>
      <c r="K126" s="115"/>
    </row>
    <row r="127" spans="1:11" s="3" customFormat="1" ht="24.95" customHeight="1">
      <c r="B127" s="115" t="s">
        <v>225</v>
      </c>
      <c r="C127" s="115"/>
      <c r="D127" s="115"/>
      <c r="E127" s="115"/>
      <c r="F127" s="115"/>
      <c r="G127" s="115" t="s">
        <v>225</v>
      </c>
      <c r="H127" s="115"/>
      <c r="I127" s="115"/>
      <c r="J127" s="115"/>
      <c r="K127" s="115"/>
    </row>
    <row r="128" spans="1:11" s="3" customFormat="1"/>
    <row r="129" s="3" customFormat="1"/>
    <row r="130" s="3" customFormat="1"/>
    <row r="131" s="3" customFormat="1"/>
  </sheetData>
  <autoFilter ref="G3:G131"/>
  <mergeCells count="37">
    <mergeCell ref="B99:E99"/>
    <mergeCell ref="A3:I3"/>
    <mergeCell ref="A4:I4"/>
    <mergeCell ref="A5:I5"/>
    <mergeCell ref="A6:I6"/>
    <mergeCell ref="A7:I7"/>
    <mergeCell ref="A8:I8"/>
    <mergeCell ref="A16:A17"/>
    <mergeCell ref="B16:B17"/>
    <mergeCell ref="C16:C17"/>
    <mergeCell ref="D16:D17"/>
    <mergeCell ref="E16:F16"/>
    <mergeCell ref="A11:I11"/>
    <mergeCell ref="D13:G13"/>
    <mergeCell ref="D14:G14"/>
    <mergeCell ref="D15:G15"/>
    <mergeCell ref="G16:K16"/>
    <mergeCell ref="B112:E112"/>
    <mergeCell ref="B68:E68"/>
    <mergeCell ref="B125:F125"/>
    <mergeCell ref="B19:F19"/>
    <mergeCell ref="B121:E121"/>
    <mergeCell ref="B119:E119"/>
    <mergeCell ref="B120:E120"/>
    <mergeCell ref="B118:E118"/>
    <mergeCell ref="B113:E113"/>
    <mergeCell ref="B114:E114"/>
    <mergeCell ref="B115:E115"/>
    <mergeCell ref="B116:E116"/>
    <mergeCell ref="B117:E117"/>
    <mergeCell ref="B20:F20"/>
    <mergeCell ref="B54:E54"/>
    <mergeCell ref="G125:K125"/>
    <mergeCell ref="B126:F126"/>
    <mergeCell ref="G126:K126"/>
    <mergeCell ref="B127:F127"/>
    <mergeCell ref="G127:K127"/>
  </mergeCells>
  <pageMargins left="0.6" right="0.3" top="0.6" bottom="0.4" header="0.3" footer="0"/>
  <pageSetup paperSize="9" fitToHeight="0" orientation="landscape" r:id="rId1"/>
  <headerFooter alignWithMargins="0">
    <oddHeader>&amp;LСтроительные Технологии - Смета™ ред. 7.7.10&amp;C- &amp;P -&amp;R228_дцк_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79" zoomScale="115" zoomScaleNormal="115" workbookViewId="0">
      <selection activeCell="A65" sqref="A65"/>
    </sheetView>
  </sheetViews>
  <sheetFormatPr defaultRowHeight="12.75"/>
  <cols>
    <col min="1" max="1" width="3.7109375" customWidth="1"/>
    <col min="2" max="2" width="22.7109375" customWidth="1"/>
    <col min="3" max="5" width="8.7109375" customWidth="1"/>
    <col min="6" max="6" width="10.7109375" customWidth="1"/>
    <col min="7" max="7" width="22.7109375" customWidth="1"/>
    <col min="8" max="10" width="8.7109375" customWidth="1"/>
    <col min="11" max="11" width="10.7109375" customWidth="1"/>
  </cols>
  <sheetData>
    <row r="1" spans="1:11" s="3" customFormat="1"/>
    <row r="2" spans="1:11" s="3" customFormat="1"/>
    <row r="3" spans="1:11" s="3" customFormat="1">
      <c r="A3" s="119" t="s">
        <v>0</v>
      </c>
      <c r="B3" s="119"/>
      <c r="C3" s="119"/>
      <c r="D3" s="119"/>
      <c r="E3" s="119"/>
      <c r="F3" s="119"/>
      <c r="G3" s="119"/>
      <c r="H3" s="119"/>
      <c r="I3" s="119"/>
    </row>
    <row r="4" spans="1:11" s="3" customFormat="1">
      <c r="A4" s="119" t="s">
        <v>1</v>
      </c>
      <c r="B4" s="119"/>
      <c r="C4" s="119"/>
      <c r="D4" s="119"/>
      <c r="E4" s="119"/>
      <c r="F4" s="119"/>
      <c r="G4" s="119"/>
      <c r="H4" s="119"/>
      <c r="I4" s="119"/>
    </row>
    <row r="5" spans="1:11" s="3" customFormat="1">
      <c r="A5" s="119" t="s">
        <v>2</v>
      </c>
      <c r="B5" s="119"/>
      <c r="C5" s="119"/>
      <c r="D5" s="119"/>
      <c r="E5" s="119"/>
      <c r="F5" s="119"/>
      <c r="G5" s="119"/>
      <c r="H5" s="119"/>
      <c r="I5" s="119"/>
    </row>
    <row r="6" spans="1:11" s="3" customFormat="1">
      <c r="A6" s="119" t="s">
        <v>3</v>
      </c>
      <c r="B6" s="119"/>
      <c r="C6" s="119"/>
      <c r="D6" s="119"/>
      <c r="E6" s="119"/>
      <c r="F6" s="119"/>
      <c r="G6" s="119"/>
      <c r="H6" s="119"/>
      <c r="I6" s="119"/>
    </row>
    <row r="7" spans="1:11" s="3" customFormat="1">
      <c r="A7" s="120" t="s">
        <v>332</v>
      </c>
      <c r="B7" s="120"/>
      <c r="C7" s="120"/>
      <c r="D7" s="120"/>
      <c r="E7" s="120"/>
      <c r="F7" s="120"/>
      <c r="G7" s="120"/>
      <c r="H7" s="120"/>
      <c r="I7" s="120"/>
    </row>
    <row r="8" spans="1:11" s="3" customFormat="1">
      <c r="A8" s="119" t="s">
        <v>4</v>
      </c>
      <c r="B8" s="119"/>
      <c r="C8" s="119"/>
      <c r="D8" s="119"/>
      <c r="E8" s="119"/>
      <c r="F8" s="119"/>
      <c r="G8" s="119"/>
      <c r="H8" s="119"/>
      <c r="I8" s="119"/>
    </row>
    <row r="9" spans="1:11" s="3" customFormat="1"/>
    <row r="10" spans="1:11" s="3" customFormat="1"/>
    <row r="11" spans="1:11" s="3" customFormat="1" ht="24.95" customHeight="1">
      <c r="A11" s="123" t="s">
        <v>5</v>
      </c>
      <c r="B11" s="123"/>
      <c r="C11" s="123"/>
      <c r="D11" s="123"/>
      <c r="E11" s="123"/>
      <c r="F11" s="123"/>
      <c r="G11" s="123"/>
      <c r="H11" s="123"/>
      <c r="I11" s="123"/>
    </row>
    <row r="12" spans="1:11" s="3" customFormat="1"/>
    <row r="13" spans="1:11" s="3" customFormat="1">
      <c r="D13" s="124" t="s">
        <v>6</v>
      </c>
      <c r="E13" s="124"/>
      <c r="F13" s="124"/>
      <c r="G13" s="124"/>
      <c r="H13" s="13"/>
      <c r="I13" s="68"/>
    </row>
    <row r="14" spans="1:11" s="3" customFormat="1">
      <c r="D14" s="124" t="s">
        <v>7</v>
      </c>
      <c r="E14" s="124"/>
      <c r="F14" s="124"/>
      <c r="G14" s="124"/>
      <c r="H14" s="13"/>
      <c r="I14" s="68"/>
    </row>
    <row r="15" spans="1:11" s="3" customFormat="1">
      <c r="D15" s="124" t="s">
        <v>8</v>
      </c>
      <c r="E15" s="124"/>
      <c r="F15" s="124"/>
      <c r="G15" s="124"/>
      <c r="H15" s="13"/>
      <c r="I15" s="68"/>
    </row>
    <row r="16" spans="1:11" s="3" customFormat="1">
      <c r="A16" s="121" t="s">
        <v>9</v>
      </c>
      <c r="B16" s="121" t="s">
        <v>10</v>
      </c>
      <c r="C16" s="121" t="s">
        <v>11</v>
      </c>
      <c r="D16" s="121" t="s">
        <v>12</v>
      </c>
      <c r="E16" s="121" t="s">
        <v>232</v>
      </c>
      <c r="F16" s="121"/>
      <c r="G16" s="121" t="s">
        <v>233</v>
      </c>
      <c r="H16" s="121"/>
      <c r="I16" s="121"/>
      <c r="J16" s="121"/>
      <c r="K16" s="121"/>
    </row>
    <row r="17" spans="1:11" s="3" customFormat="1" ht="22.5">
      <c r="A17" s="121"/>
      <c r="B17" s="121"/>
      <c r="C17" s="121"/>
      <c r="D17" s="121"/>
      <c r="E17" s="67" t="s">
        <v>13</v>
      </c>
      <c r="F17" s="67" t="s">
        <v>14</v>
      </c>
      <c r="G17" s="67" t="s">
        <v>15</v>
      </c>
      <c r="H17" s="67" t="s">
        <v>11</v>
      </c>
      <c r="I17" s="67" t="s">
        <v>12</v>
      </c>
      <c r="J17" s="67" t="s">
        <v>16</v>
      </c>
      <c r="K17" s="67" t="s">
        <v>17</v>
      </c>
    </row>
    <row r="18" spans="1:11" s="3" customFormat="1">
      <c r="A18" s="67">
        <v>1</v>
      </c>
      <c r="B18" s="67">
        <v>2</v>
      </c>
      <c r="C18" s="67">
        <v>4</v>
      </c>
      <c r="D18" s="67">
        <v>5</v>
      </c>
      <c r="E18" s="67">
        <v>6</v>
      </c>
      <c r="F18" s="67">
        <v>7</v>
      </c>
      <c r="G18" s="67">
        <v>8</v>
      </c>
      <c r="H18" s="67">
        <v>9</v>
      </c>
      <c r="I18" s="67">
        <v>11</v>
      </c>
      <c r="J18" s="67">
        <v>12</v>
      </c>
      <c r="K18" s="67">
        <v>13</v>
      </c>
    </row>
    <row r="19" spans="1:11" s="5" customFormat="1">
      <c r="A19" s="14"/>
      <c r="B19" s="122" t="s">
        <v>265</v>
      </c>
      <c r="C19" s="122"/>
      <c r="D19" s="122"/>
      <c r="E19" s="122"/>
      <c r="F19" s="122"/>
      <c r="G19" s="14"/>
      <c r="H19" s="14"/>
      <c r="I19" s="14"/>
      <c r="J19" s="14"/>
      <c r="K19" s="14"/>
    </row>
    <row r="20" spans="1:11" s="3" customFormat="1">
      <c r="A20" s="1">
        <v>1</v>
      </c>
      <c r="B20" s="69" t="s">
        <v>182</v>
      </c>
      <c r="C20" s="1" t="s">
        <v>21</v>
      </c>
      <c r="D20" s="6">
        <v>1</v>
      </c>
      <c r="E20" s="9"/>
      <c r="F20" s="10"/>
      <c r="G20" s="69"/>
      <c r="H20" s="1"/>
      <c r="I20" s="6">
        <v>0</v>
      </c>
      <c r="J20" s="9"/>
      <c r="K20" s="10"/>
    </row>
    <row r="21" spans="1:11" s="3" customFormat="1" ht="24">
      <c r="A21" s="1"/>
      <c r="B21" s="69"/>
      <c r="C21" s="1"/>
      <c r="D21" s="6">
        <v>0</v>
      </c>
      <c r="E21" s="9"/>
      <c r="F21" s="10"/>
      <c r="G21" s="69" t="s">
        <v>183</v>
      </c>
      <c r="H21" s="1" t="s">
        <v>21</v>
      </c>
      <c r="I21" s="6">
        <v>8</v>
      </c>
      <c r="J21" s="9"/>
      <c r="K21" s="10"/>
    </row>
    <row r="22" spans="1:11" s="3" customFormat="1" ht="24">
      <c r="A22" s="1"/>
      <c r="B22" s="69"/>
      <c r="C22" s="1"/>
      <c r="D22" s="6"/>
      <c r="E22" s="9"/>
      <c r="F22" s="10"/>
      <c r="G22" s="69" t="s">
        <v>368</v>
      </c>
      <c r="H22" s="1" t="s">
        <v>21</v>
      </c>
      <c r="I22" s="6">
        <v>2</v>
      </c>
      <c r="J22" s="9"/>
      <c r="K22" s="10"/>
    </row>
    <row r="23" spans="1:11" s="3" customFormat="1">
      <c r="A23" s="1">
        <v>2</v>
      </c>
      <c r="B23" s="69" t="s">
        <v>184</v>
      </c>
      <c r="C23" s="1" t="s">
        <v>21</v>
      </c>
      <c r="D23" s="6">
        <v>1</v>
      </c>
      <c r="E23" s="9"/>
      <c r="F23" s="10"/>
      <c r="G23" s="69"/>
      <c r="H23" s="1"/>
      <c r="I23" s="6">
        <v>0</v>
      </c>
      <c r="J23" s="9"/>
      <c r="K23" s="10"/>
    </row>
    <row r="24" spans="1:11" s="3" customFormat="1" ht="24">
      <c r="A24" s="1"/>
      <c r="B24" s="69"/>
      <c r="C24" s="1"/>
      <c r="D24" s="6"/>
      <c r="E24" s="9"/>
      <c r="F24" s="10"/>
      <c r="G24" s="69" t="s">
        <v>187</v>
      </c>
      <c r="H24" s="1" t="s">
        <v>76</v>
      </c>
      <c r="I24" s="6">
        <v>2</v>
      </c>
      <c r="J24" s="9"/>
      <c r="K24" s="10"/>
    </row>
    <row r="25" spans="1:11" s="3" customFormat="1">
      <c r="A25" s="1"/>
      <c r="B25" s="69"/>
      <c r="C25" s="1"/>
      <c r="D25" s="6">
        <v>0</v>
      </c>
      <c r="E25" s="9"/>
      <c r="F25" s="10"/>
      <c r="G25" s="69" t="s">
        <v>188</v>
      </c>
      <c r="H25" s="1" t="s">
        <v>21</v>
      </c>
      <c r="I25" s="6">
        <v>12</v>
      </c>
      <c r="J25" s="9"/>
      <c r="K25" s="10"/>
    </row>
    <row r="26" spans="1:11" s="3" customFormat="1" ht="36">
      <c r="A26" s="1">
        <v>3</v>
      </c>
      <c r="B26" s="69" t="s">
        <v>185</v>
      </c>
      <c r="C26" s="1" t="s">
        <v>186</v>
      </c>
      <c r="D26" s="6">
        <v>1</v>
      </c>
      <c r="E26" s="9"/>
      <c r="F26" s="10"/>
      <c r="G26" s="69"/>
      <c r="H26" s="1"/>
      <c r="I26" s="6">
        <v>0</v>
      </c>
      <c r="J26" s="9"/>
      <c r="K26" s="10"/>
    </row>
    <row r="27" spans="1:11" s="3" customFormat="1">
      <c r="A27" s="1">
        <v>4</v>
      </c>
      <c r="B27" s="69" t="s">
        <v>189</v>
      </c>
      <c r="C27" s="1" t="s">
        <v>25</v>
      </c>
      <c r="D27" s="6">
        <v>550</v>
      </c>
      <c r="E27" s="9"/>
      <c r="F27" s="10"/>
      <c r="G27" s="69"/>
      <c r="H27" s="1"/>
      <c r="I27" s="6">
        <v>0</v>
      </c>
      <c r="J27" s="9"/>
      <c r="K27" s="10"/>
    </row>
    <row r="28" spans="1:11" s="3" customFormat="1">
      <c r="A28" s="1"/>
      <c r="B28" s="69"/>
      <c r="C28" s="1"/>
      <c r="D28" s="6">
        <v>0</v>
      </c>
      <c r="E28" s="9"/>
      <c r="F28" s="10"/>
      <c r="G28" s="69" t="s">
        <v>253</v>
      </c>
      <c r="H28" s="1" t="s">
        <v>25</v>
      </c>
      <c r="I28" s="6">
        <v>550</v>
      </c>
      <c r="J28" s="9"/>
      <c r="K28" s="10"/>
    </row>
    <row r="29" spans="1:11" s="3" customFormat="1" ht="24">
      <c r="A29" s="1"/>
      <c r="B29" s="69"/>
      <c r="C29" s="1"/>
      <c r="D29" s="6"/>
      <c r="E29" s="9"/>
      <c r="F29" s="10"/>
      <c r="G29" s="69" t="s">
        <v>487</v>
      </c>
      <c r="H29" s="1" t="s">
        <v>21</v>
      </c>
      <c r="I29" s="6">
        <v>2200</v>
      </c>
      <c r="J29" s="9"/>
      <c r="K29" s="10"/>
    </row>
    <row r="30" spans="1:11" s="3" customFormat="1" ht="36">
      <c r="A30" s="1">
        <v>5</v>
      </c>
      <c r="B30" s="69" t="s">
        <v>190</v>
      </c>
      <c r="C30" s="1" t="s">
        <v>25</v>
      </c>
      <c r="D30" s="6">
        <v>550</v>
      </c>
      <c r="E30" s="9"/>
      <c r="F30" s="10"/>
      <c r="G30" s="69"/>
      <c r="H30" s="1"/>
      <c r="I30" s="6">
        <v>0</v>
      </c>
      <c r="J30" s="9"/>
      <c r="K30" s="10"/>
    </row>
    <row r="31" spans="1:11" s="3" customFormat="1" ht="24">
      <c r="A31" s="1">
        <v>6</v>
      </c>
      <c r="B31" s="69" t="s">
        <v>191</v>
      </c>
      <c r="C31" s="1" t="s">
        <v>25</v>
      </c>
      <c r="D31" s="6">
        <v>550</v>
      </c>
      <c r="E31" s="9"/>
      <c r="F31" s="10"/>
      <c r="G31" s="69"/>
      <c r="H31" s="1"/>
      <c r="I31" s="6">
        <v>0</v>
      </c>
      <c r="J31" s="9"/>
      <c r="K31" s="10"/>
    </row>
    <row r="32" spans="1:11" s="3" customFormat="1">
      <c r="A32" s="1"/>
      <c r="B32" s="69" t="s">
        <v>192</v>
      </c>
      <c r="C32" s="1" t="s">
        <v>27</v>
      </c>
      <c r="D32" s="6">
        <v>2</v>
      </c>
      <c r="E32" s="9"/>
      <c r="F32" s="10"/>
      <c r="G32" s="69"/>
      <c r="H32" s="1"/>
      <c r="I32" s="6">
        <v>0</v>
      </c>
      <c r="J32" s="9"/>
      <c r="K32" s="10">
        <f>I32*J32</f>
        <v>0</v>
      </c>
    </row>
    <row r="33" spans="1:11" s="3" customFormat="1" ht="24">
      <c r="A33" s="1">
        <v>7</v>
      </c>
      <c r="B33" s="69" t="s">
        <v>193</v>
      </c>
      <c r="C33" s="1" t="s">
        <v>25</v>
      </c>
      <c r="D33" s="6">
        <f>(I34+I35+I36+I37)-550</f>
        <v>620</v>
      </c>
      <c r="E33" s="9"/>
      <c r="F33" s="10"/>
      <c r="G33" s="69"/>
      <c r="H33" s="1"/>
      <c r="I33" s="6">
        <v>0</v>
      </c>
      <c r="J33" s="9"/>
      <c r="K33" s="10"/>
    </row>
    <row r="34" spans="1:11" s="3" customFormat="1" ht="24">
      <c r="A34" s="1"/>
      <c r="B34" s="69"/>
      <c r="C34" s="1"/>
      <c r="D34" s="6">
        <v>0</v>
      </c>
      <c r="E34" s="9"/>
      <c r="F34" s="10"/>
      <c r="G34" s="69" t="s">
        <v>194</v>
      </c>
      <c r="H34" s="1" t="s">
        <v>25</v>
      </c>
      <c r="I34" s="6">
        <v>500</v>
      </c>
      <c r="J34" s="9"/>
      <c r="K34" s="10"/>
    </row>
    <row r="35" spans="1:11" s="3" customFormat="1" ht="24">
      <c r="A35" s="1"/>
      <c r="B35" s="69"/>
      <c r="C35" s="1"/>
      <c r="D35" s="6">
        <v>0</v>
      </c>
      <c r="E35" s="9"/>
      <c r="F35" s="10"/>
      <c r="G35" s="69" t="s">
        <v>195</v>
      </c>
      <c r="H35" s="1" t="s">
        <v>25</v>
      </c>
      <c r="I35" s="6">
        <v>600</v>
      </c>
      <c r="J35" s="9"/>
      <c r="K35" s="10"/>
    </row>
    <row r="36" spans="1:11" s="3" customFormat="1" ht="24">
      <c r="A36" s="1"/>
      <c r="B36" s="69"/>
      <c r="C36" s="1"/>
      <c r="D36" s="6">
        <v>0</v>
      </c>
      <c r="E36" s="9"/>
      <c r="F36" s="10"/>
      <c r="G36" s="69" t="s">
        <v>254</v>
      </c>
      <c r="H36" s="1" t="s">
        <v>25</v>
      </c>
      <c r="I36" s="6">
        <v>40</v>
      </c>
      <c r="J36" s="9"/>
      <c r="K36" s="10"/>
    </row>
    <row r="37" spans="1:11" s="3" customFormat="1" ht="24">
      <c r="A37" s="1"/>
      <c r="B37" s="69"/>
      <c r="C37" s="1"/>
      <c r="D37" s="6">
        <v>0</v>
      </c>
      <c r="E37" s="9"/>
      <c r="F37" s="10"/>
      <c r="G37" s="69" t="s">
        <v>348</v>
      </c>
      <c r="H37" s="1" t="s">
        <v>25</v>
      </c>
      <c r="I37" s="6">
        <v>30</v>
      </c>
      <c r="J37" s="9"/>
      <c r="K37" s="10"/>
    </row>
    <row r="38" spans="1:11" s="3" customFormat="1" ht="24">
      <c r="A38" s="1">
        <v>8</v>
      </c>
      <c r="B38" s="69" t="s">
        <v>193</v>
      </c>
      <c r="C38" s="1" t="s">
        <v>25</v>
      </c>
      <c r="D38" s="6">
        <v>130</v>
      </c>
      <c r="E38" s="9"/>
      <c r="F38" s="10"/>
      <c r="G38" s="69"/>
      <c r="H38" s="1"/>
      <c r="I38" s="6">
        <v>0</v>
      </c>
      <c r="J38" s="9"/>
      <c r="K38" s="10"/>
    </row>
    <row r="39" spans="1:11" s="3" customFormat="1">
      <c r="A39" s="1"/>
      <c r="B39" s="69"/>
      <c r="C39" s="1"/>
      <c r="D39" s="6">
        <v>0</v>
      </c>
      <c r="E39" s="9"/>
      <c r="F39" s="10"/>
      <c r="G39" s="69" t="s">
        <v>349</v>
      </c>
      <c r="H39" s="1" t="s">
        <v>25</v>
      </c>
      <c r="I39" s="6">
        <v>30</v>
      </c>
      <c r="J39" s="9"/>
      <c r="K39" s="10"/>
    </row>
    <row r="40" spans="1:11" s="3" customFormat="1">
      <c r="A40" s="1"/>
      <c r="B40" s="69"/>
      <c r="C40" s="1"/>
      <c r="D40" s="6">
        <v>0</v>
      </c>
      <c r="E40" s="9"/>
      <c r="F40" s="10"/>
      <c r="G40" s="69" t="s">
        <v>255</v>
      </c>
      <c r="H40" s="1" t="s">
        <v>25</v>
      </c>
      <c r="I40" s="6">
        <v>100</v>
      </c>
      <c r="J40" s="9"/>
      <c r="K40" s="10"/>
    </row>
    <row r="41" spans="1:11" s="3" customFormat="1" ht="36">
      <c r="A41" s="1">
        <v>9</v>
      </c>
      <c r="B41" s="69" t="s">
        <v>196</v>
      </c>
      <c r="C41" s="1" t="s">
        <v>21</v>
      </c>
      <c r="D41" s="6">
        <v>110</v>
      </c>
      <c r="E41" s="9"/>
      <c r="F41" s="10"/>
      <c r="G41" s="69"/>
      <c r="H41" s="1"/>
      <c r="I41" s="6">
        <v>0</v>
      </c>
      <c r="J41" s="9"/>
      <c r="K41" s="10"/>
    </row>
    <row r="42" spans="1:11" s="3" customFormat="1">
      <c r="A42" s="1"/>
      <c r="B42" s="69"/>
      <c r="C42" s="1"/>
      <c r="D42" s="6">
        <v>0</v>
      </c>
      <c r="E42" s="9"/>
      <c r="F42" s="10"/>
      <c r="G42" s="69" t="s">
        <v>197</v>
      </c>
      <c r="H42" s="1" t="s">
        <v>21</v>
      </c>
      <c r="I42" s="6">
        <v>4</v>
      </c>
      <c r="J42" s="9"/>
      <c r="K42" s="10"/>
    </row>
    <row r="43" spans="1:11" s="3" customFormat="1">
      <c r="A43" s="1"/>
      <c r="B43" s="69" t="s">
        <v>198</v>
      </c>
      <c r="C43" s="1" t="s">
        <v>27</v>
      </c>
      <c r="D43" s="6">
        <v>3</v>
      </c>
      <c r="E43" s="9"/>
      <c r="F43" s="10"/>
      <c r="G43" s="69"/>
      <c r="H43" s="1"/>
      <c r="I43" s="6">
        <v>0</v>
      </c>
      <c r="J43" s="9"/>
      <c r="K43" s="10"/>
    </row>
    <row r="44" spans="1:11" s="3" customFormat="1" ht="36">
      <c r="A44" s="1">
        <v>10</v>
      </c>
      <c r="B44" s="69" t="s">
        <v>199</v>
      </c>
      <c r="C44" s="1" t="s">
        <v>21</v>
      </c>
      <c r="D44" s="6">
        <f>I45+I47+I49+I46+I50+I48</f>
        <v>26</v>
      </c>
      <c r="E44" s="9"/>
      <c r="F44" s="10"/>
      <c r="G44" s="69"/>
      <c r="H44" s="1"/>
      <c r="I44" s="6">
        <v>0</v>
      </c>
      <c r="J44" s="9"/>
      <c r="K44" s="10">
        <f>I44*J44</f>
        <v>0</v>
      </c>
    </row>
    <row r="45" spans="1:11" s="3" customFormat="1" ht="36">
      <c r="A45" s="1"/>
      <c r="B45" s="69"/>
      <c r="C45" s="1"/>
      <c r="D45" s="6">
        <v>0</v>
      </c>
      <c r="E45" s="9"/>
      <c r="F45" s="10"/>
      <c r="G45" s="69" t="s">
        <v>200</v>
      </c>
      <c r="H45" s="1" t="s">
        <v>76</v>
      </c>
      <c r="I45" s="6">
        <v>1</v>
      </c>
      <c r="J45" s="9"/>
      <c r="K45" s="10"/>
    </row>
    <row r="46" spans="1:11" s="3" customFormat="1" ht="36">
      <c r="A46" s="1"/>
      <c r="B46" s="69"/>
      <c r="C46" s="1"/>
      <c r="D46" s="6">
        <v>0</v>
      </c>
      <c r="E46" s="9"/>
      <c r="F46" s="10"/>
      <c r="G46" s="69" t="s">
        <v>350</v>
      </c>
      <c r="H46" s="1" t="s">
        <v>76</v>
      </c>
      <c r="I46" s="6">
        <v>10</v>
      </c>
      <c r="J46" s="9"/>
      <c r="K46" s="10"/>
    </row>
    <row r="47" spans="1:11" s="3" customFormat="1" ht="36">
      <c r="A47" s="1"/>
      <c r="B47" s="69"/>
      <c r="C47" s="1"/>
      <c r="D47" s="6">
        <v>0</v>
      </c>
      <c r="E47" s="9"/>
      <c r="F47" s="10"/>
      <c r="G47" s="69" t="s">
        <v>370</v>
      </c>
      <c r="H47" s="1" t="s">
        <v>76</v>
      </c>
      <c r="I47" s="6">
        <v>3</v>
      </c>
      <c r="J47" s="9"/>
      <c r="K47" s="10"/>
    </row>
    <row r="48" spans="1:11" s="3" customFormat="1">
      <c r="A48" s="1"/>
      <c r="B48" s="69"/>
      <c r="C48" s="1"/>
      <c r="D48" s="6"/>
      <c r="E48" s="9"/>
      <c r="F48" s="10"/>
      <c r="G48" s="69" t="s">
        <v>318</v>
      </c>
      <c r="H48" s="1" t="s">
        <v>76</v>
      </c>
      <c r="I48" s="6">
        <v>1</v>
      </c>
      <c r="J48" s="9"/>
      <c r="K48" s="10"/>
    </row>
    <row r="49" spans="1:11" s="3" customFormat="1" ht="36">
      <c r="A49" s="1"/>
      <c r="B49" s="69"/>
      <c r="C49" s="1"/>
      <c r="D49" s="6"/>
      <c r="E49" s="9"/>
      <c r="F49" s="10"/>
      <c r="G49" s="69" t="s">
        <v>319</v>
      </c>
      <c r="H49" s="1" t="s">
        <v>76</v>
      </c>
      <c r="I49" s="6">
        <v>2</v>
      </c>
      <c r="J49" s="9"/>
      <c r="K49" s="10"/>
    </row>
    <row r="50" spans="1:11" s="3" customFormat="1" ht="36">
      <c r="A50" s="1"/>
      <c r="B50" s="69"/>
      <c r="C50" s="1"/>
      <c r="D50" s="6"/>
      <c r="E50" s="9"/>
      <c r="F50" s="10"/>
      <c r="G50" s="69" t="s">
        <v>488</v>
      </c>
      <c r="H50" s="1" t="s">
        <v>76</v>
      </c>
      <c r="I50" s="6">
        <v>9</v>
      </c>
      <c r="J50" s="9"/>
      <c r="K50" s="10"/>
    </row>
    <row r="51" spans="1:11" s="3" customFormat="1" ht="36">
      <c r="A51" s="1">
        <v>11</v>
      </c>
      <c r="B51" s="69" t="s">
        <v>201</v>
      </c>
      <c r="C51" s="1" t="s">
        <v>21</v>
      </c>
      <c r="D51" s="6">
        <f>I52+I53+I54</f>
        <v>84</v>
      </c>
      <c r="E51" s="9"/>
      <c r="F51" s="10"/>
      <c r="G51" s="69"/>
      <c r="H51" s="1"/>
      <c r="I51" s="6">
        <v>0</v>
      </c>
      <c r="J51" s="9"/>
      <c r="K51" s="10"/>
    </row>
    <row r="52" spans="1:11" s="3" customFormat="1" ht="36">
      <c r="A52" s="1"/>
      <c r="B52" s="69"/>
      <c r="C52" s="1"/>
      <c r="D52" s="6">
        <v>0</v>
      </c>
      <c r="E52" s="9"/>
      <c r="F52" s="10">
        <f t="shared" ref="F52:F63" si="0">D52*E52</f>
        <v>0</v>
      </c>
      <c r="G52" s="69" t="s">
        <v>202</v>
      </c>
      <c r="H52" s="1" t="s">
        <v>21</v>
      </c>
      <c r="I52" s="6">
        <v>65</v>
      </c>
      <c r="J52" s="9"/>
      <c r="K52" s="10"/>
    </row>
    <row r="53" spans="1:11" s="3" customFormat="1" ht="36">
      <c r="A53" s="1"/>
      <c r="B53" s="69"/>
      <c r="C53" s="1"/>
      <c r="D53" s="6">
        <v>0</v>
      </c>
      <c r="E53" s="9"/>
      <c r="F53" s="10">
        <f t="shared" si="0"/>
        <v>0</v>
      </c>
      <c r="G53" s="69" t="s">
        <v>351</v>
      </c>
      <c r="H53" s="1" t="s">
        <v>21</v>
      </c>
      <c r="I53" s="6">
        <v>16</v>
      </c>
      <c r="J53" s="9"/>
      <c r="K53" s="10"/>
    </row>
    <row r="54" spans="1:11" s="3" customFormat="1" ht="24">
      <c r="A54" s="1"/>
      <c r="B54" s="69"/>
      <c r="C54" s="1"/>
      <c r="D54" s="6">
        <v>0</v>
      </c>
      <c r="E54" s="9"/>
      <c r="F54" s="10">
        <f t="shared" si="0"/>
        <v>0</v>
      </c>
      <c r="G54" s="69" t="s">
        <v>203</v>
      </c>
      <c r="H54" s="1" t="s">
        <v>21</v>
      </c>
      <c r="I54" s="6">
        <v>3</v>
      </c>
      <c r="J54" s="9"/>
      <c r="K54" s="10"/>
    </row>
    <row r="55" spans="1:11" s="3" customFormat="1">
      <c r="A55" s="1"/>
      <c r="B55" s="69"/>
      <c r="C55" s="1"/>
      <c r="D55" s="6">
        <v>0</v>
      </c>
      <c r="E55" s="9"/>
      <c r="F55" s="10">
        <f t="shared" si="0"/>
        <v>0</v>
      </c>
      <c r="G55" s="69" t="s">
        <v>204</v>
      </c>
      <c r="H55" s="1" t="s">
        <v>21</v>
      </c>
      <c r="I55" s="6">
        <v>56</v>
      </c>
      <c r="J55" s="9"/>
      <c r="K55" s="10"/>
    </row>
    <row r="56" spans="1:11" s="3" customFormat="1" ht="24">
      <c r="A56" s="1"/>
      <c r="B56" s="69"/>
      <c r="C56" s="1"/>
      <c r="D56" s="6">
        <v>0</v>
      </c>
      <c r="E56" s="9"/>
      <c r="F56" s="10">
        <f t="shared" si="0"/>
        <v>0</v>
      </c>
      <c r="G56" s="69" t="s">
        <v>205</v>
      </c>
      <c r="H56" s="1" t="s">
        <v>21</v>
      </c>
      <c r="I56" s="6">
        <v>27</v>
      </c>
      <c r="J56" s="9"/>
      <c r="K56" s="10"/>
    </row>
    <row r="57" spans="1:11" s="3" customFormat="1" ht="24">
      <c r="A57" s="1"/>
      <c r="B57" s="69"/>
      <c r="C57" s="1"/>
      <c r="D57" s="6">
        <v>0</v>
      </c>
      <c r="E57" s="9"/>
      <c r="F57" s="10">
        <f t="shared" si="0"/>
        <v>0</v>
      </c>
      <c r="G57" s="69" t="s">
        <v>206</v>
      </c>
      <c r="H57" s="1" t="s">
        <v>21</v>
      </c>
      <c r="I57" s="6">
        <v>5</v>
      </c>
      <c r="J57" s="9"/>
      <c r="K57" s="10"/>
    </row>
    <row r="58" spans="1:11" s="3" customFormat="1" ht="24">
      <c r="A58" s="1">
        <v>12</v>
      </c>
      <c r="B58" s="69" t="s">
        <v>207</v>
      </c>
      <c r="C58" s="1" t="s">
        <v>21</v>
      </c>
      <c r="D58" s="6">
        <v>5</v>
      </c>
      <c r="E58" s="9"/>
      <c r="F58" s="10"/>
      <c r="G58" s="69"/>
      <c r="H58" s="1"/>
      <c r="I58" s="6">
        <v>0</v>
      </c>
      <c r="J58" s="9"/>
      <c r="K58" s="10"/>
    </row>
    <row r="59" spans="1:11" s="3" customFormat="1" ht="24">
      <c r="A59" s="1"/>
      <c r="B59" s="69"/>
      <c r="C59" s="1"/>
      <c r="D59" s="6">
        <v>0</v>
      </c>
      <c r="E59" s="9"/>
      <c r="F59" s="10"/>
      <c r="G59" s="69" t="s">
        <v>208</v>
      </c>
      <c r="H59" s="1" t="s">
        <v>21</v>
      </c>
      <c r="I59" s="6">
        <v>5</v>
      </c>
      <c r="J59" s="9"/>
      <c r="K59" s="10"/>
    </row>
    <row r="60" spans="1:11" s="3" customFormat="1" ht="24">
      <c r="A60" s="1">
        <v>13</v>
      </c>
      <c r="B60" s="69" t="s">
        <v>209</v>
      </c>
      <c r="C60" s="1" t="s">
        <v>21</v>
      </c>
      <c r="D60" s="6">
        <v>110</v>
      </c>
      <c r="E60" s="9"/>
      <c r="F60" s="10"/>
      <c r="G60" s="69"/>
      <c r="H60" s="1"/>
      <c r="I60" s="6">
        <v>0</v>
      </c>
      <c r="J60" s="9"/>
      <c r="K60" s="10"/>
    </row>
    <row r="61" spans="1:11" s="3" customFormat="1" ht="24">
      <c r="A61" s="1"/>
      <c r="B61" s="69"/>
      <c r="C61" s="1"/>
      <c r="D61" s="6">
        <v>0</v>
      </c>
      <c r="E61" s="9"/>
      <c r="F61" s="10"/>
      <c r="G61" s="69" t="s">
        <v>210</v>
      </c>
      <c r="H61" s="1" t="s">
        <v>21</v>
      </c>
      <c r="I61" s="6">
        <v>109</v>
      </c>
      <c r="J61" s="9"/>
      <c r="K61" s="10"/>
    </row>
    <row r="62" spans="1:11" s="3" customFormat="1">
      <c r="A62" s="1"/>
      <c r="B62" s="69"/>
      <c r="C62" s="1"/>
      <c r="D62" s="6">
        <v>0</v>
      </c>
      <c r="E62" s="9"/>
      <c r="F62" s="10"/>
      <c r="G62" s="69" t="s">
        <v>188</v>
      </c>
      <c r="H62" s="1" t="s">
        <v>21</v>
      </c>
      <c r="I62" s="6">
        <v>8</v>
      </c>
      <c r="J62" s="9"/>
      <c r="K62" s="10"/>
    </row>
    <row r="63" spans="1:11" s="3" customFormat="1">
      <c r="A63" s="1"/>
      <c r="B63" s="95" t="s">
        <v>211</v>
      </c>
      <c r="C63" s="1"/>
      <c r="D63" s="6">
        <v>0</v>
      </c>
      <c r="E63" s="9"/>
      <c r="F63" s="10">
        <f t="shared" si="0"/>
        <v>0</v>
      </c>
      <c r="G63" s="69"/>
      <c r="H63" s="1"/>
      <c r="I63" s="6">
        <v>0</v>
      </c>
      <c r="J63" s="9"/>
      <c r="K63" s="10">
        <f>I63*J63</f>
        <v>0</v>
      </c>
    </row>
    <row r="64" spans="1:11" s="3" customFormat="1">
      <c r="A64" s="1">
        <v>14</v>
      </c>
      <c r="B64" s="69" t="s">
        <v>321</v>
      </c>
      <c r="C64" s="1" t="s">
        <v>320</v>
      </c>
      <c r="D64" s="6">
        <v>1</v>
      </c>
      <c r="E64" s="9"/>
      <c r="F64" s="10"/>
      <c r="G64" s="69" t="s">
        <v>369</v>
      </c>
      <c r="H64" s="1" t="s">
        <v>320</v>
      </c>
      <c r="I64" s="6">
        <v>1</v>
      </c>
      <c r="J64" s="9"/>
      <c r="K64" s="10"/>
    </row>
    <row r="65" spans="1:11" s="3" customFormat="1">
      <c r="A65" s="35"/>
      <c r="B65" s="116" t="s">
        <v>61</v>
      </c>
      <c r="C65" s="116"/>
      <c r="D65" s="116"/>
      <c r="E65" s="116"/>
      <c r="F65" s="10"/>
      <c r="G65" s="35"/>
      <c r="H65" s="35"/>
      <c r="I65" s="35"/>
      <c r="J65" s="35"/>
      <c r="K65" s="10"/>
    </row>
    <row r="66" spans="1:11" s="3" customFormat="1">
      <c r="A66" s="1"/>
      <c r="B66" s="118" t="s">
        <v>212</v>
      </c>
      <c r="C66" s="118"/>
      <c r="D66" s="118"/>
      <c r="E66" s="118"/>
      <c r="F66" s="10"/>
      <c r="G66" s="35" t="s">
        <v>213</v>
      </c>
      <c r="H66" s="35" t="s">
        <v>213</v>
      </c>
      <c r="I66" s="35" t="s">
        <v>213</v>
      </c>
      <c r="J66" s="35"/>
      <c r="K66" s="35"/>
    </row>
    <row r="67" spans="1:11" s="3" customFormat="1">
      <c r="A67" s="1"/>
      <c r="B67" s="118" t="s">
        <v>214</v>
      </c>
      <c r="C67" s="118"/>
      <c r="D67" s="118"/>
      <c r="E67" s="118"/>
      <c r="F67" s="35"/>
      <c r="G67" s="35" t="s">
        <v>213</v>
      </c>
      <c r="H67" s="35" t="s">
        <v>213</v>
      </c>
      <c r="I67" s="35" t="s">
        <v>213</v>
      </c>
      <c r="J67" s="35"/>
      <c r="K67" s="35"/>
    </row>
    <row r="68" spans="1:11" s="3" customFormat="1">
      <c r="A68" s="1"/>
      <c r="B68" s="118" t="s">
        <v>215</v>
      </c>
      <c r="C68" s="118"/>
      <c r="D68" s="118"/>
      <c r="E68" s="118"/>
      <c r="F68" s="10"/>
      <c r="G68" s="35" t="s">
        <v>213</v>
      </c>
      <c r="H68" s="35" t="s">
        <v>213</v>
      </c>
      <c r="I68" s="35" t="s">
        <v>213</v>
      </c>
      <c r="J68" s="35"/>
      <c r="K68" s="35"/>
    </row>
    <row r="69" spans="1:11" s="3" customFormat="1">
      <c r="A69" s="1"/>
      <c r="B69" s="118" t="s">
        <v>216</v>
      </c>
      <c r="C69" s="118"/>
      <c r="D69" s="118"/>
      <c r="E69" s="118"/>
      <c r="F69" s="10"/>
      <c r="G69" s="35" t="s">
        <v>213</v>
      </c>
      <c r="H69" s="35" t="s">
        <v>213</v>
      </c>
      <c r="I69" s="35" t="s">
        <v>213</v>
      </c>
      <c r="J69" s="35"/>
      <c r="K69" s="35"/>
    </row>
    <row r="70" spans="1:11" s="3" customFormat="1">
      <c r="A70" s="1"/>
      <c r="B70" s="118" t="s">
        <v>217</v>
      </c>
      <c r="C70" s="118"/>
      <c r="D70" s="118"/>
      <c r="E70" s="118"/>
      <c r="F70" s="10"/>
      <c r="G70" s="35" t="s">
        <v>213</v>
      </c>
      <c r="H70" s="35" t="s">
        <v>213</v>
      </c>
      <c r="I70" s="35" t="s">
        <v>213</v>
      </c>
      <c r="J70" s="35"/>
      <c r="K70" s="35"/>
    </row>
    <row r="71" spans="1:11" s="3" customFormat="1">
      <c r="A71" s="1"/>
      <c r="B71" s="118" t="s">
        <v>218</v>
      </c>
      <c r="C71" s="118"/>
      <c r="D71" s="118"/>
      <c r="E71" s="118"/>
      <c r="F71" s="10"/>
      <c r="G71" s="35" t="s">
        <v>213</v>
      </c>
      <c r="H71" s="35" t="s">
        <v>213</v>
      </c>
      <c r="I71" s="35" t="s">
        <v>213</v>
      </c>
      <c r="J71" s="35"/>
      <c r="K71" s="35"/>
    </row>
    <row r="72" spans="1:11" s="3" customFormat="1">
      <c r="A72" s="36"/>
      <c r="B72" s="117" t="s">
        <v>219</v>
      </c>
      <c r="C72" s="117"/>
      <c r="D72" s="117"/>
      <c r="E72" s="117"/>
      <c r="F72" s="37"/>
      <c r="G72" s="38"/>
      <c r="H72" s="38"/>
      <c r="I72" s="38"/>
      <c r="J72" s="38"/>
      <c r="K72" s="38"/>
    </row>
    <row r="73" spans="1:11" s="3" customFormat="1">
      <c r="A73" s="36"/>
      <c r="B73" s="117" t="s">
        <v>220</v>
      </c>
      <c r="C73" s="117"/>
      <c r="D73" s="117"/>
      <c r="E73" s="117"/>
      <c r="F73" s="37"/>
      <c r="G73" s="38"/>
      <c r="H73" s="38"/>
      <c r="I73" s="38"/>
      <c r="J73" s="38"/>
      <c r="K73" s="38"/>
    </row>
    <row r="74" spans="1:11" s="3" customFormat="1">
      <c r="A74" s="35"/>
      <c r="B74" s="118" t="s">
        <v>221</v>
      </c>
      <c r="C74" s="118"/>
      <c r="D74" s="118"/>
      <c r="E74" s="118"/>
      <c r="F74" s="10"/>
      <c r="G74" s="35"/>
      <c r="H74" s="35"/>
      <c r="I74" s="35"/>
      <c r="J74" s="35"/>
      <c r="K74" s="35"/>
    </row>
    <row r="75" spans="1:11" s="3" customForma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s="3" customFormat="1"/>
    <row r="77" spans="1:11" s="3" customFormat="1"/>
    <row r="78" spans="1:11" s="3" customFormat="1" ht="24.95" customHeight="1">
      <c r="B78" s="115" t="s">
        <v>222</v>
      </c>
      <c r="C78" s="115"/>
      <c r="D78" s="115"/>
      <c r="E78" s="115"/>
      <c r="F78" s="115"/>
      <c r="G78" s="115" t="s">
        <v>223</v>
      </c>
      <c r="H78" s="115"/>
      <c r="I78" s="115"/>
      <c r="J78" s="115"/>
      <c r="K78" s="115"/>
    </row>
    <row r="79" spans="1:11" s="3" customFormat="1" ht="24.95" customHeight="1">
      <c r="B79" s="115" t="s">
        <v>224</v>
      </c>
      <c r="C79" s="115"/>
      <c r="D79" s="115"/>
      <c r="E79" s="115"/>
      <c r="F79" s="115"/>
      <c r="G79" s="115" t="s">
        <v>224</v>
      </c>
      <c r="H79" s="115"/>
      <c r="I79" s="115"/>
      <c r="J79" s="115"/>
      <c r="K79" s="115"/>
    </row>
    <row r="80" spans="1:11" s="3" customFormat="1" ht="24.95" customHeight="1">
      <c r="B80" s="115" t="s">
        <v>225</v>
      </c>
      <c r="C80" s="115"/>
      <c r="D80" s="115"/>
      <c r="E80" s="115"/>
      <c r="F80" s="115"/>
      <c r="G80" s="115" t="s">
        <v>225</v>
      </c>
      <c r="H80" s="115"/>
      <c r="I80" s="115"/>
      <c r="J80" s="115"/>
      <c r="K80" s="115"/>
    </row>
    <row r="84" spans="7:7">
      <c r="G84" s="3"/>
    </row>
  </sheetData>
  <mergeCells count="33">
    <mergeCell ref="C16:C17"/>
    <mergeCell ref="D16:D17"/>
    <mergeCell ref="E16:F16"/>
    <mergeCell ref="G16:K16"/>
    <mergeCell ref="A3:I3"/>
    <mergeCell ref="A4:I4"/>
    <mergeCell ref="A5:I5"/>
    <mergeCell ref="A6:I6"/>
    <mergeCell ref="A7:I7"/>
    <mergeCell ref="A8:I8"/>
    <mergeCell ref="B70:E70"/>
    <mergeCell ref="B71:E71"/>
    <mergeCell ref="B72:E72"/>
    <mergeCell ref="B73:E73"/>
    <mergeCell ref="A11:I11"/>
    <mergeCell ref="D13:G13"/>
    <mergeCell ref="D14:G14"/>
    <mergeCell ref="D15:G15"/>
    <mergeCell ref="A16:A17"/>
    <mergeCell ref="B16:B17"/>
    <mergeCell ref="B19:F19"/>
    <mergeCell ref="B65:E65"/>
    <mergeCell ref="B66:E66"/>
    <mergeCell ref="B67:E67"/>
    <mergeCell ref="B68:E68"/>
    <mergeCell ref="B69:E69"/>
    <mergeCell ref="B80:F80"/>
    <mergeCell ref="G80:K80"/>
    <mergeCell ref="B74:E74"/>
    <mergeCell ref="B78:F78"/>
    <mergeCell ref="G78:K78"/>
    <mergeCell ref="B79:F79"/>
    <mergeCell ref="G79:K79"/>
  </mergeCells>
  <pageMargins left="0.6" right="0.3" top="0.6" bottom="0.4" header="0.3" footer="0"/>
  <pageSetup paperSize="9" fitToHeight="0" orientation="landscape" r:id="rId1"/>
  <headerFooter alignWithMargins="0">
    <oddHeader>&amp;LСтроительные Технологии - Смета™ ред. 7.7.10&amp;C- &amp;P -&amp;R228_дцк_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Фундамент</vt:lpstr>
      <vt:lpstr>Каркас</vt:lpstr>
      <vt:lpstr>Кровля</vt:lpstr>
      <vt:lpstr>Фасад</vt:lpstr>
      <vt:lpstr>Окна и двери</vt:lpstr>
      <vt:lpstr>Отделка</vt:lpstr>
      <vt:lpstr>Водопровод и канализация</vt:lpstr>
      <vt:lpstr>Отопление и вентиляция</vt:lpstr>
      <vt:lpstr>Электрика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Вадім</dc:creator>
  <cp:lastModifiedBy>me</cp:lastModifiedBy>
  <cp:lastPrinted>2015-02-27T10:59:10Z</cp:lastPrinted>
  <dcterms:created xsi:type="dcterms:W3CDTF">2013-11-04T09:30:07Z</dcterms:created>
  <dcterms:modified xsi:type="dcterms:W3CDTF">2018-01-26T10:15:07Z</dcterms:modified>
</cp:coreProperties>
</file>