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Объекты\Планируемые\2019\SAGA Development\Чикаго - Отделка\"/>
    </mc:Choice>
  </mc:AlternateContent>
  <xr:revisionPtr revIDLastSave="0" documentId="8_{EB9187A1-F3D2-2B49-A4E1-EEF9E2F6DCB8}" xr6:coauthVersionLast="43" xr6:coauthVersionMax="43" xr10:uidLastSave="{00000000-0000-0000-0000-000000000000}"/>
  <bookViews>
    <workbookView xWindow="0" yWindow="0" windowWidth="19530" windowHeight="3930" xr2:uid="{00000000-000D-0000-FFFF-FFFF00000000}"/>
  </bookViews>
  <sheets>
    <sheet name="Лестн клетка 1-5 эт" sheetId="29" r:id="rId1"/>
    <sheet name="МОПы 3-5" sheetId="30" r:id="rId2"/>
    <sheet name="смета 10 этаж" sheetId="21" state="hidden" r:id="rId3"/>
  </sheets>
  <externalReferences>
    <externalReference r:id="rId4"/>
  </externalReferences>
  <definedNames>
    <definedName name="_xlnm._FilterDatabase" localSheetId="0" hidden="1">'Лестн клетка 1-5 эт'!$A$12:$HU$140</definedName>
    <definedName name="_xlnm._FilterDatabase" localSheetId="2" hidden="1">'смета 10 этаж'!$15:$121</definedName>
    <definedName name="_xlnm.Print_Area" localSheetId="0">'Лестн клетка 1-5 эт'!$A$1:$I$140</definedName>
    <definedName name="_xlnm.Print_Area" localSheetId="2">'смета 10 этаж'!$A$1:$Y$134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4" i="30" l="1"/>
  <c r="K65" i="30"/>
  <c r="K66" i="30"/>
  <c r="K67" i="30"/>
  <c r="K63" i="30"/>
  <c r="K55" i="30"/>
  <c r="K56" i="30"/>
  <c r="K57" i="30"/>
  <c r="K58" i="30"/>
  <c r="K39" i="30"/>
  <c r="K11" i="30"/>
  <c r="K12" i="30"/>
  <c r="K17" i="30"/>
  <c r="K18" i="30"/>
  <c r="K20" i="30"/>
  <c r="K22" i="30"/>
  <c r="K24" i="30"/>
  <c r="K25" i="30"/>
  <c r="K26" i="30"/>
  <c r="K32" i="30"/>
  <c r="K33" i="30"/>
  <c r="K34" i="30"/>
  <c r="K35" i="30"/>
  <c r="K36" i="30"/>
  <c r="D6" i="29"/>
  <c r="F6" i="29"/>
  <c r="F7" i="29"/>
  <c r="F11" i="29"/>
  <c r="D14" i="29"/>
  <c r="F14" i="29"/>
  <c r="D21" i="29"/>
  <c r="F21" i="29"/>
  <c r="D22" i="29"/>
  <c r="F22" i="29"/>
  <c r="D25" i="29"/>
  <c r="F25" i="29"/>
  <c r="D28" i="29"/>
  <c r="F28" i="29"/>
  <c r="F29" i="29"/>
  <c r="F30" i="29"/>
  <c r="F31" i="29"/>
  <c r="D32" i="29"/>
  <c r="F32" i="29"/>
  <c r="F33" i="29"/>
  <c r="F34" i="29"/>
  <c r="F35" i="29"/>
  <c r="D38" i="29"/>
  <c r="F38" i="29"/>
  <c r="D39" i="29"/>
  <c r="F39" i="29"/>
  <c r="F40" i="29"/>
  <c r="F44" i="29"/>
  <c r="D46" i="29"/>
  <c r="F46" i="29"/>
  <c r="D49" i="29"/>
  <c r="F49" i="29"/>
  <c r="D50" i="29"/>
  <c r="F50" i="29"/>
  <c r="F53" i="29"/>
  <c r="F55" i="29"/>
  <c r="F56" i="29"/>
  <c r="F58" i="29"/>
  <c r="F59" i="29"/>
  <c r="F60" i="29"/>
  <c r="F61" i="29"/>
  <c r="F63" i="29"/>
  <c r="F64" i="29"/>
  <c r="F65" i="29"/>
  <c r="F67" i="29"/>
  <c r="F70" i="29"/>
  <c r="F78" i="29"/>
  <c r="F79" i="29"/>
  <c r="F80" i="29"/>
  <c r="F81" i="29"/>
  <c r="F82" i="29"/>
  <c r="F83" i="29"/>
  <c r="F84" i="29"/>
  <c r="F85" i="29"/>
  <c r="F86" i="29"/>
  <c r="F87" i="29"/>
  <c r="D88" i="29"/>
  <c r="F88" i="29"/>
  <c r="F89" i="29"/>
  <c r="F90" i="29"/>
  <c r="F91" i="29"/>
  <c r="F92" i="29"/>
  <c r="F93" i="29"/>
  <c r="F94" i="29"/>
  <c r="F95" i="29"/>
  <c r="D96" i="29"/>
  <c r="F96" i="29"/>
  <c r="D97" i="29"/>
  <c r="F97" i="29"/>
  <c r="D98" i="29"/>
  <c r="F98" i="29"/>
  <c r="D99" i="29"/>
  <c r="F99" i="29"/>
  <c r="F100" i="29"/>
  <c r="D101" i="29"/>
  <c r="F101" i="29"/>
  <c r="D102" i="29"/>
  <c r="F102" i="29"/>
  <c r="D103" i="29"/>
  <c r="F103" i="29"/>
  <c r="F104" i="29"/>
  <c r="F105" i="29"/>
  <c r="D106" i="29"/>
  <c r="F106" i="29"/>
  <c r="F107" i="29"/>
  <c r="F108" i="29"/>
  <c r="F109" i="29"/>
  <c r="F110" i="29"/>
  <c r="F111" i="29"/>
  <c r="F112" i="29"/>
  <c r="D113" i="29"/>
  <c r="F113" i="29"/>
  <c r="D114" i="29"/>
  <c r="F114" i="29"/>
  <c r="D115" i="29"/>
  <c r="F115" i="29"/>
  <c r="D116" i="29"/>
  <c r="F116" i="29"/>
  <c r="F117" i="29"/>
  <c r="D118" i="29"/>
  <c r="F118" i="29"/>
  <c r="D119" i="29"/>
  <c r="F119" i="29"/>
  <c r="D120" i="29"/>
  <c r="F120" i="29"/>
  <c r="F121" i="29"/>
  <c r="F122" i="29"/>
  <c r="F123" i="29"/>
  <c r="F125" i="29"/>
  <c r="F138" i="29"/>
  <c r="F126" i="29"/>
  <c r="F127" i="29"/>
  <c r="F128" i="29"/>
  <c r="F129" i="29"/>
  <c r="F130" i="29"/>
  <c r="F131" i="29"/>
  <c r="F132" i="29"/>
  <c r="F133" i="29"/>
  <c r="F134" i="29"/>
  <c r="F135" i="29"/>
  <c r="F136" i="29"/>
  <c r="E40" i="30"/>
  <c r="K40" i="30"/>
  <c r="E41" i="30"/>
  <c r="K41" i="30"/>
  <c r="E42" i="30"/>
  <c r="K42" i="30"/>
  <c r="E43" i="30"/>
  <c r="K43" i="30"/>
  <c r="E44" i="30"/>
  <c r="K44" i="30"/>
  <c r="E45" i="30"/>
  <c r="K45" i="30"/>
  <c r="E46" i="30"/>
  <c r="K46" i="30"/>
  <c r="E47" i="30"/>
  <c r="K47" i="30"/>
  <c r="E48" i="30"/>
  <c r="K48" i="30"/>
  <c r="E49" i="30"/>
  <c r="K49" i="30"/>
  <c r="E50" i="30"/>
  <c r="K50" i="30"/>
  <c r="E51" i="30"/>
  <c r="K51" i="30"/>
  <c r="E52" i="30"/>
  <c r="K52" i="30"/>
  <c r="E53" i="30"/>
  <c r="K53" i="30"/>
  <c r="E54" i="30"/>
  <c r="K54" i="30"/>
  <c r="E69" i="30"/>
  <c r="K69" i="30"/>
  <c r="E60" i="30"/>
  <c r="K60" i="30"/>
  <c r="E31" i="30"/>
  <c r="K31" i="30"/>
  <c r="E30" i="30"/>
  <c r="K30" i="30"/>
  <c r="E29" i="30"/>
  <c r="K29" i="30"/>
  <c r="E28" i="30"/>
  <c r="K28" i="30"/>
  <c r="E27" i="30"/>
  <c r="K27" i="30"/>
  <c r="E23" i="30"/>
  <c r="K23" i="30"/>
  <c r="E21" i="30"/>
  <c r="K21" i="30"/>
  <c r="E19" i="30"/>
  <c r="K19" i="30"/>
  <c r="E16" i="30"/>
  <c r="K16" i="30"/>
  <c r="E15" i="30"/>
  <c r="K15" i="30"/>
  <c r="E14" i="30"/>
  <c r="K14" i="30"/>
  <c r="E13" i="30"/>
  <c r="K13" i="30"/>
  <c r="E10" i="30"/>
  <c r="K10" i="30"/>
  <c r="E9" i="30"/>
  <c r="K9" i="30"/>
  <c r="E7" i="30"/>
  <c r="K7" i="30"/>
  <c r="E59" i="30"/>
  <c r="E68" i="30"/>
  <c r="E8" i="30"/>
  <c r="I31" i="29"/>
  <c r="K8" i="30"/>
  <c r="K37" i="30"/>
  <c r="K68" i="30"/>
  <c r="K70" i="30"/>
  <c r="K59" i="30"/>
  <c r="K61" i="30"/>
  <c r="I43" i="29"/>
  <c r="I22" i="29"/>
  <c r="I23" i="29"/>
  <c r="I72" i="29"/>
  <c r="I85" i="29"/>
  <c r="I84" i="29"/>
  <c r="I83" i="29"/>
  <c r="I82" i="29"/>
  <c r="I81" i="29"/>
  <c r="I80" i="29"/>
  <c r="I79" i="29"/>
  <c r="I78" i="29"/>
  <c r="K71" i="30"/>
  <c r="I100" i="29"/>
  <c r="I115" i="29"/>
  <c r="I117" i="29"/>
  <c r="I94" i="29"/>
  <c r="I98" i="29"/>
  <c r="I120" i="29"/>
  <c r="I103" i="29"/>
  <c r="I96" i="29"/>
  <c r="I101" i="29"/>
  <c r="I113" i="29"/>
  <c r="I99" i="29"/>
  <c r="I97" i="29"/>
  <c r="I102" i="29"/>
  <c r="I114" i="29"/>
  <c r="I34" i="29"/>
  <c r="I119" i="29"/>
  <c r="I107" i="29"/>
  <c r="I108" i="29"/>
  <c r="I116" i="29"/>
  <c r="I118" i="29"/>
  <c r="I95" i="29"/>
  <c r="I88" i="29"/>
  <c r="I91" i="29"/>
  <c r="I106" i="29"/>
  <c r="I92" i="29"/>
  <c r="I112" i="29"/>
  <c r="I89" i="29"/>
  <c r="I93" i="29"/>
  <c r="I90" i="29"/>
  <c r="I109" i="29"/>
  <c r="I111" i="29"/>
  <c r="I110" i="29"/>
  <c r="I123" i="29"/>
  <c r="I61" i="29"/>
  <c r="I57" i="29"/>
  <c r="I60" i="29"/>
  <c r="I59" i="29"/>
  <c r="I62" i="29"/>
  <c r="I58" i="29"/>
  <c r="I63" i="29"/>
  <c r="I55" i="29"/>
  <c r="I56" i="29"/>
  <c r="D47" i="29"/>
  <c r="D26" i="29"/>
  <c r="I50" i="29"/>
  <c r="I38" i="29"/>
  <c r="I42" i="29"/>
  <c r="I41" i="29"/>
  <c r="I40" i="29"/>
  <c r="I39" i="29"/>
  <c r="I44" i="29"/>
  <c r="I35" i="29"/>
  <c r="I29" i="29"/>
  <c r="I32" i="29"/>
  <c r="I51" i="29"/>
  <c r="I49" i="29"/>
  <c r="I21" i="29"/>
  <c r="I30" i="29"/>
  <c r="I19" i="29"/>
  <c r="I14" i="29"/>
  <c r="I18" i="29"/>
  <c r="I46" i="29"/>
  <c r="I26" i="29"/>
  <c r="I28" i="29"/>
  <c r="I48" i="29"/>
  <c r="I52" i="29"/>
  <c r="I47" i="29"/>
  <c r="I33" i="29"/>
  <c r="I25" i="29"/>
  <c r="I27" i="29"/>
  <c r="I15" i="29"/>
  <c r="I20" i="29"/>
  <c r="I16" i="29"/>
  <c r="I17" i="29"/>
  <c r="I76" i="29"/>
  <c r="I70" i="29"/>
  <c r="I74" i="29"/>
  <c r="I71" i="29"/>
  <c r="I73" i="29"/>
  <c r="I75" i="29"/>
  <c r="I77" i="29"/>
  <c r="F139" i="29"/>
  <c r="G109" i="21"/>
  <c r="G111" i="21"/>
  <c r="G115" i="21"/>
  <c r="G117" i="21"/>
  <c r="G118" i="21"/>
  <c r="G119" i="21"/>
  <c r="G59" i="21"/>
  <c r="G60" i="21"/>
  <c r="G61" i="21"/>
  <c r="G62" i="21"/>
  <c r="G63" i="21"/>
  <c r="G64" i="21"/>
  <c r="G65" i="21"/>
  <c r="G66" i="21"/>
  <c r="G67" i="21"/>
  <c r="G68" i="21"/>
  <c r="G69" i="21"/>
  <c r="G74" i="21"/>
  <c r="G78" i="21"/>
  <c r="G80" i="21"/>
  <c r="G81" i="21"/>
  <c r="G82" i="21"/>
  <c r="G83" i="21"/>
  <c r="G84" i="21"/>
  <c r="G85" i="21"/>
  <c r="G90" i="21"/>
  <c r="G94" i="21"/>
  <c r="G95" i="21"/>
  <c r="G97" i="21"/>
  <c r="G98" i="21"/>
  <c r="G99" i="21"/>
  <c r="G100" i="21"/>
  <c r="G101" i="21"/>
  <c r="G102" i="21"/>
  <c r="G103" i="21"/>
  <c r="G104" i="21"/>
  <c r="G58" i="21"/>
  <c r="G44" i="21"/>
  <c r="G45" i="21"/>
  <c r="G46" i="21"/>
  <c r="G48" i="21"/>
  <c r="G49" i="21"/>
  <c r="G50" i="21"/>
  <c r="G51" i="21"/>
  <c r="G52" i="21"/>
  <c r="G53" i="21"/>
  <c r="G54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5" i="21"/>
  <c r="G17" i="21"/>
  <c r="K79" i="21"/>
  <c r="M79" i="21"/>
  <c r="K64" i="21"/>
  <c r="M64" i="21"/>
  <c r="D116" i="21"/>
  <c r="G116" i="21"/>
  <c r="D114" i="21"/>
  <c r="G114" i="21"/>
  <c r="H114" i="21"/>
  <c r="D113" i="21"/>
  <c r="H113" i="21"/>
  <c r="D112" i="21"/>
  <c r="G112" i="21"/>
  <c r="D110" i="21"/>
  <c r="K111" i="21"/>
  <c r="M111" i="21"/>
  <c r="D108" i="21"/>
  <c r="G108" i="21"/>
  <c r="D96" i="21"/>
  <c r="G96" i="21"/>
  <c r="D93" i="21"/>
  <c r="G93" i="21"/>
  <c r="D92" i="21"/>
  <c r="H92" i="21"/>
  <c r="D91" i="21"/>
  <c r="G91" i="21"/>
  <c r="D89" i="21"/>
  <c r="G89" i="21"/>
  <c r="D88" i="21"/>
  <c r="D87" i="21"/>
  <c r="K87" i="21"/>
  <c r="M87" i="21"/>
  <c r="D86" i="21"/>
  <c r="G86" i="21"/>
  <c r="H86" i="21"/>
  <c r="D79" i="21"/>
  <c r="G79" i="21"/>
  <c r="D77" i="21"/>
  <c r="K77" i="21"/>
  <c r="M77" i="21"/>
  <c r="D76" i="21"/>
  <c r="G76" i="21"/>
  <c r="K76" i="21"/>
  <c r="M76" i="21"/>
  <c r="D75" i="21"/>
  <c r="G75" i="21"/>
  <c r="K75" i="21"/>
  <c r="M75" i="21"/>
  <c r="D73" i="21"/>
  <c r="K73" i="21"/>
  <c r="M73" i="21"/>
  <c r="D72" i="21"/>
  <c r="K72" i="21"/>
  <c r="M72" i="21"/>
  <c r="D71" i="21"/>
  <c r="G71" i="21"/>
  <c r="K71" i="21"/>
  <c r="M71" i="21"/>
  <c r="D70" i="21"/>
  <c r="G70" i="21"/>
  <c r="K70" i="21"/>
  <c r="M70" i="21"/>
  <c r="M48" i="21"/>
  <c r="K47" i="21"/>
  <c r="M47" i="21"/>
  <c r="D47" i="21"/>
  <c r="G47" i="21"/>
  <c r="K45" i="21"/>
  <c r="M45" i="21"/>
  <c r="K44" i="21"/>
  <c r="M44" i="21"/>
  <c r="D43" i="21"/>
  <c r="K43" i="21"/>
  <c r="M43" i="21"/>
  <c r="D42" i="21"/>
  <c r="H42" i="21"/>
  <c r="D38" i="21"/>
  <c r="K38" i="21"/>
  <c r="M38" i="21"/>
  <c r="D37" i="21"/>
  <c r="G37" i="21"/>
  <c r="D36" i="21"/>
  <c r="K36" i="21"/>
  <c r="D34" i="21"/>
  <c r="H34" i="21"/>
  <c r="D33" i="21"/>
  <c r="H33" i="21"/>
  <c r="D32" i="21"/>
  <c r="H32" i="21"/>
  <c r="D31" i="21"/>
  <c r="G31" i="21"/>
  <c r="M119" i="21"/>
  <c r="H119" i="21"/>
  <c r="H118" i="21"/>
  <c r="M115" i="21"/>
  <c r="M114" i="21"/>
  <c r="M110" i="21"/>
  <c r="M108" i="21"/>
  <c r="K94" i="21"/>
  <c r="M94" i="21"/>
  <c r="H94" i="21"/>
  <c r="K85" i="21"/>
  <c r="M85" i="21"/>
  <c r="K69" i="21"/>
  <c r="M69" i="21"/>
  <c r="K68" i="21"/>
  <c r="M68" i="21"/>
  <c r="K67" i="21"/>
  <c r="M67" i="21"/>
  <c r="K66" i="21"/>
  <c r="M66" i="21"/>
  <c r="K65" i="21"/>
  <c r="M65" i="21"/>
  <c r="K63" i="21"/>
  <c r="M63" i="21"/>
  <c r="K62" i="21"/>
  <c r="M62" i="21"/>
  <c r="H62" i="21"/>
  <c r="K60" i="21"/>
  <c r="M60" i="21"/>
  <c r="K59" i="21"/>
  <c r="M59" i="21"/>
  <c r="H59" i="21"/>
  <c r="K58" i="21"/>
  <c r="M58" i="21"/>
  <c r="H58" i="21"/>
  <c r="K54" i="21"/>
  <c r="M54" i="21"/>
  <c r="K53" i="21"/>
  <c r="M53" i="21"/>
  <c r="K52" i="21"/>
  <c r="M52" i="21"/>
  <c r="H52" i="21"/>
  <c r="K51" i="21"/>
  <c r="M51" i="21"/>
  <c r="K50" i="21"/>
  <c r="M50" i="21"/>
  <c r="K49" i="21"/>
  <c r="M49" i="21"/>
  <c r="H49" i="21"/>
  <c r="K29" i="21"/>
  <c r="M29" i="21"/>
  <c r="K28" i="21"/>
  <c r="M28" i="21"/>
  <c r="H28" i="21"/>
  <c r="K27" i="21"/>
  <c r="M27" i="21"/>
  <c r="K26" i="21"/>
  <c r="M26" i="21"/>
  <c r="H26" i="21"/>
  <c r="K25" i="21"/>
  <c r="M25" i="21"/>
  <c r="H25" i="21"/>
  <c r="K24" i="21"/>
  <c r="M24" i="21"/>
  <c r="H24" i="21"/>
  <c r="K23" i="21"/>
  <c r="M23" i="21"/>
  <c r="H23" i="21"/>
  <c r="K22" i="21"/>
  <c r="M22" i="21"/>
  <c r="K21" i="21"/>
  <c r="M21" i="21"/>
  <c r="H21" i="21"/>
  <c r="K20" i="21"/>
  <c r="M20" i="21"/>
  <c r="H20" i="21"/>
  <c r="K19" i="21"/>
  <c r="M19" i="21"/>
  <c r="H19" i="21"/>
  <c r="K18" i="21"/>
  <c r="M18" i="21"/>
  <c r="H18" i="21"/>
  <c r="H17" i="21"/>
  <c r="K81" i="21"/>
  <c r="M81" i="21"/>
  <c r="K46" i="21"/>
  <c r="M46" i="21"/>
  <c r="K32" i="21"/>
  <c r="M32" i="21"/>
  <c r="M36" i="21"/>
  <c r="H93" i="21"/>
  <c r="H110" i="21"/>
  <c r="H75" i="21"/>
  <c r="H76" i="21"/>
  <c r="K84" i="21"/>
  <c r="M84" i="21"/>
  <c r="H79" i="21"/>
  <c r="H72" i="21"/>
  <c r="H70" i="21"/>
  <c r="K34" i="21"/>
  <c r="M34" i="21"/>
  <c r="K74" i="21"/>
  <c r="M74" i="21"/>
  <c r="K103" i="21"/>
  <c r="M103" i="21"/>
  <c r="K97" i="21"/>
  <c r="M97" i="21"/>
  <c r="K86" i="21"/>
  <c r="M86" i="21"/>
  <c r="K33" i="21"/>
  <c r="M33" i="21"/>
  <c r="G110" i="21"/>
  <c r="H91" i="21"/>
  <c r="H87" i="21"/>
  <c r="K37" i="21"/>
  <c r="M37" i="21"/>
  <c r="H37" i="21"/>
  <c r="K91" i="21"/>
  <c r="M91" i="21"/>
  <c r="G92" i="21"/>
  <c r="H47" i="21"/>
  <c r="K93" i="21"/>
  <c r="M93" i="21"/>
  <c r="G73" i="21"/>
  <c r="G34" i="21"/>
  <c r="K92" i="21"/>
  <c r="M92" i="21"/>
  <c r="G72" i="21"/>
  <c r="G43" i="21"/>
  <c r="K35" i="21"/>
  <c r="M35" i="21"/>
  <c r="H108" i="21"/>
  <c r="H112" i="21"/>
  <c r="H77" i="21"/>
  <c r="H43" i="21"/>
  <c r="K112" i="21"/>
  <c r="M112" i="21"/>
  <c r="G87" i="21"/>
  <c r="G77" i="21"/>
  <c r="K99" i="21"/>
  <c r="M99" i="21"/>
  <c r="K96" i="21"/>
  <c r="M96" i="21"/>
  <c r="K31" i="21"/>
  <c r="M31" i="21"/>
  <c r="H36" i="21"/>
  <c r="H88" i="21"/>
  <c r="K88" i="21"/>
  <c r="M88" i="21"/>
  <c r="G33" i="21"/>
  <c r="K101" i="21"/>
  <c r="M101" i="21"/>
  <c r="K98" i="21"/>
  <c r="M98" i="21"/>
  <c r="K102" i="21"/>
  <c r="M102" i="21"/>
  <c r="K104" i="21"/>
  <c r="M104" i="21"/>
  <c r="G36" i="21"/>
  <c r="G32" i="21"/>
  <c r="K113" i="21"/>
  <c r="M113" i="21"/>
  <c r="G113" i="21"/>
  <c r="G120" i="21"/>
  <c r="H96" i="21"/>
  <c r="K100" i="21"/>
  <c r="M100" i="21"/>
  <c r="K42" i="21"/>
  <c r="M42" i="21"/>
  <c r="M55" i="21"/>
  <c r="H71" i="21"/>
  <c r="H31" i="21"/>
  <c r="G38" i="21"/>
  <c r="H38" i="21"/>
  <c r="G42" i="21"/>
  <c r="G55" i="21"/>
  <c r="G88" i="21"/>
  <c r="K80" i="21"/>
  <c r="M80" i="21"/>
  <c r="K83" i="21"/>
  <c r="M83" i="21"/>
  <c r="K89" i="21"/>
  <c r="M89" i="21"/>
  <c r="H73" i="21"/>
  <c r="H89" i="21"/>
  <c r="K82" i="21"/>
  <c r="M82" i="21"/>
  <c r="K90" i="21"/>
  <c r="M90" i="21"/>
  <c r="K109" i="21"/>
  <c r="M109" i="21"/>
  <c r="H55" i="21"/>
  <c r="M120" i="21"/>
  <c r="M39" i="21"/>
  <c r="H39" i="21"/>
  <c r="N56" i="21"/>
  <c r="M105" i="21"/>
  <c r="H120" i="21"/>
  <c r="N121" i="21"/>
  <c r="G105" i="21"/>
  <c r="G39" i="21"/>
  <c r="H105" i="21"/>
  <c r="N40" i="21"/>
  <c r="G123" i="21"/>
  <c r="G127" i="21"/>
  <c r="M123" i="21"/>
  <c r="M124" i="21"/>
  <c r="M125" i="21"/>
  <c r="H123" i="21"/>
  <c r="H124" i="21"/>
  <c r="H127" i="21"/>
  <c r="M11" i="21"/>
  <c r="M12" i="21"/>
  <c r="N106" i="21"/>
  <c r="M126" i="21"/>
  <c r="M127" i="21"/>
  <c r="M10" i="21"/>
  <c r="N9" i="21"/>
  <c r="M7" i="21"/>
  <c r="M8" i="21"/>
</calcChain>
</file>

<file path=xl/sharedStrings.xml><?xml version="1.0" encoding="utf-8"?>
<sst xmlns="http://schemas.openxmlformats.org/spreadsheetml/2006/main" count="845" uniqueCount="315">
  <si>
    <t>м2</t>
  </si>
  <si>
    <t>№ п/п</t>
  </si>
  <si>
    <t>кг</t>
  </si>
  <si>
    <t>л</t>
  </si>
  <si>
    <t>%</t>
  </si>
  <si>
    <t>м.п.</t>
  </si>
  <si>
    <t>грн.</t>
  </si>
  <si>
    <t>шт.</t>
  </si>
  <si>
    <t>Грунтовка СТ 17</t>
  </si>
  <si>
    <t>Найменування об"єкту: Ремонтні роботи</t>
  </si>
  <si>
    <t>Всього робота:</t>
  </si>
  <si>
    <t>Всього матеріал:</t>
  </si>
  <si>
    <t>Прибуток підприємства:</t>
  </si>
  <si>
    <t>Найменування робіт та витрат</t>
  </si>
  <si>
    <t>Од. вим.</t>
  </si>
  <si>
    <t>Кіл-сть</t>
  </si>
  <si>
    <t>Вартість од., грн.</t>
  </si>
  <si>
    <t>Вартість, грн.</t>
  </si>
  <si>
    <t>Матеріали (з НДС)</t>
  </si>
  <si>
    <t>Найменування матеріалів</t>
  </si>
  <si>
    <t>Примітка</t>
  </si>
  <si>
    <t>Грунтування стін перед стартовою шпаклівкою</t>
  </si>
  <si>
    <t>Нанесення стартової шпаклівки</t>
  </si>
  <si>
    <t>Шпаклівка Мультіфініш</t>
  </si>
  <si>
    <t>Фінішне шпаклювання стін</t>
  </si>
  <si>
    <t>Грунтування стін перед фарбуванням</t>
  </si>
  <si>
    <t>Фарбування стін латексною фарбою у 2 шари</t>
  </si>
  <si>
    <t>По розділу</t>
  </si>
  <si>
    <t>Всього</t>
  </si>
  <si>
    <t>Гіпсокартон вологостійкий 12,5 мм</t>
  </si>
  <si>
    <t>Профіль стельовий CD 60/27</t>
  </si>
  <si>
    <t>Профіль направляючий UD 28/27</t>
  </si>
  <si>
    <t>Подовжувач профілів 60/110</t>
  </si>
  <si>
    <t>Шуруп самонарізаючий TN 25</t>
  </si>
  <si>
    <t>Стельовий дюбель Bierbach</t>
  </si>
  <si>
    <t>Дюбель 6/40</t>
  </si>
  <si>
    <t>Стрічка армуюча</t>
  </si>
  <si>
    <t>Фарбування стелі водоемульсійною фарбою за 2 рази</t>
  </si>
  <si>
    <t>Улаштування підвісної стелі Армстронг</t>
  </si>
  <si>
    <t>Профіль поперечний 0,6 м</t>
  </si>
  <si>
    <t>Профіль головний 3,6 м</t>
  </si>
  <si>
    <t>Профіль поперечний 1,2 м</t>
  </si>
  <si>
    <t>Підвіс метелик</t>
  </si>
  <si>
    <t>Стержень з вушком</t>
  </si>
  <si>
    <t>Стержень з крючком</t>
  </si>
  <si>
    <t>Профіль пристінний 3 м</t>
  </si>
  <si>
    <t>Облаштування гіпсової штукатурки до 20 мм</t>
  </si>
  <si>
    <t>Штукатурка МР-75</t>
  </si>
  <si>
    <t>Маяк штукатурный 10 мм</t>
  </si>
  <si>
    <t>Грунтування підлоги перед укладанням плит</t>
  </si>
  <si>
    <t>Укладання керамогранітних плит</t>
  </si>
  <si>
    <t xml:space="preserve">Керамограніт Cerim/Timeless/Amani grey, Natural 600x600mm </t>
  </si>
  <si>
    <t>Керамограніт Just Grey/Super white, Natural 600x600mm</t>
  </si>
  <si>
    <t>Облаштування стелі</t>
  </si>
  <si>
    <t>Облаштування підвісної стелі AMF</t>
  </si>
  <si>
    <t>Улаштування ГК коробів для у рівень з плитами Knauf для ЛЕД підсвітки</t>
  </si>
  <si>
    <t>Грунтування  гк коробів перед шпаклюванням</t>
  </si>
  <si>
    <t>Грунтування гк коробів перед фарбуванням</t>
  </si>
  <si>
    <t>Фарбування гк коробів водоемульсійною фарбою за 2 рази</t>
  </si>
  <si>
    <t>Грунтування стелі  перед фарбуванням</t>
  </si>
  <si>
    <t>Облаштування ГК короба під ЛЕД підсвітку</t>
  </si>
  <si>
    <t>Улаштування однорівневої гіпсокартонної стелі</t>
  </si>
  <si>
    <t>п.м.</t>
  </si>
  <si>
    <t>Шпаклівка Уніфлот</t>
  </si>
  <si>
    <t>Фуга Церезит СЕ 40</t>
  </si>
  <si>
    <t>Плита AMF Thermatex 600х1200 мм з кромкою SK</t>
  </si>
  <si>
    <t>Розвантажувально-навантажувальні роботи</t>
  </si>
  <si>
    <t>т</t>
  </si>
  <si>
    <t>Найменування будівництва та його адреса: МЗК 6-9 поверхів житлового будинку за адресою: вул. Антоновича, 44 у м. Києві</t>
  </si>
  <si>
    <t>Перфорований кут</t>
  </si>
  <si>
    <t>Профіль алюмінієвий для ЛЕД стрічки</t>
  </si>
  <si>
    <t>Облаштування склохолста</t>
  </si>
  <si>
    <t>Грунтування стін перед облаштуванням склохолста</t>
  </si>
  <si>
    <t>Склохост</t>
  </si>
  <si>
    <t>Шпаклівка Ельф Д-60</t>
  </si>
  <si>
    <t>Оздоблення стін та відкосів</t>
  </si>
  <si>
    <t>СТІНИ</t>
  </si>
  <si>
    <t>Грунтування укосів перед стартовою шпаклівкою</t>
  </si>
  <si>
    <t>Нанесення стартової шпаклівки на укоси</t>
  </si>
  <si>
    <t>Грунтування укосів перед облаштуванням склохолста</t>
  </si>
  <si>
    <t>Облаштування склохолста на укосах</t>
  </si>
  <si>
    <t>Грунтування укосів перед фарбуванням</t>
  </si>
  <si>
    <t>Фарбування укосів латексною фарбою у 2 шари</t>
  </si>
  <si>
    <t xml:space="preserve">УКОСИ </t>
  </si>
  <si>
    <t>Улаштування плінтусу прихованої системи монтажу</t>
  </si>
  <si>
    <t>Плінтус прихованої системи монтажу</t>
  </si>
  <si>
    <t>Монтажний клей T-REX прозорий, Soudal, картридж 310 г</t>
  </si>
  <si>
    <t>г</t>
  </si>
  <si>
    <t>Силіконовий герметик  прозорий, Soudal 310 г</t>
  </si>
  <si>
    <t>Клей для керамограніта СМ 117</t>
  </si>
  <si>
    <t>Улаштування керамічного плінтусу 60 мм</t>
  </si>
  <si>
    <t>Стартове шпаклювання гк коробів</t>
  </si>
  <si>
    <t>Грунтування гк коробів перед облаштуванням склохолста</t>
  </si>
  <si>
    <t>Облаштування склохолста на гк короб</t>
  </si>
  <si>
    <t>Фінішне шпаклювання укосів</t>
  </si>
  <si>
    <t>Фінішне шпаклювання гк коробів</t>
  </si>
  <si>
    <t>Облицювання підлог</t>
  </si>
  <si>
    <t>Однорівнева гк стеля</t>
  </si>
  <si>
    <t>Нанесення бетонконтакту на стелі</t>
  </si>
  <si>
    <t>Бетонконтакт</t>
  </si>
  <si>
    <t xml:space="preserve">Стартове шпаклювання стелі </t>
  </si>
  <si>
    <t>Грунтування стелі перед облаштуванням склохоста</t>
  </si>
  <si>
    <t>Облаштування на стелях склохолста</t>
  </si>
  <si>
    <t>Матеріал Замовника</t>
  </si>
  <si>
    <t>Фінішне шпаклювання стель</t>
  </si>
  <si>
    <t>Грунтування стелі перед стартовим шпаклюванням</t>
  </si>
  <si>
    <t>Улаштування алюмінієвих ЛЕД профілів</t>
  </si>
  <si>
    <t xml:space="preserve">Улаштування декоративного  Т-подібного профілю </t>
  </si>
  <si>
    <t>Улаштування декоративного  профілю квадратної форми</t>
  </si>
  <si>
    <t>Декоративний Т-подібний профіль</t>
  </si>
  <si>
    <t>Декоративний квадратний профіль</t>
  </si>
  <si>
    <t>Вивоз мусора</t>
  </si>
  <si>
    <t>маш</t>
  </si>
  <si>
    <t>Улаштування захисного покриття підлоги</t>
  </si>
  <si>
    <t>Скотч</t>
  </si>
  <si>
    <t>ДВП 1220х2440 мм</t>
  </si>
  <si>
    <t>Мішки для сміття</t>
  </si>
  <si>
    <t>Роботи, які не враховані в дизайн-проекті</t>
  </si>
  <si>
    <t xml:space="preserve">Цегла </t>
  </si>
  <si>
    <t>Вирівнювання проему лоджиі цеглою під монтаж металопластикової конструкції</t>
  </si>
  <si>
    <t>Кладка цегли в нішах ВО, ВК, СПЗ, ЕМ</t>
  </si>
  <si>
    <t>шт</t>
  </si>
  <si>
    <t xml:space="preserve">Домонолічування отворів в підлогах </t>
  </si>
  <si>
    <t>Цемент М 500</t>
  </si>
  <si>
    <t>Песок</t>
  </si>
  <si>
    <t>Домонолічування ніш ВО, ВК, СПЗ, ЕМ</t>
  </si>
  <si>
    <t>Склад, вартість робіт 
та матеріал буде 
вказано після уточнення Т.З.</t>
  </si>
  <si>
    <t>Штукатурення стін під нішами ВО, ВК, СПЗ, ЕМ h=0,100 мм</t>
  </si>
  <si>
    <t>Грунтування стін під нішами ВО, ВК, СПЗ, ЕМ h=0,100 мм</t>
  </si>
  <si>
    <t>Демонтаж стін від дверей на 125 мм</t>
  </si>
  <si>
    <t>на виконання ремонтних робіт у місцях загального користування 10 поверху</t>
  </si>
  <si>
    <t>Влаштування дверних прорізів тамбура (вхід зі сходової клітини)</t>
  </si>
  <si>
    <t>Клей для цегли Kleyzer KTS</t>
  </si>
  <si>
    <t>Клей для склохолста Bostik</t>
  </si>
  <si>
    <t>Фарба Interior 7, Ral 9010</t>
  </si>
  <si>
    <t>Разом по кошторису</t>
  </si>
  <si>
    <t>Всього без ПДВ:</t>
  </si>
  <si>
    <t>ПДВ 20%:</t>
  </si>
  <si>
    <t>Кошторис 2</t>
  </si>
  <si>
    <t>"ПІДРЯДНИК"</t>
  </si>
  <si>
    <t>"ЗАМОВНИК"</t>
  </si>
  <si>
    <t>_________________</t>
  </si>
  <si>
    <t>___________________</t>
  </si>
  <si>
    <t>Всього робота</t>
  </si>
  <si>
    <t>Підсобні роботи</t>
  </si>
  <si>
    <t>РАЗОМ ПО РОБОТАМ</t>
  </si>
  <si>
    <t>Всого матеріалів</t>
  </si>
  <si>
    <t>РАЗОМ ПО МАТЕРІАЛАМ</t>
  </si>
  <si>
    <t>26.12.2018 року</t>
  </si>
  <si>
    <t>Заготовительно-складскі витрати, витратні матеріали та інструмент</t>
  </si>
  <si>
    <t xml:space="preserve">Транспортні витрати </t>
  </si>
  <si>
    <t>без пдв</t>
  </si>
  <si>
    <t>цена</t>
  </si>
  <si>
    <t>итого</t>
  </si>
  <si>
    <t>??</t>
  </si>
  <si>
    <t>уже расписаны</t>
  </si>
  <si>
    <t>ЗАМОВНИК</t>
  </si>
  <si>
    <t>дн</t>
  </si>
  <si>
    <t xml:space="preserve">Склополотно TOILE DE VERRE щільність 45 гр/м.кв. (50 м. кв.) SEMIN </t>
  </si>
  <si>
    <t>BOSTIK-70 WALL STANDARD КЛЕЙ для стеклохолста, 15л</t>
  </si>
  <si>
    <t>SEMIN SEM JOINT COMPOUND ШПАКЛіВКА ГОТОВА , 25кг</t>
  </si>
  <si>
    <t>Грунтовка SILTEK Universal Е-100</t>
  </si>
  <si>
    <t>Клей для керамограніта SILTEK Т-80</t>
  </si>
  <si>
    <t>Стрічка малярна 50 м</t>
  </si>
  <si>
    <t>Гіпсокартон вологостійкий 12,5 мм Knauf</t>
  </si>
  <si>
    <t>Всього по работам</t>
  </si>
  <si>
    <t>Всього по матеріалам</t>
  </si>
  <si>
    <t>Нанесення стартової шпаклівки, з шліфуванням</t>
  </si>
  <si>
    <t>Матеріали (без ПДВ)</t>
  </si>
  <si>
    <t>Фарбування стелі водоемульсійною фарбою за 2в 2 шари</t>
  </si>
  <si>
    <t xml:space="preserve">Грунтування стін перед нанесенням штукатурки </t>
  </si>
  <si>
    <t>Фінішне шпаклювання в 2 шари стель з шліфуванням</t>
  </si>
  <si>
    <t>Грунтування стель перед облаштуванням склохолста</t>
  </si>
  <si>
    <t>м3</t>
  </si>
  <si>
    <t xml:space="preserve">Суміш для кладки цегли Мастер </t>
  </si>
  <si>
    <t>Цегла (матер. Генпідрядника)</t>
  </si>
  <si>
    <t>Демонтажні роботи</t>
  </si>
  <si>
    <t>Облаштування пілонів</t>
  </si>
  <si>
    <t xml:space="preserve">Улаштування гіпсокартонних пілонів </t>
  </si>
  <si>
    <t>Профіль CD 60/27</t>
  </si>
  <si>
    <t>Плитка Керамогранітна Kerama Marazzi Тиберио глянець 1200х600х11 мм  (матер. Генпідрядника)</t>
  </si>
  <si>
    <t>Клей для керамограніту Ceresit СМ 12</t>
  </si>
  <si>
    <t>Оздоблення стін, відкосів та пілонів</t>
  </si>
  <si>
    <t>Облаштування стін</t>
  </si>
  <si>
    <t xml:space="preserve">Грунтування пілонів перед укладанням керамогранітної плитки </t>
  </si>
  <si>
    <t>Грунтування стін перед укладанням керамогранітної плитки</t>
  </si>
  <si>
    <t>Укладання керамогранітної плитки на стіни 400х800 мм</t>
  </si>
  <si>
    <t>Плитка Керамогранітна Marca Corona E 830 4D Plain deep blue matt 400х800х10 мм  (матер. Генпідрядника)</t>
  </si>
  <si>
    <t xml:space="preserve">Укладання керамічної плитки 1200х600 мм на пілони </t>
  </si>
  <si>
    <t>Укладання керамогранітної плитки на стіни 1200х600 мм</t>
  </si>
  <si>
    <t>Облаштування укосів</t>
  </si>
  <si>
    <t xml:space="preserve">Грунтування укосів перед укладанням керамогранітної плитки </t>
  </si>
  <si>
    <t>Укладання керамічної плитки 1200х600 мм на укоси</t>
  </si>
  <si>
    <t>Улаштування алюмінієвого профіля 13х2700 мм</t>
  </si>
  <si>
    <t>Декоративний алюмінієвий профіль анодіроване золото 13х2700 мм (матер. Генпідрядника)</t>
  </si>
  <si>
    <t>Грунтування стін перед улаштуванням "Косів" правої та лівої частини</t>
  </si>
  <si>
    <t xml:space="preserve">Улаштування косів  з прирізкою плитки правої та лівої частини </t>
  </si>
  <si>
    <t>Улаштування "КОСІВ"</t>
  </si>
  <si>
    <t>Штукатурка цементно-піщана Kreisel 501</t>
  </si>
  <si>
    <t>Грунтування підлоги перед укладанням керамогранітних плит на сходових площадках</t>
  </si>
  <si>
    <t>Улаштування кутиків на сходові марші</t>
  </si>
  <si>
    <t>Укладання керамогранітних плит на сходових площадках 600х600х11 мм</t>
  </si>
  <si>
    <t>Плитка Керамогранітна Kerama Marazzi Тиберио мат 600х600 мм (матер. Генпідрядника)</t>
  </si>
  <si>
    <t>Алюмінієвий профіль, прямыйBLB 5403-20-01115-K.27 (матер. Генпідрядника)</t>
  </si>
  <si>
    <t>Фарба інтер'єрна  (матер. Генпідрядника)</t>
  </si>
  <si>
    <t>Скло із золотим напорошінням 150х600 мм (матер. Генпідрядника)</t>
  </si>
  <si>
    <t>Плитка Керамогранітна Kerama Marazzi Про стоун сіра 150х600 мм (матер. Генпідрядника)</t>
  </si>
  <si>
    <t>Плитка Керамогранітна Kerama Marazzi світло сіра 150х600 мм (матер. Генпідрядника)</t>
  </si>
  <si>
    <t>Плитка Керамогранітна Kerama Marazzi Тиберио глянець 150х600 мм (матер. Генпідрядника)</t>
  </si>
  <si>
    <t>Виготовка низу сходових маршів</t>
  </si>
  <si>
    <t>Улаштування гіпсокартонної конструкції на поверхні низу сходових маршів</t>
  </si>
  <si>
    <t>Виготовка торців сходових маршів</t>
  </si>
  <si>
    <t>Грунтування на поверхні низу сходових маршів перед стартовим шпаклюванням</t>
  </si>
  <si>
    <t>Нанесення стартової шпаклівки, з шліфуванням на поверхні низу сходових маршів</t>
  </si>
  <si>
    <t>Грунтування на поверхні низу сходових маршів перед облаштуванням склохолста</t>
  </si>
  <si>
    <t>Облаштування склохолста на поверхні низу сходових маршів</t>
  </si>
  <si>
    <t>Фарбування поверхні низу сходових маршів водоемульсійною фарбою за 2в 2 шари</t>
  </si>
  <si>
    <t>Грунтування поверхні низу сходових маршів перед фарбуванням</t>
  </si>
  <si>
    <t>Фінішне шпаклювання в 2 шари з шліфуваннямповерхні низу сходових маршів</t>
  </si>
  <si>
    <t>Улаштування гіпсокартонної конструкції на торцах  сходових маршів</t>
  </si>
  <si>
    <t>Грунтування торців  сходових маршів перед стартовим шпаклюванням</t>
  </si>
  <si>
    <t>Нанесення стартової шпаклівки, з шліфуванням торців  сходових маршів</t>
  </si>
  <si>
    <t>Грунтування торців  сходових маршів перед облаштуванням склохолста</t>
  </si>
  <si>
    <t>Облаштування склохолста на торцах сходових маршів</t>
  </si>
  <si>
    <t>Фінішне шпаклювання в 2 шари торців  сходових маршів з шліфуванням</t>
  </si>
  <si>
    <t>Грунтування торців  сходових маршів перед фарбуванням</t>
  </si>
  <si>
    <t>Фарбування торців  сходових маршів водоемульсійною фарбою за 2в 2 шари</t>
  </si>
  <si>
    <t>Монтаж дзеркал</t>
  </si>
  <si>
    <t>Виготовлення та монтаж декоративного пано на стіни</t>
  </si>
  <si>
    <t>Электромонтажні роботи</t>
  </si>
  <si>
    <t>Улаштування вбудованих ЛЕД профілів</t>
  </si>
  <si>
    <t>Профіль алюмінієвий під ЛЕД (матер. Генпідрядника)</t>
  </si>
  <si>
    <t>Демонтаж цегляних перегородок для встановлення пожежостійкого вікна</t>
  </si>
  <si>
    <t>Металопрокат  (матер. Генпідрядника)</t>
  </si>
  <si>
    <t>Електроди 3</t>
  </si>
  <si>
    <t>Виготовлення та влаштування перемичок з металокрнструкції</t>
  </si>
  <si>
    <t xml:space="preserve">Облаштування цементно-піщанної штукатурки стін до 20 мм </t>
  </si>
  <si>
    <t>Укладання керамогранітних плит на сходових маршах 600х600 мм та підсхідцях</t>
  </si>
  <si>
    <t>Грунтування сходових маршів перед укладанням керамогранітних плит на сходових маршах та підсхідцях</t>
  </si>
  <si>
    <t>Роботи,
що виконують інші підрядні компанії</t>
  </si>
  <si>
    <t>Виготовлення та монтаж протипожежного вікна</t>
  </si>
  <si>
    <t>Виготовлення та монтаж перил, балясин</t>
  </si>
  <si>
    <t>Вартість од., грн. без ПДВ</t>
  </si>
  <si>
    <t>Улаштування штроб під монтаж ЛЕД профілів</t>
  </si>
  <si>
    <t>Вивіз сміття (машина 1,5 т)</t>
  </si>
  <si>
    <t>Монтаж-демонтаж будівельних риштувань</t>
  </si>
  <si>
    <t>Оренда будівельних риштувань</t>
  </si>
  <si>
    <t>діб</t>
  </si>
  <si>
    <t>Облицювання стін плиткою, із них:</t>
  </si>
  <si>
    <t>м.кв.</t>
  </si>
  <si>
    <t xml:space="preserve">Облицювання стін плиткою </t>
  </si>
  <si>
    <t>Облицювання дверних полотен плиткою</t>
  </si>
  <si>
    <t>Облицювання гіпсткартонних фальш-стін плиткою</t>
  </si>
  <si>
    <t xml:space="preserve">Монтаж алюмінієвих профілів </t>
  </si>
  <si>
    <t xml:space="preserve">Монтаж LED профілів </t>
  </si>
  <si>
    <t>керамограніт Kerama Marazzi,Тіберіо глянець, 1200х600х11 мм</t>
  </si>
  <si>
    <t>Плитка Marca Corona Е830 4D.Plain DEEP BLUE MATT, 800х400х10 мм</t>
  </si>
  <si>
    <t>Плитка Marca Corona D734 4D.Plain DEEP BLUE MATT, 800х400х10 мм</t>
  </si>
  <si>
    <t>Фарбоване скло RAL 9010</t>
  </si>
  <si>
    <t>Фарбоване скло RAL 5008</t>
  </si>
  <si>
    <t>Керамограніт Kerama Marazzi,  Про Стоун сірий обрізний 600х600 мм, 
17 шт лівосторонніх, 22 шт. правосторонніх,</t>
  </si>
  <si>
    <t>Керамограніт Kerama Marazzi,  Про Стоун сірий світлий обрізний 600х600 мм, 
22 шт лівосторонніх, 18 шт. правосторонніх,</t>
  </si>
  <si>
    <t>Керамограніт Kerama Marazzi , Монте Тіберіо, лапатований, обрізний 600х600 мм, 
62 шт лівосторонніх, 65 шт. правосторонніх,</t>
  </si>
  <si>
    <t>Плитка Marca Corona Е061 4D.
Plain DEEP BLUE MATT 20 Стена, 200х200х10 мм</t>
  </si>
  <si>
    <t>Плитка Marca Corona 4D.
DIAGONAL DEEP BLUE, 200х200х10 мм</t>
  </si>
  <si>
    <t>Плитка Marca Corona 4D.
DIAGONAL WHITE MATT 20, 200х200х10 мм</t>
  </si>
  <si>
    <t>Плитка Marca Corona Е061 4D.
Plain WHITE MATT 20 Стена, 200х200х10 мм</t>
  </si>
  <si>
    <t>LED профіль 22х200 мм</t>
  </si>
  <si>
    <t>клей Момент Монтаж універсальний для скла, дзеркал дверних полотен</t>
  </si>
  <si>
    <t>СТЕЛІ</t>
  </si>
  <si>
    <t>Влаштування стель з ГК</t>
  </si>
  <si>
    <t xml:space="preserve">Гіпсокартоний лист KNAUF 2500*1200*10 мм (у 2 шари) </t>
  </si>
  <si>
    <t>КНАУФ-профиль потолочный ПП 60/27</t>
  </si>
  <si>
    <t>КНАУФ-профиль ПН 28/27</t>
  </si>
  <si>
    <t>Удлинитель профилей 60/27</t>
  </si>
  <si>
    <t>Соединитель одноуровневый 60/27</t>
  </si>
  <si>
    <t>Подвес прямой 60/27</t>
  </si>
  <si>
    <t>Шуруп LN 3,5 х 9 мм</t>
  </si>
  <si>
    <t>Винт самонарезающий TN 25</t>
  </si>
  <si>
    <t>Дюбель анкерный</t>
  </si>
  <si>
    <t>Дюбель для крепления профилей ПН 28/27</t>
  </si>
  <si>
    <t>Шпаклевка КНАУФ-Фуген (для заделки швов)</t>
  </si>
  <si>
    <t>кг.</t>
  </si>
  <si>
    <t>Лента армирующая</t>
  </si>
  <si>
    <t>Грунтовка КНАУФ-Тифенгрунд</t>
  </si>
  <si>
    <t>Лента уплотнительная сечением 30х3,2 мм</t>
  </si>
  <si>
    <t>Лента разделительная</t>
  </si>
  <si>
    <t>Фарба акрилова RAL 5008</t>
  </si>
  <si>
    <t>Фарба акрилова RAL 9010</t>
  </si>
  <si>
    <t>Влаштування стель 
Armstrong Perla OPSL2 1800 (1500)х300 мм, RAL 9010
Armstrong Perla OPSL2 2500х300 мм, RAL 9010</t>
  </si>
  <si>
    <t>Матеріали Генпідрядника</t>
  </si>
  <si>
    <t>ПІДЛОГИ</t>
  </si>
  <si>
    <t>Облицювання підлог плиткою</t>
  </si>
  <si>
    <t>Керамограніт Kerama Marazzi , Монте Тіберіо, лапатований, 600х600 мм</t>
  </si>
  <si>
    <t>м. кв.</t>
  </si>
  <si>
    <t>Керамограніт Kerama Marazzi,  Про Стоун сірий темний обрізний 600х600 мм</t>
  </si>
  <si>
    <t>Керамограніт Kerama Marazzi,  Про Стоун сірий обрізний 600х600 мм</t>
  </si>
  <si>
    <t>Керамограніт Kerama Marazzi,  Про Стоун сірий світлий обрізний 600х600 мм</t>
  </si>
  <si>
    <r>
      <t xml:space="preserve">Алюмінієвий профіль, таврований BLB-5403-20-01115.27, анодований золото, 13х2700, </t>
    </r>
    <r>
      <rPr>
        <b/>
        <sz val="11"/>
        <color theme="1"/>
        <rFont val="Arial Narrow"/>
        <family val="2"/>
        <charset val="204"/>
      </rPr>
      <t xml:space="preserve">191 </t>
    </r>
    <r>
      <rPr>
        <sz val="11"/>
        <color theme="1"/>
        <rFont val="Arial Narrow"/>
        <family val="2"/>
        <charset val="204"/>
      </rPr>
      <t>шт.</t>
    </r>
  </si>
  <si>
    <r>
      <t xml:space="preserve">Алюмінієвий профіль універсальний, 31х10х2700 мм, анодований золото, 13х2700, </t>
    </r>
    <r>
      <rPr>
        <b/>
        <sz val="11"/>
        <color theme="1"/>
        <rFont val="Arial Narrow"/>
        <family val="2"/>
        <charset val="204"/>
      </rPr>
      <t>26</t>
    </r>
    <r>
      <rPr>
        <sz val="11"/>
        <color theme="1"/>
        <rFont val="Arial Narrow"/>
        <family val="2"/>
        <charset val="204"/>
      </rPr>
      <t xml:space="preserve"> шт.</t>
    </r>
  </si>
  <si>
    <t>Всього по розділу грн:</t>
  </si>
  <si>
    <t>Всього по комерційній пропозиції грн:</t>
  </si>
  <si>
    <t>Облицювання стін склом</t>
  </si>
  <si>
    <t>Облицювання стін елентами з плитки (декоративний ел. "КОСА")</t>
  </si>
  <si>
    <t>Грунт Siltek Uneversal E-100</t>
  </si>
  <si>
    <t>клей Siltek T-80  (для плитки на оштукатурену основу)</t>
  </si>
  <si>
    <t>клей Siltek T-80 (для плитки на ГК)</t>
  </si>
  <si>
    <t>клей Siltek T-80</t>
  </si>
  <si>
    <t>Всього, грн.
без ПДВ</t>
  </si>
  <si>
    <t>ТЕНДЕРНЕ ЗАВДАННЯ</t>
  </si>
  <si>
    <t>ЖК "Чикаго" за адресою: вул. Антоновича, 44 у м. Києві</t>
  </si>
  <si>
    <t>на виконання оздоблювальних робіт в МЗК на 3-5 поверхах</t>
  </si>
  <si>
    <t>на виконання оздоблювальних робіт на сходовій клітині СК-4 на 1-5 поверхах</t>
  </si>
  <si>
    <t xml:space="preserve">Ціна </t>
  </si>
  <si>
    <t xml:space="preserve">Вартість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</si>
</sst>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0_₴"/>
    <numFmt numFmtId="165" formatCode="#,##0.00_р_."/>
    <numFmt numFmtId="166" formatCode="#,##0.0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i/>
      <sz val="10"/>
      <name val="Arial"/>
      <family val="2"/>
      <charset val="204"/>
    </font>
    <font>
      <b/>
      <i/>
      <sz val="20"/>
      <name val="Arial"/>
      <family val="2"/>
      <charset val="204"/>
    </font>
    <font>
      <i/>
      <sz val="20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8"/>
      <name val="Arial"/>
      <family val="2"/>
      <charset val="204"/>
    </font>
    <font>
      <i/>
      <sz val="18"/>
      <name val="Arial"/>
      <family val="2"/>
      <charset val="204"/>
    </font>
    <font>
      <i/>
      <sz val="18"/>
      <color indexed="16"/>
      <name val="Arial"/>
      <family val="2"/>
      <charset val="204"/>
    </font>
    <font>
      <b/>
      <i/>
      <sz val="14"/>
      <name val="Arial"/>
      <family val="2"/>
      <charset val="204"/>
    </font>
    <font>
      <i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name val="Arial"/>
      <family val="2"/>
      <charset val="204"/>
    </font>
    <font>
      <b/>
      <i/>
      <sz val="16"/>
      <name val="Arial"/>
      <family val="2"/>
      <charset val="204"/>
    </font>
    <font>
      <strike/>
      <sz val="18"/>
      <color indexed="8"/>
      <name val="Arial"/>
      <family val="2"/>
      <charset val="204"/>
    </font>
    <font>
      <b/>
      <i/>
      <strike/>
      <sz val="20"/>
      <name val="Arial"/>
      <family val="2"/>
      <charset val="204"/>
    </font>
    <font>
      <b/>
      <strike/>
      <sz val="18"/>
      <color indexed="8"/>
      <name val="Arial"/>
      <family val="2"/>
      <charset val="204"/>
    </font>
    <font>
      <i/>
      <strike/>
      <sz val="2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b/>
      <i/>
      <sz val="20"/>
      <color rgb="FFFF0000"/>
      <name val="Arial"/>
      <family val="2"/>
      <charset val="204"/>
    </font>
    <font>
      <i/>
      <sz val="20"/>
      <color rgb="FFFF0000"/>
      <name val="Arial"/>
      <family val="2"/>
      <charset val="204"/>
    </font>
    <font>
      <b/>
      <i/>
      <sz val="18"/>
      <color rgb="FFFF0000"/>
      <name val="Arial"/>
      <family val="2"/>
      <charset val="204"/>
    </font>
    <font>
      <sz val="18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20"/>
      <color rgb="FFFF0000"/>
      <name val="Arial"/>
      <family val="2"/>
      <charset val="204"/>
    </font>
    <font>
      <i/>
      <u/>
      <sz val="18"/>
      <color rgb="FFFF0000"/>
      <name val="Arial"/>
      <family val="2"/>
      <charset val="204"/>
    </font>
    <font>
      <b/>
      <i/>
      <strike/>
      <sz val="20"/>
      <color rgb="FFFF0000"/>
      <name val="Arial"/>
      <family val="2"/>
      <charset val="204"/>
    </font>
    <font>
      <i/>
      <strike/>
      <sz val="20"/>
      <color rgb="FFFF0000"/>
      <name val="Arial"/>
      <family val="2"/>
      <charset val="204"/>
    </font>
    <font>
      <i/>
      <strike/>
      <sz val="18"/>
      <color rgb="FFFF0000"/>
      <name val="Arial"/>
      <family val="2"/>
      <charset val="204"/>
    </font>
    <font>
      <b/>
      <i/>
      <strike/>
      <sz val="18"/>
      <color rgb="FFFF0000"/>
      <name val="Arial"/>
      <family val="2"/>
      <charset val="204"/>
    </font>
    <font>
      <b/>
      <strike/>
      <sz val="18"/>
      <color rgb="FFFF0000"/>
      <name val="Arial"/>
      <family val="2"/>
      <charset val="204"/>
    </font>
    <font>
      <strike/>
      <sz val="18"/>
      <color rgb="FFFF0000"/>
      <name val="Arial"/>
      <family val="2"/>
      <charset val="204"/>
    </font>
    <font>
      <i/>
      <strike/>
      <sz val="10"/>
      <color rgb="FFFF0000"/>
      <name val="Arial"/>
      <family val="2"/>
      <charset val="204"/>
    </font>
    <font>
      <strike/>
      <sz val="2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Cyr"/>
      <charset val="204"/>
    </font>
    <font>
      <b/>
      <sz val="11"/>
      <color theme="1"/>
      <name val="Tahoma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9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wrapText="1"/>
    </xf>
    <xf numFmtId="0" fontId="22" fillId="4" borderId="6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0" fillId="4" borderId="0" xfId="0" applyFont="1" applyFill="1" applyBorder="1"/>
    <xf numFmtId="4" fontId="11" fillId="5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/>
    <xf numFmtId="4" fontId="10" fillId="2" borderId="1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9" fillId="5" borderId="1" xfId="0" applyNumberFormat="1" applyFont="1" applyFill="1" applyBorder="1" applyAlignment="1">
      <alignment horizontal="left" vertical="top" wrapText="1"/>
    </xf>
    <xf numFmtId="4" fontId="9" fillId="6" borderId="1" xfId="0" applyNumberFormat="1" applyFont="1" applyFill="1" applyBorder="1" applyAlignment="1">
      <alignment horizontal="center" vertical="top" wrapText="1"/>
    </xf>
    <xf numFmtId="2" fontId="23" fillId="4" borderId="6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24" fillId="0" borderId="0" xfId="0" applyFont="1" applyFill="1" applyBorder="1"/>
    <xf numFmtId="0" fontId="25" fillId="0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4" fontId="12" fillId="2" borderId="13" xfId="0" applyNumberFormat="1" applyFont="1" applyFill="1" applyBorder="1" applyAlignment="1">
      <alignment horizontal="left" vertical="center"/>
    </xf>
    <xf numFmtId="4" fontId="12" fillId="0" borderId="13" xfId="0" applyNumberFormat="1" applyFont="1" applyFill="1" applyBorder="1" applyAlignment="1">
      <alignment horizontal="left" vertical="center"/>
    </xf>
    <xf numFmtId="4" fontId="17" fillId="0" borderId="13" xfId="0" applyNumberFormat="1" applyFont="1" applyFill="1" applyBorder="1" applyAlignment="1">
      <alignment horizontal="left" vertical="center"/>
    </xf>
    <xf numFmtId="4" fontId="5" fillId="5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2" fontId="5" fillId="7" borderId="1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vertical="center" wrapText="1"/>
    </xf>
    <xf numFmtId="164" fontId="14" fillId="2" borderId="16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2" fontId="23" fillId="8" borderId="1" xfId="0" applyNumberFormat="1" applyFont="1" applyFill="1" applyBorder="1" applyAlignment="1">
      <alignment horizontal="center" vertical="center" wrapText="1"/>
    </xf>
    <xf numFmtId="2" fontId="23" fillId="7" borderId="1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164" fontId="29" fillId="2" borderId="16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4" fontId="32" fillId="0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3" fillId="4" borderId="6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6" fillId="5" borderId="1" xfId="0" applyNumberFormat="1" applyFont="1" applyFill="1" applyBorder="1" applyAlignment="1">
      <alignment horizontal="center" vertical="center" wrapText="1"/>
    </xf>
    <xf numFmtId="4" fontId="35" fillId="6" borderId="1" xfId="0" applyNumberFormat="1" applyFont="1" applyFill="1" applyBorder="1" applyAlignment="1">
      <alignment horizontal="center" vertical="center" wrapText="1"/>
    </xf>
    <xf numFmtId="2" fontId="35" fillId="3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4" borderId="1" xfId="0" applyNumberFormat="1" applyFont="1" applyFill="1" applyBorder="1" applyAlignment="1">
      <alignment horizontal="center" vertical="center" wrapText="1"/>
    </xf>
    <xf numFmtId="2" fontId="36" fillId="5" borderId="1" xfId="0" applyNumberFormat="1" applyFont="1" applyFill="1" applyBorder="1" applyAlignment="1">
      <alignment horizontal="center" vertical="center" wrapText="1"/>
    </xf>
    <xf numFmtId="2" fontId="35" fillId="6" borderId="1" xfId="0" applyNumberFormat="1" applyFont="1" applyFill="1" applyBorder="1" applyAlignment="1">
      <alignment horizontal="center" vertical="center" wrapText="1"/>
    </xf>
    <xf numFmtId="2" fontId="35" fillId="8" borderId="1" xfId="0" applyNumberFormat="1" applyFont="1" applyFill="1" applyBorder="1" applyAlignment="1">
      <alignment horizontal="center" vertical="center" wrapText="1"/>
    </xf>
    <xf numFmtId="2" fontId="35" fillId="7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4" fontId="37" fillId="2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2" fontId="19" fillId="6" borderId="13" xfId="0" applyNumberFormat="1" applyFont="1" applyFill="1" applyBorder="1" applyAlignment="1">
      <alignment horizontal="center" vertical="center"/>
    </xf>
    <xf numFmtId="4" fontId="19" fillId="6" borderId="13" xfId="0" applyNumberFormat="1" applyFont="1" applyFill="1" applyBorder="1" applyAlignment="1">
      <alignment horizontal="center" vertical="center"/>
    </xf>
    <xf numFmtId="164" fontId="20" fillId="2" borderId="16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vertical="center" wrapText="1"/>
    </xf>
    <xf numFmtId="4" fontId="42" fillId="3" borderId="19" xfId="0" applyNumberFormat="1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center" vertical="center" wrapText="1"/>
    </xf>
    <xf numFmtId="4" fontId="7" fillId="4" borderId="28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4" fontId="7" fillId="5" borderId="19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42" fillId="5" borderId="1" xfId="0" applyNumberFormat="1" applyFont="1" applyFill="1" applyBorder="1" applyAlignment="1">
      <alignment horizontal="left" vertical="top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wrapText="1"/>
    </xf>
    <xf numFmtId="0" fontId="44" fillId="0" borderId="5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42" fillId="7" borderId="15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4" fontId="7" fillId="7" borderId="30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4" fontId="7" fillId="4" borderId="2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4" fontId="42" fillId="0" borderId="1" xfId="0" applyNumberFormat="1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left" vertical="center" wrapText="1"/>
    </xf>
    <xf numFmtId="4" fontId="42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4" fontId="42" fillId="0" borderId="6" xfId="0" applyNumberFormat="1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46" fillId="0" borderId="32" xfId="0" applyFont="1" applyBorder="1" applyAlignment="1">
      <alignment horizontal="center" vertical="center"/>
    </xf>
    <xf numFmtId="165" fontId="46" fillId="0" borderId="33" xfId="0" applyNumberFormat="1" applyFont="1" applyFill="1" applyBorder="1" applyAlignment="1">
      <alignment horizontal="left" vertical="center" wrapText="1"/>
    </xf>
    <xf numFmtId="165" fontId="46" fillId="0" borderId="33" xfId="0" applyNumberFormat="1" applyFont="1" applyFill="1" applyBorder="1" applyAlignment="1">
      <alignment horizontal="center" vertical="center" wrapText="1"/>
    </xf>
    <xf numFmtId="4" fontId="46" fillId="0" borderId="33" xfId="2" applyNumberFormat="1" applyFont="1" applyFill="1" applyBorder="1" applyAlignment="1">
      <alignment horizontal="center" vertical="center" wrapText="1"/>
    </xf>
    <xf numFmtId="165" fontId="46" fillId="0" borderId="1" xfId="0" applyNumberFormat="1" applyFont="1" applyFill="1" applyBorder="1" applyAlignment="1">
      <alignment horizontal="left" vertical="center" wrapText="1"/>
    </xf>
    <xf numFmtId="165" fontId="46" fillId="0" borderId="1" xfId="0" applyNumberFormat="1" applyFont="1" applyFill="1" applyBorder="1" applyAlignment="1">
      <alignment horizontal="center" vertical="center" wrapText="1"/>
    </xf>
    <xf numFmtId="4" fontId="46" fillId="0" borderId="1" xfId="2" applyNumberFormat="1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46" fillId="0" borderId="2" xfId="0" applyFont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0" fillId="0" borderId="0" xfId="1" applyFont="1" applyFill="1" applyBorder="1" applyAlignment="1">
      <alignment horizontal="center" vertical="center"/>
    </xf>
    <xf numFmtId="0" fontId="50" fillId="0" borderId="0" xfId="0" applyFont="1" applyFill="1" applyBorder="1" applyAlignment="1"/>
    <xf numFmtId="4" fontId="49" fillId="0" borderId="16" xfId="0" applyNumberFormat="1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4" fontId="49" fillId="0" borderId="17" xfId="0" applyNumberFormat="1" applyFont="1" applyFill="1" applyBorder="1" applyAlignment="1">
      <alignment horizontal="center" vertical="center" wrapText="1"/>
    </xf>
    <xf numFmtId="49" fontId="51" fillId="4" borderId="4" xfId="0" applyNumberFormat="1" applyFont="1" applyFill="1" applyBorder="1" applyAlignment="1">
      <alignment horizontal="center" vertical="center"/>
    </xf>
    <xf numFmtId="0" fontId="52" fillId="4" borderId="19" xfId="0" applyFont="1" applyFill="1" applyBorder="1" applyAlignment="1">
      <alignment horizontal="right" vertical="center" wrapText="1"/>
    </xf>
    <xf numFmtId="0" fontId="52" fillId="4" borderId="1" xfId="0" applyFont="1" applyFill="1" applyBorder="1" applyAlignment="1">
      <alignment horizontal="center" vertical="center" wrapText="1"/>
    </xf>
    <xf numFmtId="4" fontId="52" fillId="4" borderId="36" xfId="0" applyNumberFormat="1" applyFont="1" applyFill="1" applyBorder="1" applyAlignment="1">
      <alignment horizontal="center" vertical="center" wrapText="1"/>
    </xf>
    <xf numFmtId="4" fontId="53" fillId="4" borderId="38" xfId="0" applyNumberFormat="1" applyFont="1" applyFill="1" applyBorder="1" applyAlignment="1">
      <alignment horizontal="center" vertical="center" wrapText="1"/>
    </xf>
    <xf numFmtId="4" fontId="52" fillId="4" borderId="38" xfId="0" applyNumberFormat="1" applyFont="1" applyFill="1" applyBorder="1" applyAlignment="1">
      <alignment horizontal="center" vertical="center" wrapText="1"/>
    </xf>
    <xf numFmtId="4" fontId="52" fillId="4" borderId="19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/>
    <xf numFmtId="0" fontId="52" fillId="4" borderId="19" xfId="0" applyFont="1" applyFill="1" applyBorder="1" applyAlignment="1">
      <alignment vertical="center" wrapText="1"/>
    </xf>
    <xf numFmtId="0" fontId="53" fillId="4" borderId="19" xfId="0" applyFont="1" applyFill="1" applyBorder="1" applyAlignment="1">
      <alignment vertical="center" wrapText="1"/>
    </xf>
    <xf numFmtId="0" fontId="53" fillId="4" borderId="1" xfId="0" applyFont="1" applyFill="1" applyBorder="1" applyAlignment="1">
      <alignment horizontal="center" vertical="center" wrapText="1"/>
    </xf>
    <xf numFmtId="4" fontId="53" fillId="4" borderId="36" xfId="0" applyNumberFormat="1" applyFont="1" applyFill="1" applyBorder="1" applyAlignment="1">
      <alignment horizontal="center" vertical="center" wrapText="1"/>
    </xf>
    <xf numFmtId="0" fontId="53" fillId="4" borderId="19" xfId="0" applyFont="1" applyFill="1" applyBorder="1" applyAlignment="1">
      <alignment horizontal="right" vertical="center" wrapText="1"/>
    </xf>
    <xf numFmtId="4" fontId="53" fillId="4" borderId="36" xfId="2" applyNumberFormat="1" applyFont="1" applyFill="1" applyBorder="1" applyAlignment="1">
      <alignment horizontal="center" vertical="center" wrapText="1"/>
    </xf>
    <xf numFmtId="4" fontId="53" fillId="4" borderId="19" xfId="2" applyNumberFormat="1" applyFont="1" applyFill="1" applyBorder="1" applyAlignment="1">
      <alignment horizontal="center" vertical="center" wrapText="1"/>
    </xf>
    <xf numFmtId="0" fontId="53" fillId="4" borderId="19" xfId="0" applyFont="1" applyFill="1" applyBorder="1" applyAlignment="1">
      <alignment horizontal="left" vertical="center" wrapText="1"/>
    </xf>
    <xf numFmtId="3" fontId="53" fillId="4" borderId="36" xfId="0" applyNumberFormat="1" applyFont="1" applyFill="1" applyBorder="1" applyAlignment="1">
      <alignment horizontal="center" vertical="center" wrapText="1"/>
    </xf>
    <xf numFmtId="4" fontId="53" fillId="4" borderId="38" xfId="0" applyNumberFormat="1" applyFont="1" applyFill="1" applyBorder="1" applyAlignment="1">
      <alignment horizontal="center" vertical="justify" wrapText="1"/>
    </xf>
    <xf numFmtId="4" fontId="53" fillId="4" borderId="36" xfId="0" applyNumberFormat="1" applyFont="1" applyFill="1" applyBorder="1" applyAlignment="1">
      <alignment horizontal="center" vertical="justify" wrapText="1"/>
    </xf>
    <xf numFmtId="4" fontId="53" fillId="4" borderId="36" xfId="2" applyNumberFormat="1" applyFont="1" applyFill="1" applyBorder="1" applyAlignment="1">
      <alignment horizontal="center" vertical="justify" wrapText="1"/>
    </xf>
    <xf numFmtId="4" fontId="53" fillId="4" borderId="19" xfId="2" applyNumberFormat="1" applyFont="1" applyFill="1" applyBorder="1" applyAlignment="1">
      <alignment horizontal="center" vertical="justify" wrapText="1"/>
    </xf>
    <xf numFmtId="0" fontId="53" fillId="4" borderId="19" xfId="0" applyFont="1" applyFill="1" applyBorder="1" applyAlignment="1">
      <alignment horizontal="left" vertical="top" wrapText="1"/>
    </xf>
    <xf numFmtId="0" fontId="53" fillId="4" borderId="1" xfId="0" applyFont="1" applyFill="1" applyBorder="1" applyAlignment="1">
      <alignment horizontal="center" vertical="justify" wrapText="1"/>
    </xf>
    <xf numFmtId="0" fontId="53" fillId="4" borderId="1" xfId="0" applyFont="1" applyFill="1" applyBorder="1" applyAlignment="1">
      <alignment horizontal="right" vertical="justify" wrapText="1"/>
    </xf>
    <xf numFmtId="166" fontId="53" fillId="4" borderId="1" xfId="0" applyNumberFormat="1" applyFont="1" applyFill="1" applyBorder="1" applyAlignment="1">
      <alignment horizontal="center" vertical="justify" wrapText="1"/>
    </xf>
    <xf numFmtId="3" fontId="53" fillId="4" borderId="1" xfId="0" applyNumberFormat="1" applyFont="1" applyFill="1" applyBorder="1" applyAlignment="1">
      <alignment horizontal="center" vertical="justify" wrapText="1"/>
    </xf>
    <xf numFmtId="4" fontId="53" fillId="4" borderId="1" xfId="0" applyNumberFormat="1" applyFont="1" applyFill="1" applyBorder="1" applyAlignment="1">
      <alignment horizontal="center" vertical="justify" wrapText="1"/>
    </xf>
    <xf numFmtId="0" fontId="53" fillId="4" borderId="19" xfId="0" applyFont="1" applyFill="1" applyBorder="1" applyAlignment="1">
      <alignment horizontal="right" vertical="justify" wrapText="1"/>
    </xf>
    <xf numFmtId="3" fontId="53" fillId="4" borderId="36" xfId="0" applyNumberFormat="1" applyFont="1" applyFill="1" applyBorder="1" applyAlignment="1">
      <alignment horizontal="center" vertical="justify" wrapText="1"/>
    </xf>
    <xf numFmtId="4" fontId="52" fillId="4" borderId="36" xfId="0" applyNumberFormat="1" applyFont="1" applyFill="1" applyBorder="1" applyAlignment="1">
      <alignment horizontal="center" vertical="justify" wrapText="1"/>
    </xf>
    <xf numFmtId="49" fontId="48" fillId="3" borderId="37" xfId="0" applyNumberFormat="1" applyFont="1" applyFill="1" applyBorder="1" applyAlignment="1">
      <alignment horizontal="center" vertical="center" wrapText="1"/>
    </xf>
    <xf numFmtId="49" fontId="47" fillId="3" borderId="35" xfId="0" applyNumberFormat="1" applyFont="1" applyFill="1" applyBorder="1" applyAlignment="1">
      <alignment horizontal="center" vertical="center" wrapText="1"/>
    </xf>
    <xf numFmtId="49" fontId="48" fillId="3" borderId="35" xfId="0" applyNumberFormat="1" applyFont="1" applyFill="1" applyBorder="1" applyAlignment="1">
      <alignment horizontal="center" vertical="center" wrapText="1"/>
    </xf>
    <xf numFmtId="49" fontId="48" fillId="3" borderId="35" xfId="0" applyNumberFormat="1" applyFont="1" applyFill="1" applyBorder="1" applyAlignment="1">
      <alignment vertical="center" wrapText="1"/>
    </xf>
    <xf numFmtId="0" fontId="0" fillId="3" borderId="1" xfId="0" applyFill="1" applyBorder="1"/>
    <xf numFmtId="49" fontId="51" fillId="3" borderId="4" xfId="0" applyNumberFormat="1" applyFont="1" applyFill="1" applyBorder="1" applyAlignment="1">
      <alignment horizontal="center" vertical="center"/>
    </xf>
    <xf numFmtId="49" fontId="55" fillId="3" borderId="35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4" fontId="53" fillId="3" borderId="36" xfId="0" applyNumberFormat="1" applyFont="1" applyFill="1" applyBorder="1" applyAlignment="1">
      <alignment horizontal="center" vertical="center" wrapText="1"/>
    </xf>
    <xf numFmtId="4" fontId="53" fillId="3" borderId="38" xfId="0" applyNumberFormat="1" applyFont="1" applyFill="1" applyBorder="1" applyAlignment="1">
      <alignment horizontal="center" vertical="center" wrapText="1"/>
    </xf>
    <xf numFmtId="4" fontId="53" fillId="3" borderId="36" xfId="2" applyNumberFormat="1" applyFont="1" applyFill="1" applyBorder="1" applyAlignment="1">
      <alignment horizontal="center" vertical="center" wrapText="1"/>
    </xf>
    <xf numFmtId="4" fontId="53" fillId="3" borderId="19" xfId="2" applyNumberFormat="1" applyFont="1" applyFill="1" applyBorder="1" applyAlignment="1">
      <alignment horizontal="center" vertical="center" wrapText="1"/>
    </xf>
    <xf numFmtId="0" fontId="54" fillId="3" borderId="1" xfId="0" applyFont="1" applyFill="1" applyBorder="1"/>
    <xf numFmtId="3" fontId="53" fillId="3" borderId="36" xfId="0" applyNumberFormat="1" applyFont="1" applyFill="1" applyBorder="1" applyAlignment="1">
      <alignment horizontal="center" vertical="justify" wrapText="1"/>
    </xf>
    <xf numFmtId="0" fontId="0" fillId="9" borderId="10" xfId="0" applyFill="1" applyBorder="1"/>
    <xf numFmtId="0" fontId="57" fillId="9" borderId="10" xfId="0" applyFont="1" applyFill="1" applyBorder="1" applyAlignment="1">
      <alignment horizontal="right"/>
    </xf>
    <xf numFmtId="49" fontId="51" fillId="9" borderId="4" xfId="0" applyNumberFormat="1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right" vertical="top" wrapText="1"/>
    </xf>
    <xf numFmtId="0" fontId="53" fillId="9" borderId="1" xfId="0" applyFont="1" applyFill="1" applyBorder="1" applyAlignment="1">
      <alignment horizontal="center" vertical="justify" wrapText="1"/>
    </xf>
    <xf numFmtId="4" fontId="53" fillId="9" borderId="36" xfId="0" applyNumberFormat="1" applyFont="1" applyFill="1" applyBorder="1" applyAlignment="1">
      <alignment horizontal="center" vertical="center" wrapText="1"/>
    </xf>
    <xf numFmtId="4" fontId="53" fillId="9" borderId="38" xfId="0" applyNumberFormat="1" applyFont="1" applyFill="1" applyBorder="1" applyAlignment="1">
      <alignment horizontal="center" vertical="center" wrapText="1"/>
    </xf>
    <xf numFmtId="4" fontId="53" fillId="9" borderId="36" xfId="2" applyNumberFormat="1" applyFont="1" applyFill="1" applyBorder="1" applyAlignment="1">
      <alignment horizontal="center" vertical="center" wrapText="1"/>
    </xf>
    <xf numFmtId="4" fontId="53" fillId="9" borderId="19" xfId="2" applyNumberFormat="1" applyFont="1" applyFill="1" applyBorder="1" applyAlignment="1">
      <alignment horizontal="center" vertical="center" wrapText="1"/>
    </xf>
    <xf numFmtId="0" fontId="54" fillId="9" borderId="1" xfId="0" applyFont="1" applyFill="1" applyBorder="1"/>
    <xf numFmtId="0" fontId="56" fillId="9" borderId="35" xfId="0" applyFont="1" applyFill="1" applyBorder="1" applyAlignment="1">
      <alignment horizontal="right" vertical="center" wrapText="1"/>
    </xf>
    <xf numFmtId="0" fontId="53" fillId="9" borderId="1" xfId="0" applyFont="1" applyFill="1" applyBorder="1" applyAlignment="1">
      <alignment horizontal="center" vertical="center" wrapText="1"/>
    </xf>
    <xf numFmtId="0" fontId="53" fillId="4" borderId="29" xfId="0" applyFont="1" applyFill="1" applyBorder="1" applyAlignment="1">
      <alignment vertical="center" wrapText="1"/>
    </xf>
    <xf numFmtId="0" fontId="52" fillId="4" borderId="29" xfId="0" applyFont="1" applyFill="1" applyBorder="1" applyAlignment="1">
      <alignment horizontal="left" vertical="center" wrapText="1"/>
    </xf>
    <xf numFmtId="0" fontId="53" fillId="4" borderId="28" xfId="0" applyFont="1" applyFill="1" applyBorder="1" applyAlignment="1">
      <alignment horizontal="left" vertical="center" wrapText="1"/>
    </xf>
    <xf numFmtId="0" fontId="52" fillId="4" borderId="19" xfId="0" applyFont="1" applyFill="1" applyBorder="1" applyAlignment="1">
      <alignment horizontal="left" vertical="justify" wrapText="1"/>
    </xf>
    <xf numFmtId="4" fontId="43" fillId="0" borderId="0" xfId="0" applyNumberFormat="1" applyFont="1" applyFill="1" applyBorder="1" applyAlignment="1">
      <alignment horizontal="center" vertical="center" wrapText="1"/>
    </xf>
    <xf numFmtId="3" fontId="53" fillId="4" borderId="38" xfId="0" applyNumberFormat="1" applyFont="1" applyFill="1" applyBorder="1" applyAlignment="1">
      <alignment horizontal="center" vertical="center" wrapText="1"/>
    </xf>
    <xf numFmtId="166" fontId="53" fillId="4" borderId="6" xfId="0" applyNumberFormat="1" applyFont="1" applyFill="1" applyBorder="1" applyAlignment="1">
      <alignment horizontal="center" vertical="justify" wrapText="1"/>
    </xf>
    <xf numFmtId="3" fontId="53" fillId="4" borderId="6" xfId="0" applyNumberFormat="1" applyFont="1" applyFill="1" applyBorder="1" applyAlignment="1">
      <alignment horizontal="center" vertical="justify" wrapText="1"/>
    </xf>
    <xf numFmtId="4" fontId="53" fillId="4" borderId="6" xfId="0" applyNumberFormat="1" applyFont="1" applyFill="1" applyBorder="1" applyAlignment="1">
      <alignment horizontal="center" vertical="justify" wrapText="1"/>
    </xf>
    <xf numFmtId="3" fontId="53" fillId="4" borderId="38" xfId="0" applyNumberFormat="1" applyFont="1" applyFill="1" applyBorder="1" applyAlignment="1">
      <alignment horizontal="center" vertical="justify" wrapText="1"/>
    </xf>
    <xf numFmtId="3" fontId="53" fillId="3" borderId="38" xfId="0" applyNumberFormat="1" applyFont="1" applyFill="1" applyBorder="1" applyAlignment="1">
      <alignment horizontal="center" vertical="justify" wrapText="1"/>
    </xf>
    <xf numFmtId="4" fontId="52" fillId="4" borderId="38" xfId="0" applyNumberFormat="1" applyFont="1" applyFill="1" applyBorder="1" applyAlignment="1">
      <alignment horizontal="center" vertical="justify" wrapText="1"/>
    </xf>
    <xf numFmtId="4" fontId="42" fillId="10" borderId="21" xfId="0" applyNumberFormat="1" applyFont="1" applyFill="1" applyBorder="1" applyAlignment="1">
      <alignment horizontal="center" vertical="center" wrapText="1"/>
    </xf>
    <xf numFmtId="4" fontId="49" fillId="10" borderId="25" xfId="0" applyNumberFormat="1" applyFont="1" applyFill="1" applyBorder="1" applyAlignment="1">
      <alignment horizontal="center" vertical="center" wrapText="1"/>
    </xf>
    <xf numFmtId="4" fontId="49" fillId="10" borderId="16" xfId="0" applyNumberFormat="1" applyFont="1" applyFill="1" applyBorder="1" applyAlignment="1">
      <alignment horizontal="center" vertical="center" wrapText="1"/>
    </xf>
    <xf numFmtId="4" fontId="52" fillId="6" borderId="38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wrapText="1"/>
    </xf>
    <xf numFmtId="164" fontId="45" fillId="0" borderId="16" xfId="0" applyNumberFormat="1" applyFont="1" applyFill="1" applyBorder="1" applyAlignment="1">
      <alignment horizontal="center" vertical="center" wrapText="1"/>
    </xf>
    <xf numFmtId="4" fontId="45" fillId="0" borderId="16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/>
    </xf>
    <xf numFmtId="4" fontId="61" fillId="0" borderId="21" xfId="0" applyNumberFormat="1" applyFont="1" applyFill="1" applyBorder="1" applyAlignment="1">
      <alignment horizontal="center" vertical="center"/>
    </xf>
    <xf numFmtId="4" fontId="43" fillId="7" borderId="16" xfId="0" applyNumberFormat="1" applyFont="1" applyFill="1" applyBorder="1" applyAlignment="1">
      <alignment horizontal="center" vertical="center"/>
    </xf>
    <xf numFmtId="4" fontId="60" fillId="7" borderId="21" xfId="0" applyNumberFormat="1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" fontId="42" fillId="0" borderId="25" xfId="0" applyNumberFormat="1" applyFont="1" applyFill="1" applyBorder="1" applyAlignment="1">
      <alignment horizontal="center" vertical="center" wrapText="1"/>
    </xf>
    <xf numFmtId="4" fontId="43" fillId="5" borderId="1" xfId="0" applyNumberFormat="1" applyFont="1" applyFill="1" applyBorder="1" applyAlignment="1">
      <alignment horizontal="center" vertical="center"/>
    </xf>
    <xf numFmtId="4" fontId="46" fillId="4" borderId="33" xfId="2" applyNumberFormat="1" applyFont="1" applyFill="1" applyBorder="1" applyAlignment="1">
      <alignment horizontal="center" vertical="center" wrapText="1"/>
    </xf>
    <xf numFmtId="4" fontId="46" fillId="4" borderId="1" xfId="2" applyNumberFormat="1" applyFont="1" applyFill="1" applyBorder="1" applyAlignment="1">
      <alignment horizontal="center" vertical="center" wrapText="1"/>
    </xf>
    <xf numFmtId="0" fontId="42" fillId="0" borderId="2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2" fontId="54" fillId="4" borderId="1" xfId="0" applyNumberFormat="1" applyFont="1" applyFill="1" applyBorder="1" applyAlignment="1">
      <alignment horizontal="center"/>
    </xf>
    <xf numFmtId="2" fontId="54" fillId="3" borderId="1" xfId="0" applyNumberFormat="1" applyFont="1" applyFill="1" applyBorder="1" applyAlignment="1">
      <alignment horizontal="center"/>
    </xf>
    <xf numFmtId="2" fontId="62" fillId="9" borderId="1" xfId="0" applyNumberFormat="1" applyFont="1" applyFill="1" applyBorder="1" applyAlignment="1">
      <alignment horizontal="center"/>
    </xf>
    <xf numFmtId="2" fontId="57" fillId="9" borderId="1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57" fillId="0" borderId="21" xfId="0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2" fontId="57" fillId="0" borderId="24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59" fillId="0" borderId="0" xfId="0" applyFont="1" applyAlignment="1">
      <alignment horizontal="left"/>
    </xf>
    <xf numFmtId="0" fontId="17" fillId="0" borderId="0" xfId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53" fillId="4" borderId="10" xfId="0" applyFont="1" applyFill="1" applyBorder="1" applyAlignment="1">
      <alignment horizontal="left" vertical="center" wrapText="1"/>
    </xf>
    <xf numFmtId="0" fontId="53" fillId="4" borderId="6" xfId="0" applyFont="1" applyFill="1" applyBorder="1" applyAlignment="1">
      <alignment horizontal="left" vertical="center" wrapText="1"/>
    </xf>
    <xf numFmtId="0" fontId="58" fillId="0" borderId="0" xfId="1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4" fontId="49" fillId="0" borderId="21" xfId="0" applyNumberFormat="1" applyFont="1" applyFill="1" applyBorder="1" applyAlignment="1">
      <alignment horizontal="center" vertical="center" wrapText="1"/>
    </xf>
    <xf numFmtId="4" fontId="49" fillId="0" borderId="16" xfId="0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top"/>
    </xf>
    <xf numFmtId="0" fontId="49" fillId="0" borderId="24" xfId="0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top"/>
    </xf>
    <xf numFmtId="0" fontId="5" fillId="0" borderId="26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26" fillId="0" borderId="1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3">
    <cellStyle name="Обычный" xfId="0" builtinId="0"/>
    <cellStyle name="Обычный_Берлинского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/Downloads/&#1044;&#1062;___&#1076;&#1080;&#1079;&#1072;&#1081;&#1085;%20&#1052;&#1054;&#1055;___3,4,5%20&#1087;&#1086;&#1074;____&#1079;&#1072;&#1075;&#1086;&#1090;&#1086;&#1074;&#1082;&#1072;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Ц демонтаж"/>
      <sheetName val="ДЦ загальнобудівельні"/>
      <sheetName val="ДЦ опорядження"/>
      <sheetName val="Обєми"/>
      <sheetName val="Двері"/>
      <sheetName val="Опорядження стін"/>
      <sheetName val="ЕМ"/>
    </sheetNames>
    <sheetDataSet>
      <sheetData sheetId="0" refreshError="1"/>
      <sheetData sheetId="1" refreshError="1"/>
      <sheetData sheetId="2" refreshError="1"/>
      <sheetData sheetId="3" refreshError="1">
        <row r="8">
          <cell r="L8">
            <v>1019.802</v>
          </cell>
        </row>
        <row r="29">
          <cell r="L29">
            <v>56.345680000000002</v>
          </cell>
        </row>
      </sheetData>
      <sheetData sheetId="4" refreshError="1">
        <row r="29">
          <cell r="J29">
            <v>14.965</v>
          </cell>
          <cell r="S29">
            <v>15.047000000000001</v>
          </cell>
        </row>
        <row r="30">
          <cell r="AB30">
            <v>19.474999999999998</v>
          </cell>
        </row>
      </sheetData>
      <sheetData sheetId="5" refreshError="1">
        <row r="5">
          <cell r="Y5">
            <v>615.91</v>
          </cell>
        </row>
        <row r="6">
          <cell r="Y6">
            <v>223.4</v>
          </cell>
        </row>
        <row r="7">
          <cell r="Y7">
            <v>60.68</v>
          </cell>
        </row>
        <row r="8">
          <cell r="Y8">
            <v>191</v>
          </cell>
        </row>
        <row r="9">
          <cell r="Y9">
            <v>11.335000000000001</v>
          </cell>
        </row>
        <row r="10">
          <cell r="Y10">
            <v>1.125</v>
          </cell>
        </row>
        <row r="11">
          <cell r="Y11">
            <v>15.552</v>
          </cell>
        </row>
        <row r="16">
          <cell r="Y16">
            <v>35.6</v>
          </cell>
        </row>
        <row r="17">
          <cell r="Y17">
            <v>35.4</v>
          </cell>
        </row>
        <row r="18">
          <cell r="Y18">
            <v>16.649999999999999</v>
          </cell>
        </row>
        <row r="19">
          <cell r="Y19">
            <v>16.61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U140"/>
  <sheetViews>
    <sheetView tabSelected="1" zoomScale="70" zoomScaleNormal="70" zoomScaleSheetLayoutView="56" workbookViewId="0" xr3:uid="{AEA406A1-0E4B-5B11-9CD5-51D6E497D94C}">
      <pane ySplit="4" topLeftCell="A5" activePane="bottomLeft" state="frozen"/>
      <selection pane="bottomLeft" activeCell="A2" sqref="A2:I2"/>
    </sheetView>
  </sheetViews>
  <sheetFormatPr defaultColWidth="9.16796875" defaultRowHeight="12.75" x14ac:dyDescent="0.15"/>
  <cols>
    <col min="1" max="1" width="8.62890625" style="1" customWidth="1"/>
    <col min="2" max="2" width="58.66015625" style="2" customWidth="1"/>
    <col min="3" max="3" width="13.75390625" style="3" customWidth="1"/>
    <col min="4" max="5" width="16.5859375" style="252" customWidth="1"/>
    <col min="6" max="6" width="15.91015625" style="252" customWidth="1"/>
    <col min="7" max="7" width="33.98046875" style="3" bestFit="1" customWidth="1"/>
    <col min="8" max="8" width="17.2578125" style="252" customWidth="1"/>
    <col min="9" max="9" width="19.01171875" style="252" customWidth="1"/>
    <col min="10" max="224" width="9.16796875" style="1" customWidth="1"/>
    <col min="225" max="225" width="4.1796875" style="1" customWidth="1"/>
    <col min="226" max="226" width="37.21875" style="1" customWidth="1"/>
    <col min="227" max="227" width="5.12109375" style="1" customWidth="1"/>
    <col min="228" max="228" width="6.60546875" style="1" customWidth="1"/>
    <col min="229" max="16384" width="9.16796875" style="1"/>
  </cols>
  <sheetData>
    <row r="1" spans="1:229" ht="17.25" customHeight="1" x14ac:dyDescent="0.2">
      <c r="A1" s="461"/>
      <c r="B1" s="461"/>
      <c r="C1" s="461"/>
      <c r="D1" s="461"/>
      <c r="E1" s="461"/>
      <c r="F1" s="461"/>
      <c r="G1" s="462"/>
      <c r="H1" s="462"/>
      <c r="I1" s="46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</row>
    <row r="2" spans="1:229" s="18" customFormat="1" ht="17.25" customHeight="1" x14ac:dyDescent="0.15">
      <c r="A2" s="463" t="s">
        <v>309</v>
      </c>
      <c r="B2" s="463"/>
      <c r="C2" s="463"/>
      <c r="D2" s="463"/>
      <c r="E2" s="463"/>
      <c r="F2" s="463"/>
      <c r="G2" s="463"/>
      <c r="H2" s="463"/>
      <c r="I2" s="46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</row>
    <row r="3" spans="1:229" s="18" customFormat="1" ht="17.25" customHeight="1" thickBot="1" x14ac:dyDescent="0.2">
      <c r="A3" s="463" t="s">
        <v>312</v>
      </c>
      <c r="B3" s="463"/>
      <c r="C3" s="463"/>
      <c r="D3" s="463"/>
      <c r="E3" s="463"/>
      <c r="F3" s="463"/>
      <c r="G3" s="463"/>
      <c r="H3" s="463"/>
      <c r="I3" s="463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</row>
    <row r="4" spans="1:229" s="351" customFormat="1" ht="55.5" customHeight="1" x14ac:dyDescent="0.15">
      <c r="A4" s="441" t="s">
        <v>1</v>
      </c>
      <c r="B4" s="442" t="s">
        <v>13</v>
      </c>
      <c r="C4" s="442" t="s">
        <v>14</v>
      </c>
      <c r="D4" s="444" t="s">
        <v>15</v>
      </c>
      <c r="E4" s="425" t="s">
        <v>313</v>
      </c>
      <c r="F4" s="440" t="s">
        <v>28</v>
      </c>
      <c r="G4" s="448" t="s">
        <v>168</v>
      </c>
      <c r="H4" s="443" t="s">
        <v>14</v>
      </c>
      <c r="I4" s="254" t="s">
        <v>15</v>
      </c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449"/>
      <c r="CD4" s="449"/>
      <c r="CE4" s="449"/>
      <c r="CF4" s="449"/>
      <c r="CG4" s="449"/>
      <c r="CH4" s="449"/>
      <c r="CI4" s="449"/>
      <c r="CJ4" s="449"/>
      <c r="CK4" s="449"/>
      <c r="CL4" s="449"/>
      <c r="CM4" s="449"/>
      <c r="CN4" s="449"/>
      <c r="CO4" s="449"/>
      <c r="CP4" s="449"/>
      <c r="CQ4" s="449"/>
      <c r="CR4" s="449"/>
      <c r="CS4" s="449"/>
      <c r="CT4" s="449"/>
      <c r="CU4" s="449"/>
      <c r="CV4" s="449"/>
      <c r="CW4" s="449"/>
      <c r="CX4" s="449"/>
      <c r="CY4" s="449"/>
      <c r="CZ4" s="449"/>
      <c r="DA4" s="449"/>
      <c r="DB4" s="449"/>
      <c r="DC4" s="449"/>
      <c r="DD4" s="449"/>
      <c r="DE4" s="449"/>
      <c r="DF4" s="449"/>
      <c r="DG4" s="449"/>
      <c r="DH4" s="449"/>
      <c r="DI4" s="449"/>
      <c r="DJ4" s="449"/>
      <c r="DK4" s="449"/>
      <c r="DL4" s="449"/>
      <c r="DM4" s="449"/>
      <c r="DN4" s="449"/>
      <c r="DO4" s="449"/>
      <c r="DP4" s="449"/>
      <c r="DQ4" s="449"/>
      <c r="DR4" s="449"/>
      <c r="DS4" s="449"/>
      <c r="DT4" s="449"/>
      <c r="DU4" s="449"/>
      <c r="DV4" s="449"/>
      <c r="DW4" s="449"/>
      <c r="DX4" s="449"/>
      <c r="DY4" s="449"/>
      <c r="DZ4" s="449"/>
      <c r="EA4" s="449"/>
      <c r="EB4" s="449"/>
      <c r="EC4" s="449"/>
      <c r="ED4" s="449"/>
      <c r="EE4" s="449"/>
      <c r="EF4" s="449"/>
      <c r="EG4" s="449"/>
      <c r="EH4" s="449"/>
      <c r="EI4" s="449"/>
      <c r="EJ4" s="449"/>
      <c r="EK4" s="449"/>
      <c r="EL4" s="449"/>
      <c r="EM4" s="449"/>
      <c r="EN4" s="449"/>
      <c r="EO4" s="449"/>
      <c r="EP4" s="449"/>
      <c r="EQ4" s="449"/>
      <c r="ER4" s="449"/>
      <c r="ES4" s="449"/>
      <c r="ET4" s="449"/>
      <c r="EU4" s="449"/>
      <c r="EV4" s="449"/>
      <c r="EW4" s="449"/>
      <c r="EX4" s="449"/>
      <c r="EY4" s="449"/>
      <c r="EZ4" s="449"/>
      <c r="FA4" s="449"/>
      <c r="FB4" s="449"/>
      <c r="FC4" s="449"/>
      <c r="FD4" s="449"/>
      <c r="FE4" s="449"/>
      <c r="FF4" s="449"/>
      <c r="FG4" s="449"/>
      <c r="FH4" s="449"/>
      <c r="FI4" s="449"/>
      <c r="FJ4" s="449"/>
      <c r="FK4" s="449"/>
      <c r="FL4" s="449"/>
      <c r="FM4" s="449"/>
      <c r="FN4" s="449"/>
      <c r="FO4" s="449"/>
      <c r="FP4" s="449"/>
      <c r="FQ4" s="449"/>
      <c r="FR4" s="449"/>
      <c r="FS4" s="449"/>
      <c r="FT4" s="449"/>
      <c r="FU4" s="449"/>
      <c r="FV4" s="449"/>
      <c r="FW4" s="449"/>
      <c r="FX4" s="449"/>
      <c r="FY4" s="449"/>
      <c r="FZ4" s="449"/>
      <c r="GA4" s="449"/>
      <c r="GB4" s="449"/>
      <c r="GC4" s="449"/>
      <c r="GD4" s="449"/>
      <c r="GE4" s="449"/>
      <c r="GF4" s="449"/>
      <c r="GG4" s="449"/>
      <c r="GH4" s="449"/>
      <c r="GI4" s="449"/>
      <c r="GJ4" s="449"/>
      <c r="GK4" s="449"/>
      <c r="GL4" s="449"/>
      <c r="GM4" s="449"/>
      <c r="GN4" s="449"/>
      <c r="GO4" s="449"/>
      <c r="GP4" s="449"/>
      <c r="GQ4" s="449"/>
      <c r="GR4" s="449"/>
      <c r="GS4" s="449"/>
      <c r="GT4" s="449"/>
      <c r="GU4" s="449"/>
      <c r="GV4" s="449"/>
      <c r="GW4" s="449"/>
      <c r="GX4" s="449"/>
      <c r="GY4" s="449"/>
      <c r="GZ4" s="449"/>
      <c r="HA4" s="449"/>
      <c r="HB4" s="449"/>
      <c r="HC4" s="449"/>
      <c r="HD4" s="449"/>
      <c r="HE4" s="449"/>
      <c r="HF4" s="449"/>
      <c r="HG4" s="449"/>
      <c r="HH4" s="449"/>
      <c r="HI4" s="449"/>
      <c r="HJ4" s="449"/>
      <c r="HK4" s="449"/>
      <c r="HL4" s="449"/>
      <c r="HM4" s="449"/>
      <c r="HN4" s="449"/>
      <c r="HO4" s="449"/>
      <c r="HP4" s="449"/>
      <c r="HQ4" s="449"/>
      <c r="HR4" s="449"/>
      <c r="HS4" s="449"/>
      <c r="HT4" s="449"/>
      <c r="HU4" s="449"/>
    </row>
    <row r="5" spans="1:229" ht="14.25" x14ac:dyDescent="0.15">
      <c r="A5" s="255"/>
      <c r="B5" s="256" t="s">
        <v>176</v>
      </c>
      <c r="C5" s="257"/>
      <c r="D5" s="258"/>
      <c r="E5" s="258"/>
      <c r="F5" s="432"/>
      <c r="G5" s="259"/>
      <c r="H5" s="260"/>
      <c r="I5" s="261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</row>
    <row r="6" spans="1:229" ht="28.5" x14ac:dyDescent="0.15">
      <c r="A6" s="264">
        <v>1</v>
      </c>
      <c r="B6" s="271" t="s">
        <v>232</v>
      </c>
      <c r="C6" s="266" t="s">
        <v>173</v>
      </c>
      <c r="D6" s="275">
        <f>((2.125*3.38)+(2.125*4.45))*0.25</f>
        <v>4.1596875000000004</v>
      </c>
      <c r="E6" s="275">
        <v>150</v>
      </c>
      <c r="F6" s="431">
        <f>D6*E6</f>
        <v>623.95312500000011</v>
      </c>
      <c r="G6" s="269"/>
      <c r="H6" s="263"/>
      <c r="I6" s="26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</row>
    <row r="7" spans="1:229" ht="28.5" x14ac:dyDescent="0.15">
      <c r="A7" s="264">
        <v>2</v>
      </c>
      <c r="B7" s="271" t="s">
        <v>235</v>
      </c>
      <c r="C7" s="266" t="s">
        <v>121</v>
      </c>
      <c r="D7" s="275">
        <v>2</v>
      </c>
      <c r="E7" s="275">
        <v>50</v>
      </c>
      <c r="F7" s="431">
        <f t="shared" ref="F7:F65" si="0">D7*E7</f>
        <v>100</v>
      </c>
      <c r="G7" s="318" t="s">
        <v>233</v>
      </c>
      <c r="H7" s="254" t="s">
        <v>67</v>
      </c>
      <c r="I7" s="254">
        <v>0.2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</row>
    <row r="8" spans="1:229" ht="14.25" x14ac:dyDescent="0.15">
      <c r="A8" s="264"/>
      <c r="B8" s="271"/>
      <c r="C8" s="266"/>
      <c r="D8" s="275"/>
      <c r="E8" s="275"/>
      <c r="F8" s="431"/>
      <c r="G8" s="318" t="s">
        <v>175</v>
      </c>
      <c r="H8" s="254" t="s">
        <v>173</v>
      </c>
      <c r="I8" s="254">
        <v>0.5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</row>
    <row r="9" spans="1:229" ht="28.5" x14ac:dyDescent="0.15">
      <c r="A9" s="264"/>
      <c r="B9" s="271"/>
      <c r="C9" s="266"/>
      <c r="D9" s="275"/>
      <c r="E9" s="275"/>
      <c r="F9" s="431"/>
      <c r="G9" s="269" t="s">
        <v>174</v>
      </c>
      <c r="H9" s="263" t="s">
        <v>2</v>
      </c>
      <c r="I9" s="263">
        <v>125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</row>
    <row r="10" spans="1:229" ht="14.25" x14ac:dyDescent="0.15">
      <c r="A10" s="264"/>
      <c r="B10" s="271"/>
      <c r="C10" s="273"/>
      <c r="D10" s="275"/>
      <c r="E10" s="275"/>
      <c r="F10" s="431"/>
      <c r="G10" s="269" t="s">
        <v>234</v>
      </c>
      <c r="H10" s="263" t="s">
        <v>2</v>
      </c>
      <c r="I10" s="263">
        <v>3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</row>
    <row r="11" spans="1:229" ht="14.25" x14ac:dyDescent="0.15">
      <c r="A11" s="276"/>
      <c r="B11" s="277" t="s">
        <v>27</v>
      </c>
      <c r="C11" s="277"/>
      <c r="D11" s="278"/>
      <c r="E11" s="278"/>
      <c r="F11" s="445">
        <f>SUM(F6:F10)</f>
        <v>723.95312500000011</v>
      </c>
      <c r="G11" s="280"/>
      <c r="H11" s="279"/>
      <c r="I11" s="279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</row>
    <row r="12" spans="1:229" ht="14.25" x14ac:dyDescent="0.15">
      <c r="A12" s="255"/>
      <c r="B12" s="256" t="s">
        <v>182</v>
      </c>
      <c r="C12" s="257"/>
      <c r="D12" s="258"/>
      <c r="E12" s="258"/>
      <c r="F12" s="432"/>
      <c r="G12" s="259"/>
      <c r="H12" s="260"/>
      <c r="I12" s="26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</row>
    <row r="13" spans="1:229" ht="14.25" x14ac:dyDescent="0.15">
      <c r="A13" s="429"/>
      <c r="B13" s="430" t="s">
        <v>177</v>
      </c>
      <c r="C13" s="430"/>
      <c r="D13" s="293"/>
      <c r="E13" s="293"/>
      <c r="F13" s="431"/>
      <c r="G13" s="430"/>
      <c r="H13" s="262"/>
      <c r="I13" s="26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</row>
    <row r="14" spans="1:229" ht="28.5" x14ac:dyDescent="0.15">
      <c r="A14" s="288">
        <v>1</v>
      </c>
      <c r="B14" s="297" t="s">
        <v>178</v>
      </c>
      <c r="C14" s="290" t="s">
        <v>62</v>
      </c>
      <c r="D14" s="284">
        <f>14.69+1.8+3.58</f>
        <v>20.07</v>
      </c>
      <c r="E14" s="284">
        <v>60</v>
      </c>
      <c r="F14" s="431">
        <f t="shared" si="0"/>
        <v>1204.2</v>
      </c>
      <c r="G14" s="274" t="s">
        <v>164</v>
      </c>
      <c r="H14" s="294" t="s">
        <v>0</v>
      </c>
      <c r="I14" s="263">
        <f>(0.45+0.125+0.25+0.125+0.25+0.125+0.25+0.125+0.37+0.45)*D14*1.1</f>
        <v>55.634040000000006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</row>
    <row r="15" spans="1:229" ht="28.5" x14ac:dyDescent="0.15">
      <c r="A15" s="288"/>
      <c r="B15" s="289"/>
      <c r="C15" s="290"/>
      <c r="D15" s="284"/>
      <c r="E15" s="284"/>
      <c r="F15" s="431"/>
      <c r="G15" s="274" t="s">
        <v>31</v>
      </c>
      <c r="H15" s="262" t="s">
        <v>5</v>
      </c>
      <c r="I15" s="263">
        <f>D14*12*1.1</f>
        <v>264.92400000000004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</row>
    <row r="16" spans="1:229" ht="14.25" x14ac:dyDescent="0.15">
      <c r="A16" s="288"/>
      <c r="B16" s="289"/>
      <c r="C16" s="290"/>
      <c r="D16" s="284"/>
      <c r="E16" s="284"/>
      <c r="F16" s="431"/>
      <c r="G16" s="274" t="s">
        <v>179</v>
      </c>
      <c r="H16" s="262" t="s">
        <v>5</v>
      </c>
      <c r="I16" s="263">
        <f>D14/0.4*0.6*1.1</f>
        <v>33.115499999999997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</row>
    <row r="17" spans="1:229" ht="14.25" x14ac:dyDescent="0.15">
      <c r="A17" s="288"/>
      <c r="B17" s="289"/>
      <c r="C17" s="290"/>
      <c r="D17" s="284"/>
      <c r="E17" s="284"/>
      <c r="F17" s="431"/>
      <c r="G17" s="321" t="s">
        <v>33</v>
      </c>
      <c r="H17" s="320" t="s">
        <v>7</v>
      </c>
      <c r="I17" s="263">
        <f>D14*20</f>
        <v>401.4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</row>
    <row r="18" spans="1:229" ht="14.25" x14ac:dyDescent="0.15">
      <c r="A18" s="288"/>
      <c r="B18" s="289"/>
      <c r="C18" s="290"/>
      <c r="D18" s="284"/>
      <c r="E18" s="284"/>
      <c r="F18" s="431"/>
      <c r="G18" s="322" t="s">
        <v>34</v>
      </c>
      <c r="H18" s="320" t="s">
        <v>7</v>
      </c>
      <c r="I18" s="263">
        <f>D14*8</f>
        <v>160.56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</row>
    <row r="19" spans="1:229" ht="14.25" x14ac:dyDescent="0.15">
      <c r="A19" s="288"/>
      <c r="B19" s="289"/>
      <c r="C19" s="290"/>
      <c r="D19" s="284"/>
      <c r="E19" s="284"/>
      <c r="F19" s="431"/>
      <c r="G19" s="274" t="s">
        <v>36</v>
      </c>
      <c r="H19" s="262" t="s">
        <v>5</v>
      </c>
      <c r="I19" s="263">
        <f>D14*2.05</f>
        <v>41.143499999999996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</row>
    <row r="20" spans="1:229" ht="14.25" x14ac:dyDescent="0.15">
      <c r="A20" s="311"/>
      <c r="B20" s="310"/>
      <c r="C20" s="312"/>
      <c r="D20" s="313"/>
      <c r="E20" s="313"/>
      <c r="F20" s="431"/>
      <c r="G20" s="314" t="s">
        <v>63</v>
      </c>
      <c r="H20" s="315" t="s">
        <v>2</v>
      </c>
      <c r="I20" s="316">
        <f>0.35*D14</f>
        <v>7.0244999999999997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</row>
    <row r="21" spans="1:229" ht="28.5" x14ac:dyDescent="0.15">
      <c r="A21" s="264">
        <v>2</v>
      </c>
      <c r="B21" s="346" t="s">
        <v>184</v>
      </c>
      <c r="C21" s="262" t="s">
        <v>62</v>
      </c>
      <c r="D21" s="263">
        <f>20.07*2</f>
        <v>40.14</v>
      </c>
      <c r="E21" s="268">
        <v>4</v>
      </c>
      <c r="F21" s="431">
        <f t="shared" si="0"/>
        <v>160.56</v>
      </c>
      <c r="G21" s="274" t="s">
        <v>8</v>
      </c>
      <c r="H21" s="262" t="s">
        <v>3</v>
      </c>
      <c r="I21" s="263">
        <f>(0.45+0.125+0.25+0.125+0.25+0.125+0.25+0.125+0.37+0.45)*14.69*0.2</f>
        <v>7.4037600000000001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</row>
    <row r="22" spans="1:229" ht="56.25" x14ac:dyDescent="0.15">
      <c r="A22" s="291">
        <v>3</v>
      </c>
      <c r="B22" s="326" t="s">
        <v>188</v>
      </c>
      <c r="C22" s="266" t="s">
        <v>62</v>
      </c>
      <c r="D22" s="275">
        <f>20.07*2</f>
        <v>40.14</v>
      </c>
      <c r="E22" s="267">
        <v>180</v>
      </c>
      <c r="F22" s="431">
        <f t="shared" si="0"/>
        <v>7225.2</v>
      </c>
      <c r="G22" s="329" t="s">
        <v>180</v>
      </c>
      <c r="H22" s="332" t="s">
        <v>0</v>
      </c>
      <c r="I22" s="332">
        <f>(0.45+0.125+0.25+0.125+0.25+0.125+0.25+0.125+0.37+0.45)*3.8*1.1</f>
        <v>10.5336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</row>
    <row r="23" spans="1:229" ht="28.5" x14ac:dyDescent="0.15">
      <c r="A23" s="291"/>
      <c r="B23" s="326"/>
      <c r="C23" s="266"/>
      <c r="D23" s="275"/>
      <c r="E23" s="267"/>
      <c r="F23" s="431"/>
      <c r="G23" s="328" t="s">
        <v>181</v>
      </c>
      <c r="H23" s="327" t="s">
        <v>2</v>
      </c>
      <c r="I23" s="327">
        <f>(0.45+0.125+0.25+0.125+0.25+0.125+0.25+0.125+0.37+0.45)*3.8*6</f>
        <v>57.455999999999989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</row>
    <row r="24" spans="1:229" ht="14.25" x14ac:dyDescent="0.15">
      <c r="A24" s="429"/>
      <c r="B24" s="430" t="s">
        <v>183</v>
      </c>
      <c r="C24" s="430"/>
      <c r="D24" s="293"/>
      <c r="E24" s="284"/>
      <c r="F24" s="431"/>
      <c r="G24" s="430"/>
      <c r="H24" s="262"/>
      <c r="I24" s="26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</row>
    <row r="25" spans="1:229" ht="15" customHeight="1" x14ac:dyDescent="0.15">
      <c r="A25" s="264">
        <v>4</v>
      </c>
      <c r="B25" s="271" t="s">
        <v>170</v>
      </c>
      <c r="C25" s="266" t="s">
        <v>0</v>
      </c>
      <c r="D25" s="275">
        <f>201.44+60+37.02</f>
        <v>298.45999999999998</v>
      </c>
      <c r="E25" s="267">
        <v>5</v>
      </c>
      <c r="F25" s="431">
        <f t="shared" si="0"/>
        <v>1492.3</v>
      </c>
      <c r="G25" s="269" t="s">
        <v>8</v>
      </c>
      <c r="H25" s="263" t="s">
        <v>3</v>
      </c>
      <c r="I25" s="263">
        <f>D25*0.15</f>
        <v>44.768999999999998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</row>
    <row r="26" spans="1:229" ht="28.5" x14ac:dyDescent="0.15">
      <c r="A26" s="264">
        <v>5</v>
      </c>
      <c r="B26" s="271" t="s">
        <v>236</v>
      </c>
      <c r="C26" s="331" t="s">
        <v>0</v>
      </c>
      <c r="D26" s="275">
        <f>201.44+60+37.02</f>
        <v>298.45999999999998</v>
      </c>
      <c r="E26" s="267">
        <v>80</v>
      </c>
      <c r="F26" s="431"/>
      <c r="G26" s="269" t="s">
        <v>198</v>
      </c>
      <c r="H26" s="263" t="s">
        <v>2</v>
      </c>
      <c r="I26" s="263">
        <f>D26*0.85*20</f>
        <v>5073.82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</row>
    <row r="27" spans="1:229" ht="14.25" x14ac:dyDescent="0.15">
      <c r="A27" s="264"/>
      <c r="B27" s="265"/>
      <c r="C27" s="270"/>
      <c r="D27" s="284"/>
      <c r="E27" s="284"/>
      <c r="F27" s="431"/>
      <c r="G27" s="272" t="s">
        <v>48</v>
      </c>
      <c r="H27" s="263" t="s">
        <v>5</v>
      </c>
      <c r="I27" s="263">
        <f>D26*1.2</f>
        <v>358.15199999999999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</row>
    <row r="28" spans="1:229" ht="28.5" x14ac:dyDescent="0.15">
      <c r="A28" s="264">
        <v>6</v>
      </c>
      <c r="B28" s="271" t="s">
        <v>185</v>
      </c>
      <c r="C28" s="266" t="s">
        <v>0</v>
      </c>
      <c r="D28" s="275">
        <f>201.44+60</f>
        <v>261.44</v>
      </c>
      <c r="E28" s="267">
        <v>4</v>
      </c>
      <c r="F28" s="431">
        <f t="shared" si="0"/>
        <v>1045.76</v>
      </c>
      <c r="G28" s="269" t="s">
        <v>8</v>
      </c>
      <c r="H28" s="263" t="s">
        <v>3</v>
      </c>
      <c r="I28" s="263">
        <f>D28*0.15</f>
        <v>39.216000000000001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</row>
    <row r="29" spans="1:229" ht="56.25" x14ac:dyDescent="0.15">
      <c r="A29" s="291">
        <v>7</v>
      </c>
      <c r="B29" s="326" t="s">
        <v>186</v>
      </c>
      <c r="C29" s="266" t="s">
        <v>0</v>
      </c>
      <c r="D29" s="275">
        <v>60</v>
      </c>
      <c r="E29" s="267">
        <v>180</v>
      </c>
      <c r="F29" s="431">
        <f t="shared" si="0"/>
        <v>10800</v>
      </c>
      <c r="G29" s="329" t="s">
        <v>187</v>
      </c>
      <c r="H29" s="332" t="s">
        <v>0</v>
      </c>
      <c r="I29" s="332">
        <f>D29*1.1</f>
        <v>66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</row>
    <row r="30" spans="1:229" ht="28.5" x14ac:dyDescent="0.15">
      <c r="A30" s="291"/>
      <c r="B30" s="326"/>
      <c r="C30" s="266"/>
      <c r="D30" s="275"/>
      <c r="E30" s="267"/>
      <c r="F30" s="431">
        <f t="shared" si="0"/>
        <v>0</v>
      </c>
      <c r="G30" s="328" t="s">
        <v>181</v>
      </c>
      <c r="H30" s="327" t="s">
        <v>2</v>
      </c>
      <c r="I30" s="327">
        <f>D29*6</f>
        <v>360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</row>
    <row r="31" spans="1:229" ht="14.25" x14ac:dyDescent="0.15">
      <c r="A31" s="291"/>
      <c r="B31" s="326"/>
      <c r="C31" s="266"/>
      <c r="D31" s="275"/>
      <c r="E31" s="275"/>
      <c r="F31" s="431">
        <f t="shared" si="0"/>
        <v>0</v>
      </c>
      <c r="G31" s="271" t="s">
        <v>64</v>
      </c>
      <c r="H31" s="262" t="s">
        <v>2</v>
      </c>
      <c r="I31" s="263">
        <f>D29*0.25</f>
        <v>15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</row>
    <row r="32" spans="1:229" ht="56.25" x14ac:dyDescent="0.15">
      <c r="A32" s="291">
        <v>8</v>
      </c>
      <c r="B32" s="326" t="s">
        <v>189</v>
      </c>
      <c r="C32" s="266" t="s">
        <v>0</v>
      </c>
      <c r="D32" s="275">
        <f>285-9.58-30</f>
        <v>245.42000000000002</v>
      </c>
      <c r="E32" s="275">
        <v>200</v>
      </c>
      <c r="F32" s="431">
        <f t="shared" si="0"/>
        <v>49084</v>
      </c>
      <c r="G32" s="329" t="s">
        <v>180</v>
      </c>
      <c r="H32" s="332" t="s">
        <v>0</v>
      </c>
      <c r="I32" s="332">
        <f>D32*1.1</f>
        <v>269.96200000000005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</row>
    <row r="33" spans="1:229" ht="28.5" x14ac:dyDescent="0.15">
      <c r="A33" s="291"/>
      <c r="B33" s="326"/>
      <c r="C33" s="266"/>
      <c r="D33" s="275"/>
      <c r="E33" s="275"/>
      <c r="F33" s="431">
        <f t="shared" si="0"/>
        <v>0</v>
      </c>
      <c r="G33" s="328" t="s">
        <v>181</v>
      </c>
      <c r="H33" s="327" t="s">
        <v>2</v>
      </c>
      <c r="I33" s="327">
        <f>D32*6</f>
        <v>1472.52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</row>
    <row r="34" spans="1:229" ht="14.25" x14ac:dyDescent="0.15">
      <c r="A34" s="291"/>
      <c r="B34" s="326"/>
      <c r="C34" s="266"/>
      <c r="D34" s="275"/>
      <c r="E34" s="275"/>
      <c r="F34" s="431">
        <f t="shared" si="0"/>
        <v>0</v>
      </c>
      <c r="G34" s="271" t="s">
        <v>64</v>
      </c>
      <c r="H34" s="262" t="s">
        <v>2</v>
      </c>
      <c r="I34" s="263">
        <f>D32*0.25</f>
        <v>61.355000000000004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</row>
    <row r="35" spans="1:229" ht="56.25" x14ac:dyDescent="0.15">
      <c r="A35" s="291">
        <v>9</v>
      </c>
      <c r="B35" s="326" t="s">
        <v>193</v>
      </c>
      <c r="C35" s="266" t="s">
        <v>62</v>
      </c>
      <c r="D35" s="275">
        <v>337</v>
      </c>
      <c r="E35" s="275">
        <v>10</v>
      </c>
      <c r="F35" s="431">
        <f t="shared" si="0"/>
        <v>3370</v>
      </c>
      <c r="G35" s="318" t="s">
        <v>194</v>
      </c>
      <c r="H35" s="254" t="s">
        <v>62</v>
      </c>
      <c r="I35" s="254">
        <f>D35*1.05</f>
        <v>353.85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</row>
    <row r="36" spans="1:229" ht="42" x14ac:dyDescent="0.15">
      <c r="A36" s="291"/>
      <c r="B36" s="326"/>
      <c r="C36" s="333"/>
      <c r="D36" s="275"/>
      <c r="E36" s="275"/>
      <c r="F36" s="431"/>
      <c r="G36" s="271" t="s">
        <v>86</v>
      </c>
      <c r="H36" s="262" t="s">
        <v>7</v>
      </c>
      <c r="I36" s="263">
        <v>15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</row>
    <row r="37" spans="1:229" ht="14.25" x14ac:dyDescent="0.15">
      <c r="A37" s="429"/>
      <c r="B37" s="430" t="s">
        <v>197</v>
      </c>
      <c r="C37" s="430"/>
      <c r="D37" s="293"/>
      <c r="E37" s="293"/>
      <c r="F37" s="431"/>
      <c r="G37" s="430"/>
      <c r="H37" s="262"/>
      <c r="I37" s="26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</row>
    <row r="38" spans="1:229" ht="28.5" x14ac:dyDescent="0.15">
      <c r="A38" s="291">
        <v>11</v>
      </c>
      <c r="B38" s="330" t="s">
        <v>195</v>
      </c>
      <c r="C38" s="331" t="s">
        <v>62</v>
      </c>
      <c r="D38" s="275">
        <f>(14.69+1.8)*4*2</f>
        <v>131.91999999999999</v>
      </c>
      <c r="E38" s="275">
        <v>4</v>
      </c>
      <c r="F38" s="431">
        <f t="shared" si="0"/>
        <v>527.67999999999995</v>
      </c>
      <c r="G38" s="321" t="s">
        <v>8</v>
      </c>
      <c r="H38" s="292" t="s">
        <v>3</v>
      </c>
      <c r="I38" s="327">
        <f>(0.45+0.125+0.25+0.125+0.25+0.125+0.25+0.125+0.37+0.45)*14.69*0.2</f>
        <v>7.4037600000000001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</row>
    <row r="39" spans="1:229" ht="56.25" x14ac:dyDescent="0.15">
      <c r="A39" s="291">
        <v>12</v>
      </c>
      <c r="B39" s="326" t="s">
        <v>196</v>
      </c>
      <c r="C39" s="266" t="s">
        <v>62</v>
      </c>
      <c r="D39" s="275">
        <f>(14.69+1.8)*4*2</f>
        <v>131.91999999999999</v>
      </c>
      <c r="E39" s="275">
        <v>210</v>
      </c>
      <c r="F39" s="431">
        <f t="shared" si="0"/>
        <v>27703.199999999997</v>
      </c>
      <c r="G39" s="329" t="s">
        <v>206</v>
      </c>
      <c r="H39" s="332" t="s">
        <v>121</v>
      </c>
      <c r="I39" s="332">
        <f>65+86</f>
        <v>151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</row>
    <row r="40" spans="1:229" ht="56.25" x14ac:dyDescent="0.15">
      <c r="A40" s="291"/>
      <c r="B40" s="326"/>
      <c r="C40" s="266"/>
      <c r="D40" s="275"/>
      <c r="E40" s="275"/>
      <c r="F40" s="431">
        <f t="shared" si="0"/>
        <v>0</v>
      </c>
      <c r="G40" s="329" t="s">
        <v>207</v>
      </c>
      <c r="H40" s="332" t="s">
        <v>121</v>
      </c>
      <c r="I40" s="332">
        <f>75+70</f>
        <v>145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</row>
    <row r="41" spans="1:229" ht="56.25" x14ac:dyDescent="0.15">
      <c r="A41" s="291"/>
      <c r="B41" s="326"/>
      <c r="C41" s="266"/>
      <c r="D41" s="275"/>
      <c r="E41" s="275"/>
      <c r="F41" s="431"/>
      <c r="G41" s="329" t="s">
        <v>208</v>
      </c>
      <c r="H41" s="332" t="s">
        <v>121</v>
      </c>
      <c r="I41" s="332">
        <f>158+170</f>
        <v>328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</row>
    <row r="42" spans="1:229" ht="42" x14ac:dyDescent="0.15">
      <c r="A42" s="291"/>
      <c r="B42" s="326"/>
      <c r="C42" s="266"/>
      <c r="D42" s="275"/>
      <c r="E42" s="275"/>
      <c r="F42" s="431"/>
      <c r="G42" s="329" t="s">
        <v>205</v>
      </c>
      <c r="H42" s="332" t="s">
        <v>121</v>
      </c>
      <c r="I42" s="332">
        <f>85+68</f>
        <v>153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</row>
    <row r="43" spans="1:229" ht="14.25" x14ac:dyDescent="0.15">
      <c r="A43" s="291"/>
      <c r="B43" s="326"/>
      <c r="C43" s="266"/>
      <c r="D43" s="275"/>
      <c r="E43" s="275"/>
      <c r="F43" s="431"/>
      <c r="G43" s="271" t="s">
        <v>64</v>
      </c>
      <c r="H43" s="262" t="s">
        <v>2</v>
      </c>
      <c r="I43" s="263">
        <f>D39*0.15</f>
        <v>19.787999999999997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</row>
    <row r="44" spans="1:229" ht="28.5" x14ac:dyDescent="0.15">
      <c r="A44" s="291"/>
      <c r="B44" s="326"/>
      <c r="C44" s="266"/>
      <c r="D44" s="275"/>
      <c r="E44" s="275"/>
      <c r="F44" s="431">
        <f t="shared" si="0"/>
        <v>0</v>
      </c>
      <c r="G44" s="328" t="s">
        <v>181</v>
      </c>
      <c r="H44" s="327" t="s">
        <v>2</v>
      </c>
      <c r="I44" s="327">
        <f>D39*0.64*6</f>
        <v>506.57279999999997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</row>
    <row r="45" spans="1:229" ht="14.25" x14ac:dyDescent="0.15">
      <c r="A45" s="429"/>
      <c r="B45" s="430" t="s">
        <v>190</v>
      </c>
      <c r="C45" s="430"/>
      <c r="D45" s="293"/>
      <c r="E45" s="293"/>
      <c r="F45" s="431"/>
      <c r="G45" s="430"/>
      <c r="H45" s="262"/>
      <c r="I45" s="26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</row>
    <row r="46" spans="1:229" ht="14.25" x14ac:dyDescent="0.15">
      <c r="A46" s="264">
        <v>13</v>
      </c>
      <c r="B46" s="271" t="s">
        <v>170</v>
      </c>
      <c r="C46" s="331" t="s">
        <v>62</v>
      </c>
      <c r="D46" s="275">
        <f>14.69*2</f>
        <v>29.38</v>
      </c>
      <c r="E46" s="275">
        <v>4</v>
      </c>
      <c r="F46" s="431">
        <f t="shared" si="0"/>
        <v>117.52</v>
      </c>
      <c r="G46" s="269" t="s">
        <v>8</v>
      </c>
      <c r="H46" s="263" t="s">
        <v>3</v>
      </c>
      <c r="I46" s="263">
        <f>D46*0.6*0.15</f>
        <v>2.6442000000000001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</row>
    <row r="47" spans="1:229" ht="28.5" x14ac:dyDescent="0.15">
      <c r="A47" s="264">
        <v>14</v>
      </c>
      <c r="B47" s="271" t="s">
        <v>236</v>
      </c>
      <c r="C47" s="266" t="s">
        <v>62</v>
      </c>
      <c r="D47" s="275">
        <f>14.69*2</f>
        <v>29.38</v>
      </c>
      <c r="E47" s="267">
        <v>60</v>
      </c>
      <c r="F47" s="431"/>
      <c r="G47" s="269" t="s">
        <v>198</v>
      </c>
      <c r="H47" s="263" t="s">
        <v>2</v>
      </c>
      <c r="I47" s="263">
        <f>D47*0.6*0.85*20</f>
        <v>299.67599999999999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</row>
    <row r="48" spans="1:229" ht="14.25" x14ac:dyDescent="0.15">
      <c r="A48" s="264"/>
      <c r="B48" s="265"/>
      <c r="C48" s="270"/>
      <c r="D48" s="284"/>
      <c r="E48" s="284"/>
      <c r="F48" s="431"/>
      <c r="G48" s="272" t="s">
        <v>48</v>
      </c>
      <c r="H48" s="263" t="s">
        <v>5</v>
      </c>
      <c r="I48" s="263">
        <f>D47*2</f>
        <v>58.76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</row>
    <row r="49" spans="1:229" ht="28.5" x14ac:dyDescent="0.15">
      <c r="A49" s="291">
        <v>15</v>
      </c>
      <c r="B49" s="330" t="s">
        <v>191</v>
      </c>
      <c r="C49" s="331" t="s">
        <v>62</v>
      </c>
      <c r="D49" s="275">
        <f>14.69*2</f>
        <v>29.38</v>
      </c>
      <c r="E49" s="267">
        <v>4</v>
      </c>
      <c r="F49" s="431">
        <f t="shared" si="0"/>
        <v>117.52</v>
      </c>
      <c r="G49" s="321" t="s">
        <v>8</v>
      </c>
      <c r="H49" s="292" t="s">
        <v>3</v>
      </c>
      <c r="I49" s="327">
        <f>(0.45+0.125+0.25+0.125+0.25+0.125+0.25+0.125+0.37+0.45)*14.69*0.2</f>
        <v>7.4037600000000001</v>
      </c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</row>
    <row r="50" spans="1:229" ht="56.25" x14ac:dyDescent="0.15">
      <c r="A50" s="291">
        <v>16</v>
      </c>
      <c r="B50" s="326" t="s">
        <v>192</v>
      </c>
      <c r="C50" s="266" t="s">
        <v>62</v>
      </c>
      <c r="D50" s="275">
        <f>14.69*2</f>
        <v>29.38</v>
      </c>
      <c r="E50" s="275">
        <v>200</v>
      </c>
      <c r="F50" s="431">
        <f t="shared" si="0"/>
        <v>5876</v>
      </c>
      <c r="G50" s="329" t="s">
        <v>180</v>
      </c>
      <c r="H50" s="327" t="s">
        <v>0</v>
      </c>
      <c r="I50" s="327">
        <f>(0.45+0.125+0.25+0.125+0.25+0.125+0.25+0.125+0.37+0.45)*14.69*1.1</f>
        <v>40.720680000000002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</row>
    <row r="51" spans="1:229" ht="28.5" x14ac:dyDescent="0.15">
      <c r="A51" s="291"/>
      <c r="B51" s="326"/>
      <c r="C51" s="266"/>
      <c r="D51" s="275"/>
      <c r="E51" s="275"/>
      <c r="F51" s="431"/>
      <c r="G51" s="328" t="s">
        <v>181</v>
      </c>
      <c r="H51" s="327" t="s">
        <v>2</v>
      </c>
      <c r="I51" s="327">
        <f>(0.45+0.125+0.25+0.125+0.25+0.125+0.25+0.125+0.37+0.45)*14.69*6</f>
        <v>222.11279999999999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</row>
    <row r="52" spans="1:229" ht="14.25" x14ac:dyDescent="0.15">
      <c r="A52" s="291"/>
      <c r="B52" s="326"/>
      <c r="C52" s="273"/>
      <c r="D52" s="275"/>
      <c r="E52" s="275"/>
      <c r="F52" s="431"/>
      <c r="G52" s="271" t="s">
        <v>64</v>
      </c>
      <c r="H52" s="262" t="s">
        <v>2</v>
      </c>
      <c r="I52" s="263">
        <f>D50*0.15</f>
        <v>4.407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</row>
    <row r="53" spans="1:229" ht="14.25" x14ac:dyDescent="0.15">
      <c r="A53" s="276"/>
      <c r="B53" s="277" t="s">
        <v>27</v>
      </c>
      <c r="C53" s="277"/>
      <c r="D53" s="278"/>
      <c r="E53" s="278"/>
      <c r="F53" s="445">
        <f>SUM(F14:F52)</f>
        <v>108723.93999999999</v>
      </c>
      <c r="G53" s="280"/>
      <c r="H53" s="279"/>
      <c r="I53" s="279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</row>
    <row r="54" spans="1:229" ht="14.25" x14ac:dyDescent="0.15">
      <c r="A54" s="281"/>
      <c r="B54" s="282" t="s">
        <v>96</v>
      </c>
      <c r="C54" s="282"/>
      <c r="D54" s="283"/>
      <c r="E54" s="283"/>
      <c r="F54" s="432"/>
      <c r="G54" s="259"/>
      <c r="H54" s="260"/>
      <c r="I54" s="261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</row>
    <row r="55" spans="1:229" ht="28.5" x14ac:dyDescent="0.15">
      <c r="A55" s="264">
        <v>1</v>
      </c>
      <c r="B55" s="265" t="s">
        <v>199</v>
      </c>
      <c r="C55" s="270" t="s">
        <v>0</v>
      </c>
      <c r="D55" s="284">
        <v>55.25</v>
      </c>
      <c r="E55" s="284">
        <v>4</v>
      </c>
      <c r="F55" s="431">
        <f t="shared" si="0"/>
        <v>221</v>
      </c>
      <c r="G55" s="271" t="s">
        <v>161</v>
      </c>
      <c r="H55" s="262" t="s">
        <v>3</v>
      </c>
      <c r="I55" s="263">
        <f>D55*0.15</f>
        <v>8.2874999999999996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</row>
    <row r="56" spans="1:229" ht="28.5" x14ac:dyDescent="0.15">
      <c r="A56" s="264">
        <v>2</v>
      </c>
      <c r="B56" s="265" t="s">
        <v>201</v>
      </c>
      <c r="C56" s="270" t="s">
        <v>0</v>
      </c>
      <c r="D56" s="284">
        <v>55.25</v>
      </c>
      <c r="E56" s="284">
        <v>150</v>
      </c>
      <c r="F56" s="431">
        <f t="shared" si="0"/>
        <v>8287.5</v>
      </c>
      <c r="G56" s="271" t="s">
        <v>162</v>
      </c>
      <c r="H56" s="262" t="s">
        <v>2</v>
      </c>
      <c r="I56" s="263">
        <f>D56*7</f>
        <v>386.75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</row>
    <row r="57" spans="1:229" ht="56.25" x14ac:dyDescent="0.15">
      <c r="A57" s="264"/>
      <c r="B57" s="265"/>
      <c r="C57" s="270"/>
      <c r="D57" s="284"/>
      <c r="E57" s="284"/>
      <c r="F57" s="431"/>
      <c r="G57" s="329" t="s">
        <v>202</v>
      </c>
      <c r="H57" s="430" t="s">
        <v>0</v>
      </c>
      <c r="I57" s="254">
        <f>D56*1.1</f>
        <v>60.775000000000006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</row>
    <row r="58" spans="1:229" ht="14.25" x14ac:dyDescent="0.15">
      <c r="A58" s="264"/>
      <c r="B58" s="265"/>
      <c r="C58" s="270"/>
      <c r="D58" s="284"/>
      <c r="E58" s="284"/>
      <c r="F58" s="431">
        <f t="shared" si="0"/>
        <v>0</v>
      </c>
      <c r="G58" s="271" t="s">
        <v>64</v>
      </c>
      <c r="H58" s="262" t="s">
        <v>2</v>
      </c>
      <c r="I58" s="263">
        <f>D56*0.35</f>
        <v>19.337499999999999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</row>
    <row r="59" spans="1:229" ht="42" x14ac:dyDescent="0.15">
      <c r="A59" s="264">
        <v>3</v>
      </c>
      <c r="B59" s="265" t="s">
        <v>238</v>
      </c>
      <c r="C59" s="270" t="s">
        <v>62</v>
      </c>
      <c r="D59" s="284">
        <v>189</v>
      </c>
      <c r="E59" s="284">
        <v>4</v>
      </c>
      <c r="F59" s="431">
        <f t="shared" si="0"/>
        <v>756</v>
      </c>
      <c r="G59" s="271" t="s">
        <v>161</v>
      </c>
      <c r="H59" s="262" t="s">
        <v>3</v>
      </c>
      <c r="I59" s="263">
        <f>D59*0.45*0.15</f>
        <v>12.757499999999999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</row>
    <row r="60" spans="1:229" ht="28.5" x14ac:dyDescent="0.15">
      <c r="A60" s="264">
        <v>4</v>
      </c>
      <c r="B60" s="265" t="s">
        <v>237</v>
      </c>
      <c r="C60" s="270" t="s">
        <v>62</v>
      </c>
      <c r="D60" s="284">
        <v>189</v>
      </c>
      <c r="E60" s="284">
        <v>100</v>
      </c>
      <c r="F60" s="431">
        <f t="shared" si="0"/>
        <v>18900</v>
      </c>
      <c r="G60" s="271" t="s">
        <v>162</v>
      </c>
      <c r="H60" s="262" t="s">
        <v>2</v>
      </c>
      <c r="I60" s="263">
        <f>D60*0.45*7</f>
        <v>595.35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</row>
    <row r="61" spans="1:229" ht="56.25" x14ac:dyDescent="0.15">
      <c r="A61" s="264"/>
      <c r="B61" s="265"/>
      <c r="C61" s="270"/>
      <c r="D61" s="284"/>
      <c r="E61" s="284"/>
      <c r="F61" s="431">
        <f t="shared" si="0"/>
        <v>0</v>
      </c>
      <c r="G61" s="329" t="s">
        <v>202</v>
      </c>
      <c r="H61" s="430" t="s">
        <v>0</v>
      </c>
      <c r="I61" s="254">
        <f>D60*0.45*1.1</f>
        <v>93.555000000000007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</row>
    <row r="62" spans="1:229" ht="14.25" x14ac:dyDescent="0.15">
      <c r="A62" s="264"/>
      <c r="B62" s="265"/>
      <c r="C62" s="270"/>
      <c r="D62" s="284"/>
      <c r="E62" s="284"/>
      <c r="F62" s="431"/>
      <c r="G62" s="271" t="s">
        <v>64</v>
      </c>
      <c r="H62" s="262" t="s">
        <v>2</v>
      </c>
      <c r="I62" s="263">
        <f>D59*0.15</f>
        <v>28.349999999999998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</row>
    <row r="63" spans="1:229" ht="42" x14ac:dyDescent="0.15">
      <c r="A63" s="264">
        <v>5</v>
      </c>
      <c r="B63" s="265" t="s">
        <v>200</v>
      </c>
      <c r="C63" s="270" t="s">
        <v>62</v>
      </c>
      <c r="D63" s="284">
        <v>189</v>
      </c>
      <c r="E63" s="284">
        <v>10</v>
      </c>
      <c r="F63" s="431">
        <f t="shared" si="0"/>
        <v>1890</v>
      </c>
      <c r="G63" s="329" t="s">
        <v>203</v>
      </c>
      <c r="H63" s="430" t="s">
        <v>62</v>
      </c>
      <c r="I63" s="254">
        <f>D63*1.05</f>
        <v>198.45000000000002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</row>
    <row r="64" spans="1:229" ht="42" x14ac:dyDescent="0.15">
      <c r="A64" s="264"/>
      <c r="B64" s="265"/>
      <c r="C64" s="270"/>
      <c r="D64" s="284"/>
      <c r="E64" s="284"/>
      <c r="F64" s="431">
        <f t="shared" si="0"/>
        <v>0</v>
      </c>
      <c r="G64" s="271" t="s">
        <v>86</v>
      </c>
      <c r="H64" s="262" t="s">
        <v>7</v>
      </c>
      <c r="I64" s="263">
        <v>12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</row>
    <row r="65" spans="1:229" ht="14.25" x14ac:dyDescent="0.15">
      <c r="A65" s="264">
        <v>8</v>
      </c>
      <c r="B65" s="265" t="s">
        <v>113</v>
      </c>
      <c r="C65" s="270" t="s">
        <v>0</v>
      </c>
      <c r="D65" s="284">
        <v>107.24</v>
      </c>
      <c r="E65" s="284">
        <v>10</v>
      </c>
      <c r="F65" s="431">
        <f t="shared" si="0"/>
        <v>1072.3999999999999</v>
      </c>
      <c r="G65" s="271" t="s">
        <v>115</v>
      </c>
      <c r="H65" s="262" t="s">
        <v>7</v>
      </c>
      <c r="I65" s="263">
        <v>0.5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</row>
    <row r="66" spans="1:229" ht="14.25" x14ac:dyDescent="0.15">
      <c r="A66" s="264"/>
      <c r="B66" s="265"/>
      <c r="C66" s="270"/>
      <c r="D66" s="284"/>
      <c r="E66" s="284"/>
      <c r="F66" s="431"/>
      <c r="G66" s="271" t="s">
        <v>114</v>
      </c>
      <c r="H66" s="262" t="s">
        <v>7</v>
      </c>
      <c r="I66" s="263">
        <v>1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</row>
    <row r="67" spans="1:229" ht="14.25" x14ac:dyDescent="0.15">
      <c r="A67" s="276"/>
      <c r="B67" s="277" t="s">
        <v>27</v>
      </c>
      <c r="C67" s="277"/>
      <c r="D67" s="278"/>
      <c r="E67" s="278"/>
      <c r="F67" s="445">
        <f>SUM(F55:F65)</f>
        <v>31126.9</v>
      </c>
      <c r="G67" s="280"/>
      <c r="H67" s="279"/>
      <c r="I67" s="279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</row>
    <row r="68" spans="1:229" ht="14.25" x14ac:dyDescent="0.15">
      <c r="A68" s="285"/>
      <c r="B68" s="282" t="s">
        <v>53</v>
      </c>
      <c r="C68" s="286"/>
      <c r="D68" s="283"/>
      <c r="E68" s="283"/>
      <c r="F68" s="432"/>
      <c r="G68" s="287"/>
      <c r="H68" s="260"/>
      <c r="I68" s="261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</row>
    <row r="69" spans="1:229" ht="14.25" x14ac:dyDescent="0.15">
      <c r="A69" s="291"/>
      <c r="B69" s="430" t="s">
        <v>97</v>
      </c>
      <c r="C69" s="292"/>
      <c r="D69" s="293"/>
      <c r="E69" s="293"/>
      <c r="F69" s="431"/>
      <c r="G69" s="274"/>
      <c r="H69" s="262"/>
      <c r="I69" s="263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</row>
    <row r="70" spans="1:229" ht="28.5" x14ac:dyDescent="0.15">
      <c r="A70" s="288">
        <v>1</v>
      </c>
      <c r="B70" s="289" t="s">
        <v>61</v>
      </c>
      <c r="C70" s="290" t="s">
        <v>0</v>
      </c>
      <c r="D70" s="284">
        <v>62.7</v>
      </c>
      <c r="E70" s="284">
        <v>100</v>
      </c>
      <c r="F70" s="431">
        <f>D70*E70</f>
        <v>6270</v>
      </c>
      <c r="G70" s="274" t="s">
        <v>164</v>
      </c>
      <c r="H70" s="294" t="s">
        <v>0</v>
      </c>
      <c r="I70" s="263">
        <f>D70*1.05</f>
        <v>65.835000000000008</v>
      </c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</row>
    <row r="71" spans="1:229" ht="14.25" x14ac:dyDescent="0.15">
      <c r="A71" s="288"/>
      <c r="B71" s="289"/>
      <c r="C71" s="290"/>
      <c r="D71" s="284"/>
      <c r="E71" s="284"/>
      <c r="F71" s="431"/>
      <c r="G71" s="274" t="s">
        <v>30</v>
      </c>
      <c r="H71" s="262" t="s">
        <v>5</v>
      </c>
      <c r="I71" s="263">
        <f>3.9*D70</f>
        <v>244.53</v>
      </c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</row>
    <row r="72" spans="1:229" ht="28.5" x14ac:dyDescent="0.15">
      <c r="A72" s="288"/>
      <c r="B72" s="289"/>
      <c r="C72" s="290"/>
      <c r="D72" s="284"/>
      <c r="E72" s="284"/>
      <c r="F72" s="431"/>
      <c r="G72" s="274" t="s">
        <v>31</v>
      </c>
      <c r="H72" s="262" t="s">
        <v>5</v>
      </c>
      <c r="I72" s="263">
        <f>D70*1.9</f>
        <v>119.13</v>
      </c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</row>
    <row r="73" spans="1:229" ht="14.25" x14ac:dyDescent="0.15">
      <c r="A73" s="291"/>
      <c r="B73" s="289"/>
      <c r="C73" s="292"/>
      <c r="D73" s="293"/>
      <c r="E73" s="293"/>
      <c r="F73" s="431"/>
      <c r="G73" s="319" t="s">
        <v>32</v>
      </c>
      <c r="H73" s="320" t="s">
        <v>7</v>
      </c>
      <c r="I73" s="263">
        <f>9*D70</f>
        <v>564.30000000000007</v>
      </c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</row>
    <row r="74" spans="1:229" ht="14.25" x14ac:dyDescent="0.15">
      <c r="A74" s="291"/>
      <c r="B74" s="289"/>
      <c r="C74" s="292"/>
      <c r="D74" s="293"/>
      <c r="E74" s="293"/>
      <c r="F74" s="431"/>
      <c r="G74" s="321" t="s">
        <v>33</v>
      </c>
      <c r="H74" s="320" t="s">
        <v>7</v>
      </c>
      <c r="I74" s="263">
        <f>23*D70</f>
        <v>1442.1000000000001</v>
      </c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</row>
    <row r="75" spans="1:229" ht="14.25" x14ac:dyDescent="0.15">
      <c r="A75" s="288"/>
      <c r="B75" s="289"/>
      <c r="C75" s="290"/>
      <c r="D75" s="284"/>
      <c r="E75" s="284"/>
      <c r="F75" s="431"/>
      <c r="G75" s="274" t="s">
        <v>35</v>
      </c>
      <c r="H75" s="294" t="s">
        <v>7</v>
      </c>
      <c r="I75" s="263">
        <f>20*D70</f>
        <v>1254</v>
      </c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</row>
    <row r="76" spans="1:229" ht="14.25" x14ac:dyDescent="0.15">
      <c r="A76" s="288"/>
      <c r="B76" s="310"/>
      <c r="C76" s="290"/>
      <c r="D76" s="284"/>
      <c r="E76" s="284"/>
      <c r="F76" s="431"/>
      <c r="G76" s="274" t="s">
        <v>36</v>
      </c>
      <c r="H76" s="262" t="s">
        <v>5</v>
      </c>
      <c r="I76" s="263">
        <f>D70*1.1</f>
        <v>68.970000000000013</v>
      </c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</row>
    <row r="77" spans="1:229" ht="14.25" x14ac:dyDescent="0.15">
      <c r="A77" s="288"/>
      <c r="B77" s="317"/>
      <c r="C77" s="290"/>
      <c r="D77" s="284"/>
      <c r="E77" s="284"/>
      <c r="F77" s="431"/>
      <c r="G77" s="274" t="s">
        <v>63</v>
      </c>
      <c r="H77" s="262" t="s">
        <v>2</v>
      </c>
      <c r="I77" s="263">
        <f>D70*0.4</f>
        <v>25.080000000000002</v>
      </c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</row>
    <row r="78" spans="1:229" ht="14.25" x14ac:dyDescent="0.15">
      <c r="A78" s="288">
        <v>2</v>
      </c>
      <c r="B78" s="317" t="s">
        <v>105</v>
      </c>
      <c r="C78" s="290" t="s">
        <v>0</v>
      </c>
      <c r="D78" s="284">
        <v>62.7</v>
      </c>
      <c r="E78" s="284">
        <v>4</v>
      </c>
      <c r="F78" s="431">
        <f t="shared" ref="F78:F87" si="1">D78*E78</f>
        <v>250.8</v>
      </c>
      <c r="G78" s="271" t="s">
        <v>8</v>
      </c>
      <c r="H78" s="262" t="s">
        <v>3</v>
      </c>
      <c r="I78" s="263">
        <f>0.15*D78</f>
        <v>9.4049999999999994</v>
      </c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</row>
    <row r="79" spans="1:229" ht="14.25" x14ac:dyDescent="0.15">
      <c r="A79" s="264">
        <v>3</v>
      </c>
      <c r="B79" s="271" t="s">
        <v>167</v>
      </c>
      <c r="C79" s="270" t="s">
        <v>0</v>
      </c>
      <c r="D79" s="284">
        <v>62.7</v>
      </c>
      <c r="E79" s="284">
        <v>50</v>
      </c>
      <c r="F79" s="431">
        <f t="shared" si="1"/>
        <v>3135</v>
      </c>
      <c r="G79" s="271" t="s">
        <v>23</v>
      </c>
      <c r="H79" s="262" t="s">
        <v>2</v>
      </c>
      <c r="I79" s="263">
        <f>D79*1.2*2</f>
        <v>150.47999999999999</v>
      </c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</row>
    <row r="80" spans="1:229" ht="14.25" x14ac:dyDescent="0.15">
      <c r="A80" s="264">
        <v>4</v>
      </c>
      <c r="B80" s="271" t="s">
        <v>172</v>
      </c>
      <c r="C80" s="270" t="s">
        <v>0</v>
      </c>
      <c r="D80" s="284">
        <v>62.7</v>
      </c>
      <c r="E80" s="284">
        <v>4</v>
      </c>
      <c r="F80" s="431">
        <f t="shared" si="1"/>
        <v>250.8</v>
      </c>
      <c r="G80" s="269" t="s">
        <v>8</v>
      </c>
      <c r="H80" s="263" t="s">
        <v>3</v>
      </c>
      <c r="I80" s="263">
        <f>D80*0.15</f>
        <v>9.4049999999999994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</row>
    <row r="81" spans="1:229" ht="42" x14ac:dyDescent="0.15">
      <c r="A81" s="264">
        <v>5</v>
      </c>
      <c r="B81" s="271" t="s">
        <v>71</v>
      </c>
      <c r="C81" s="270" t="s">
        <v>0</v>
      </c>
      <c r="D81" s="284">
        <v>62.7</v>
      </c>
      <c r="E81" s="284">
        <v>15</v>
      </c>
      <c r="F81" s="431">
        <f t="shared" si="1"/>
        <v>940.5</v>
      </c>
      <c r="G81" s="271" t="s">
        <v>158</v>
      </c>
      <c r="H81" s="262" t="s">
        <v>0</v>
      </c>
      <c r="I81" s="263">
        <f>D81*1.05</f>
        <v>65.835000000000008</v>
      </c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</row>
    <row r="82" spans="1:229" ht="28.5" x14ac:dyDescent="0.15">
      <c r="A82" s="264"/>
      <c r="B82" s="271"/>
      <c r="C82" s="270"/>
      <c r="D82" s="275"/>
      <c r="E82" s="275"/>
      <c r="F82" s="431">
        <f t="shared" si="1"/>
        <v>0</v>
      </c>
      <c r="G82" s="271" t="s">
        <v>159</v>
      </c>
      <c r="H82" s="262" t="s">
        <v>3</v>
      </c>
      <c r="I82" s="263">
        <f>D81*0.25</f>
        <v>15.675000000000001</v>
      </c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</row>
    <row r="83" spans="1:229" ht="28.5" x14ac:dyDescent="0.15">
      <c r="A83" s="264">
        <v>6</v>
      </c>
      <c r="B83" s="265" t="s">
        <v>171</v>
      </c>
      <c r="C83" s="270" t="s">
        <v>0</v>
      </c>
      <c r="D83" s="284">
        <v>62.7</v>
      </c>
      <c r="E83" s="284">
        <v>80</v>
      </c>
      <c r="F83" s="431">
        <f t="shared" si="1"/>
        <v>5016</v>
      </c>
      <c r="G83" s="272" t="s">
        <v>160</v>
      </c>
      <c r="H83" s="263" t="s">
        <v>2</v>
      </c>
      <c r="I83" s="263">
        <f>D83*0.5*2</f>
        <v>62.7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</row>
    <row r="84" spans="1:229" ht="14.25" x14ac:dyDescent="0.15">
      <c r="A84" s="291">
        <v>7</v>
      </c>
      <c r="B84" s="289" t="s">
        <v>59</v>
      </c>
      <c r="C84" s="292" t="s">
        <v>0</v>
      </c>
      <c r="D84" s="284">
        <v>62.7</v>
      </c>
      <c r="E84" s="284">
        <v>4</v>
      </c>
      <c r="F84" s="431">
        <f t="shared" si="1"/>
        <v>250.8</v>
      </c>
      <c r="G84" s="295" t="s">
        <v>8</v>
      </c>
      <c r="H84" s="262" t="s">
        <v>3</v>
      </c>
      <c r="I84" s="263">
        <f>0.15*D84</f>
        <v>9.4049999999999994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</row>
    <row r="85" spans="1:229" ht="28.5" x14ac:dyDescent="0.15">
      <c r="A85" s="288">
        <v>8</v>
      </c>
      <c r="B85" s="289" t="s">
        <v>169</v>
      </c>
      <c r="C85" s="290" t="s">
        <v>0</v>
      </c>
      <c r="D85" s="284">
        <v>62.7</v>
      </c>
      <c r="E85" s="284">
        <v>40</v>
      </c>
      <c r="F85" s="431">
        <f t="shared" si="1"/>
        <v>2508</v>
      </c>
      <c r="G85" s="318" t="s">
        <v>204</v>
      </c>
      <c r="H85" s="254" t="s">
        <v>2</v>
      </c>
      <c r="I85" s="254">
        <f>D85*0.28</f>
        <v>17.556000000000001</v>
      </c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</row>
    <row r="86" spans="1:229" ht="14.25" x14ac:dyDescent="0.15">
      <c r="A86" s="288"/>
      <c r="B86" s="296"/>
      <c r="C86" s="290"/>
      <c r="D86" s="284"/>
      <c r="E86" s="284"/>
      <c r="F86" s="431">
        <f t="shared" si="1"/>
        <v>0</v>
      </c>
      <c r="G86" s="269" t="s">
        <v>163</v>
      </c>
      <c r="H86" s="263" t="s">
        <v>7</v>
      </c>
      <c r="I86" s="263">
        <v>3</v>
      </c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</row>
    <row r="87" spans="1:229" ht="14.25" x14ac:dyDescent="0.15">
      <c r="A87" s="291"/>
      <c r="B87" s="430" t="s">
        <v>209</v>
      </c>
      <c r="C87" s="292"/>
      <c r="D87" s="293"/>
      <c r="E87" s="284"/>
      <c r="F87" s="431">
        <f t="shared" si="1"/>
        <v>0</v>
      </c>
      <c r="G87" s="274"/>
      <c r="H87" s="262"/>
      <c r="I87" s="263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</row>
    <row r="88" spans="1:229" ht="31.5" x14ac:dyDescent="0.2">
      <c r="A88" s="335">
        <v>9</v>
      </c>
      <c r="B88" s="336" t="s">
        <v>210</v>
      </c>
      <c r="C88" s="337" t="s">
        <v>0</v>
      </c>
      <c r="D88" s="338">
        <f>12.22*4+5.63</f>
        <v>54.510000000000005</v>
      </c>
      <c r="E88" s="446">
        <v>90</v>
      </c>
      <c r="F88" s="431">
        <f>D88*E88</f>
        <v>4905.9000000000005</v>
      </c>
      <c r="G88" s="274" t="s">
        <v>164</v>
      </c>
      <c r="H88" s="294" t="s">
        <v>0</v>
      </c>
      <c r="I88" s="263">
        <f>D88*1.05</f>
        <v>57.235500000000009</v>
      </c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</row>
    <row r="89" spans="1:229" ht="18" x14ac:dyDescent="0.15">
      <c r="A89" s="347"/>
      <c r="B89" s="339"/>
      <c r="C89" s="340"/>
      <c r="D89" s="341"/>
      <c r="E89" s="447"/>
      <c r="F89" s="431">
        <f t="shared" ref="F89:F136" si="2">D89*E89</f>
        <v>0</v>
      </c>
      <c r="G89" s="274" t="s">
        <v>30</v>
      </c>
      <c r="H89" s="262" t="s">
        <v>5</v>
      </c>
      <c r="I89" s="263">
        <f>3.9*D88</f>
        <v>212.58900000000003</v>
      </c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</row>
    <row r="90" spans="1:229" ht="28.5" x14ac:dyDescent="0.15">
      <c r="A90" s="347"/>
      <c r="B90" s="339"/>
      <c r="C90" s="340"/>
      <c r="D90" s="341"/>
      <c r="E90" s="447"/>
      <c r="F90" s="431">
        <f t="shared" si="2"/>
        <v>0</v>
      </c>
      <c r="G90" s="274" t="s">
        <v>31</v>
      </c>
      <c r="H90" s="262" t="s">
        <v>5</v>
      </c>
      <c r="I90" s="263">
        <f>D88*1.9</f>
        <v>103.569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49"/>
    </row>
    <row r="91" spans="1:229" ht="18" x14ac:dyDescent="0.15">
      <c r="A91" s="347"/>
      <c r="B91" s="339"/>
      <c r="C91" s="340"/>
      <c r="D91" s="341"/>
      <c r="E91" s="341"/>
      <c r="F91" s="431">
        <f t="shared" si="2"/>
        <v>0</v>
      </c>
      <c r="G91" s="319" t="s">
        <v>32</v>
      </c>
      <c r="H91" s="320" t="s">
        <v>7</v>
      </c>
      <c r="I91" s="263">
        <f>9*D88</f>
        <v>490.59000000000003</v>
      </c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49"/>
    </row>
    <row r="92" spans="1:229" ht="18" x14ac:dyDescent="0.15">
      <c r="A92" s="347"/>
      <c r="B92" s="339"/>
      <c r="C92" s="340"/>
      <c r="D92" s="341"/>
      <c r="E92" s="341"/>
      <c r="F92" s="431">
        <f t="shared" si="2"/>
        <v>0</v>
      </c>
      <c r="G92" s="321" t="s">
        <v>33</v>
      </c>
      <c r="H92" s="320" t="s">
        <v>7</v>
      </c>
      <c r="I92" s="263">
        <f>23*D88</f>
        <v>1253.73</v>
      </c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</row>
    <row r="93" spans="1:229" ht="18" x14ac:dyDescent="0.15">
      <c r="A93" s="347"/>
      <c r="B93" s="339"/>
      <c r="C93" s="340"/>
      <c r="D93" s="341"/>
      <c r="E93" s="341"/>
      <c r="F93" s="431">
        <f t="shared" si="2"/>
        <v>0</v>
      </c>
      <c r="G93" s="274" t="s">
        <v>35</v>
      </c>
      <c r="H93" s="294" t="s">
        <v>7</v>
      </c>
      <c r="I93" s="263">
        <f>20*D88</f>
        <v>1090.2</v>
      </c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</row>
    <row r="94" spans="1:229" ht="18" x14ac:dyDescent="0.15">
      <c r="A94" s="347"/>
      <c r="B94" s="339"/>
      <c r="C94" s="340"/>
      <c r="D94" s="341"/>
      <c r="E94" s="341"/>
      <c r="F94" s="431">
        <f t="shared" si="2"/>
        <v>0</v>
      </c>
      <c r="G94" s="274" t="s">
        <v>36</v>
      </c>
      <c r="H94" s="262" t="s">
        <v>5</v>
      </c>
      <c r="I94" s="263">
        <f>D88*1.1</f>
        <v>59.961000000000013</v>
      </c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49"/>
    </row>
    <row r="95" spans="1:229" ht="18" x14ac:dyDescent="0.15">
      <c r="A95" s="347"/>
      <c r="B95" s="339"/>
      <c r="C95" s="340"/>
      <c r="D95" s="341"/>
      <c r="E95" s="341"/>
      <c r="F95" s="431">
        <f t="shared" si="2"/>
        <v>0</v>
      </c>
      <c r="G95" s="274" t="s">
        <v>63</v>
      </c>
      <c r="H95" s="262" t="s">
        <v>2</v>
      </c>
      <c r="I95" s="263">
        <f>D88*0.4</f>
        <v>21.804000000000002</v>
      </c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</row>
    <row r="96" spans="1:229" ht="28.5" x14ac:dyDescent="0.15">
      <c r="A96" s="288">
        <v>10</v>
      </c>
      <c r="B96" s="317" t="s">
        <v>212</v>
      </c>
      <c r="C96" s="342" t="s">
        <v>0</v>
      </c>
      <c r="D96" s="341">
        <f>12.22*4+5.63</f>
        <v>54.510000000000005</v>
      </c>
      <c r="E96" s="341">
        <v>4</v>
      </c>
      <c r="F96" s="431">
        <f t="shared" si="2"/>
        <v>218.04000000000002</v>
      </c>
      <c r="G96" s="271" t="s">
        <v>8</v>
      </c>
      <c r="H96" s="262" t="s">
        <v>3</v>
      </c>
      <c r="I96" s="263">
        <f>0.15*D96</f>
        <v>8.1765000000000008</v>
      </c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</row>
    <row r="97" spans="1:229" ht="28.5" x14ac:dyDescent="0.15">
      <c r="A97" s="264">
        <v>11</v>
      </c>
      <c r="B97" s="271" t="s">
        <v>213</v>
      </c>
      <c r="C97" s="343" t="s">
        <v>0</v>
      </c>
      <c r="D97" s="341">
        <f>12.22*4+5.63</f>
        <v>54.510000000000005</v>
      </c>
      <c r="E97" s="341">
        <v>50</v>
      </c>
      <c r="F97" s="431">
        <f t="shared" si="2"/>
        <v>2725.5000000000005</v>
      </c>
      <c r="G97" s="271" t="s">
        <v>23</v>
      </c>
      <c r="H97" s="262" t="s">
        <v>2</v>
      </c>
      <c r="I97" s="263">
        <f>D97*1.2*2</f>
        <v>130.82400000000001</v>
      </c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</row>
    <row r="98" spans="1:229" ht="28.5" x14ac:dyDescent="0.15">
      <c r="A98" s="288">
        <v>12</v>
      </c>
      <c r="B98" s="271" t="s">
        <v>214</v>
      </c>
      <c r="C98" s="343" t="s">
        <v>0</v>
      </c>
      <c r="D98" s="341">
        <f>12.22*4+5.63</f>
        <v>54.510000000000005</v>
      </c>
      <c r="E98" s="341">
        <v>4</v>
      </c>
      <c r="F98" s="431">
        <f t="shared" si="2"/>
        <v>218.04000000000002</v>
      </c>
      <c r="G98" s="269" t="s">
        <v>8</v>
      </c>
      <c r="H98" s="263" t="s">
        <v>3</v>
      </c>
      <c r="I98" s="263">
        <f>D98*0.15</f>
        <v>8.1765000000000008</v>
      </c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</row>
    <row r="99" spans="1:229" ht="42" x14ac:dyDescent="0.15">
      <c r="A99" s="264">
        <v>13</v>
      </c>
      <c r="B99" s="271" t="s">
        <v>215</v>
      </c>
      <c r="C99" s="343" t="s">
        <v>0</v>
      </c>
      <c r="D99" s="341">
        <f>12.22*4+5.63</f>
        <v>54.510000000000005</v>
      </c>
      <c r="E99" s="341">
        <v>15</v>
      </c>
      <c r="F99" s="431">
        <f t="shared" si="2"/>
        <v>817.65000000000009</v>
      </c>
      <c r="G99" s="271" t="s">
        <v>158</v>
      </c>
      <c r="H99" s="262" t="s">
        <v>0</v>
      </c>
      <c r="I99" s="263">
        <f>D99*1.05</f>
        <v>57.235500000000009</v>
      </c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</row>
    <row r="100" spans="1:229" ht="28.5" x14ac:dyDescent="0.15">
      <c r="A100" s="264"/>
      <c r="B100" s="271"/>
      <c r="C100" s="343"/>
      <c r="D100" s="263"/>
      <c r="E100" s="263"/>
      <c r="F100" s="431">
        <f t="shared" si="2"/>
        <v>0</v>
      </c>
      <c r="G100" s="271" t="s">
        <v>159</v>
      </c>
      <c r="H100" s="262" t="s">
        <v>3</v>
      </c>
      <c r="I100" s="263">
        <f>D99*0.25</f>
        <v>13.627500000000001</v>
      </c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</row>
    <row r="101" spans="1:229" ht="28.5" x14ac:dyDescent="0.15">
      <c r="A101" s="264">
        <v>14</v>
      </c>
      <c r="B101" s="265" t="s">
        <v>218</v>
      </c>
      <c r="C101" s="343" t="s">
        <v>0</v>
      </c>
      <c r="D101" s="341">
        <f>12.22*4+5.63</f>
        <v>54.510000000000005</v>
      </c>
      <c r="E101" s="447">
        <v>80</v>
      </c>
      <c r="F101" s="431">
        <f t="shared" si="2"/>
        <v>4360.8</v>
      </c>
      <c r="G101" s="272" t="s">
        <v>160</v>
      </c>
      <c r="H101" s="263" t="s">
        <v>2</v>
      </c>
      <c r="I101" s="263">
        <f>D101*0.5*2</f>
        <v>54.510000000000005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</row>
    <row r="102" spans="1:229" ht="28.5" x14ac:dyDescent="0.15">
      <c r="A102" s="291">
        <v>15</v>
      </c>
      <c r="B102" s="289" t="s">
        <v>217</v>
      </c>
      <c r="C102" s="344" t="s">
        <v>0</v>
      </c>
      <c r="D102" s="341">
        <f>12.22*4+5.63</f>
        <v>54.510000000000005</v>
      </c>
      <c r="E102" s="447">
        <v>5</v>
      </c>
      <c r="F102" s="431">
        <f t="shared" si="2"/>
        <v>272.55</v>
      </c>
      <c r="G102" s="295" t="s">
        <v>8</v>
      </c>
      <c r="H102" s="262" t="s">
        <v>3</v>
      </c>
      <c r="I102" s="263">
        <f>0.15*D102</f>
        <v>8.1765000000000008</v>
      </c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</row>
    <row r="103" spans="1:229" ht="28.5" x14ac:dyDescent="0.15">
      <c r="A103" s="288">
        <v>16</v>
      </c>
      <c r="B103" s="289" t="s">
        <v>216</v>
      </c>
      <c r="C103" s="342" t="s">
        <v>0</v>
      </c>
      <c r="D103" s="341">
        <f>12.22*4+5.63</f>
        <v>54.510000000000005</v>
      </c>
      <c r="E103" s="447">
        <v>40</v>
      </c>
      <c r="F103" s="431">
        <f t="shared" si="2"/>
        <v>2180.4</v>
      </c>
      <c r="G103" s="318" t="s">
        <v>204</v>
      </c>
      <c r="H103" s="254" t="s">
        <v>2</v>
      </c>
      <c r="I103" s="254">
        <f>D103*0.28</f>
        <v>15.262800000000002</v>
      </c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</row>
    <row r="104" spans="1:229" ht="14.25" x14ac:dyDescent="0.15">
      <c r="A104" s="288"/>
      <c r="B104" s="296"/>
      <c r="C104" s="290"/>
      <c r="D104" s="284"/>
      <c r="E104" s="284"/>
      <c r="F104" s="431">
        <f t="shared" si="2"/>
        <v>0</v>
      </c>
      <c r="G104" s="269" t="s">
        <v>163</v>
      </c>
      <c r="H104" s="263" t="s">
        <v>7</v>
      </c>
      <c r="I104" s="263">
        <v>3</v>
      </c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</row>
    <row r="105" spans="1:229" ht="14.25" x14ac:dyDescent="0.15">
      <c r="A105" s="291"/>
      <c r="B105" s="430" t="s">
        <v>211</v>
      </c>
      <c r="C105" s="292"/>
      <c r="D105" s="293"/>
      <c r="E105" s="284"/>
      <c r="F105" s="431">
        <f t="shared" si="2"/>
        <v>0</v>
      </c>
      <c r="G105" s="274"/>
      <c r="H105" s="262"/>
      <c r="I105" s="263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</row>
    <row r="106" spans="1:229" ht="31.5" x14ac:dyDescent="0.2">
      <c r="A106" s="335">
        <v>17</v>
      </c>
      <c r="B106" s="336" t="s">
        <v>219</v>
      </c>
      <c r="C106" s="340" t="s">
        <v>62</v>
      </c>
      <c r="D106" s="341">
        <f>3.68*8+4.28</f>
        <v>33.72</v>
      </c>
      <c r="E106" s="446">
        <v>75</v>
      </c>
      <c r="F106" s="431">
        <f t="shared" si="2"/>
        <v>2529</v>
      </c>
      <c r="G106" s="274" t="s">
        <v>164</v>
      </c>
      <c r="H106" s="294" t="s">
        <v>0</v>
      </c>
      <c r="I106" s="263">
        <f>D106*0.25*5</f>
        <v>42.15</v>
      </c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</row>
    <row r="107" spans="1:229" ht="18" x14ac:dyDescent="0.15">
      <c r="A107" s="347"/>
      <c r="B107" s="339"/>
      <c r="C107" s="340"/>
      <c r="D107" s="341"/>
      <c r="E107" s="447"/>
      <c r="F107" s="431">
        <f t="shared" si="2"/>
        <v>0</v>
      </c>
      <c r="G107" s="274" t="s">
        <v>30</v>
      </c>
      <c r="H107" s="262" t="s">
        <v>5</v>
      </c>
      <c r="I107" s="263">
        <f>D106/0.4*0.25*1.1</f>
        <v>23.182500000000001</v>
      </c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</row>
    <row r="108" spans="1:229" ht="28.5" x14ac:dyDescent="0.15">
      <c r="A108" s="347"/>
      <c r="B108" s="339"/>
      <c r="C108" s="340"/>
      <c r="D108" s="341"/>
      <c r="E108" s="447"/>
      <c r="F108" s="431">
        <f t="shared" si="2"/>
        <v>0</v>
      </c>
      <c r="G108" s="274" t="s">
        <v>31</v>
      </c>
      <c r="H108" s="262" t="s">
        <v>5</v>
      </c>
      <c r="I108" s="263">
        <f>D106*2*1.1</f>
        <v>74.183999999999997</v>
      </c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</row>
    <row r="109" spans="1:229" ht="18" x14ac:dyDescent="0.15">
      <c r="A109" s="347"/>
      <c r="B109" s="339"/>
      <c r="C109" s="340"/>
      <c r="D109" s="341"/>
      <c r="E109" s="341"/>
      <c r="F109" s="431">
        <f t="shared" si="2"/>
        <v>0</v>
      </c>
      <c r="G109" s="321" t="s">
        <v>33</v>
      </c>
      <c r="H109" s="320" t="s">
        <v>7</v>
      </c>
      <c r="I109" s="263">
        <f>23*D106</f>
        <v>775.56</v>
      </c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</row>
    <row r="110" spans="1:229" ht="18" x14ac:dyDescent="0.15">
      <c r="A110" s="347"/>
      <c r="B110" s="339"/>
      <c r="C110" s="340"/>
      <c r="D110" s="341"/>
      <c r="E110" s="341"/>
      <c r="F110" s="431">
        <f t="shared" si="2"/>
        <v>0</v>
      </c>
      <c r="G110" s="274" t="s">
        <v>35</v>
      </c>
      <c r="H110" s="294" t="s">
        <v>7</v>
      </c>
      <c r="I110" s="263">
        <f>20*D106</f>
        <v>674.4</v>
      </c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</row>
    <row r="111" spans="1:229" ht="18" x14ac:dyDescent="0.15">
      <c r="A111" s="347"/>
      <c r="B111" s="339"/>
      <c r="C111" s="340"/>
      <c r="D111" s="341"/>
      <c r="E111" s="341"/>
      <c r="F111" s="431">
        <f t="shared" si="2"/>
        <v>0</v>
      </c>
      <c r="G111" s="274" t="s">
        <v>36</v>
      </c>
      <c r="H111" s="262" t="s">
        <v>5</v>
      </c>
      <c r="I111" s="263">
        <f>D106*1.1</f>
        <v>37.091999999999999</v>
      </c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</row>
    <row r="112" spans="1:229" ht="18" x14ac:dyDescent="0.15">
      <c r="A112" s="347"/>
      <c r="B112" s="339"/>
      <c r="C112" s="340"/>
      <c r="D112" s="341"/>
      <c r="E112" s="341"/>
      <c r="F112" s="431">
        <f t="shared" si="2"/>
        <v>0</v>
      </c>
      <c r="G112" s="274" t="s">
        <v>63</v>
      </c>
      <c r="H112" s="262" t="s">
        <v>2</v>
      </c>
      <c r="I112" s="263">
        <f>D106*0.4</f>
        <v>13.488</v>
      </c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</row>
    <row r="113" spans="1:229" ht="29.25" x14ac:dyDescent="0.2">
      <c r="A113" s="288">
        <v>18</v>
      </c>
      <c r="B113" s="317" t="s">
        <v>220</v>
      </c>
      <c r="C113" s="340" t="s">
        <v>62</v>
      </c>
      <c r="D113" s="341">
        <f>3.68*8+4.28</f>
        <v>33.72</v>
      </c>
      <c r="E113" s="341">
        <v>4</v>
      </c>
      <c r="F113" s="431">
        <f t="shared" si="2"/>
        <v>134.88</v>
      </c>
      <c r="G113" s="271" t="s">
        <v>8</v>
      </c>
      <c r="H113" s="262" t="s">
        <v>3</v>
      </c>
      <c r="I113" s="263">
        <f>D113*0.25*0.15</f>
        <v>1.2645</v>
      </c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</row>
    <row r="114" spans="1:229" ht="29.25" x14ac:dyDescent="0.2">
      <c r="A114" s="288">
        <v>19</v>
      </c>
      <c r="B114" s="271" t="s">
        <v>221</v>
      </c>
      <c r="C114" s="340" t="s">
        <v>62</v>
      </c>
      <c r="D114" s="341">
        <f>3.68*8+4.28</f>
        <v>33.72</v>
      </c>
      <c r="E114" s="341">
        <v>50</v>
      </c>
      <c r="F114" s="431">
        <f t="shared" si="2"/>
        <v>1686</v>
      </c>
      <c r="G114" s="271" t="s">
        <v>23</v>
      </c>
      <c r="H114" s="262" t="s">
        <v>2</v>
      </c>
      <c r="I114" s="263">
        <f>D114*0.25*1.2*2</f>
        <v>20.231999999999999</v>
      </c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49"/>
    </row>
    <row r="115" spans="1:229" ht="29.25" x14ac:dyDescent="0.2">
      <c r="A115" s="288">
        <v>20</v>
      </c>
      <c r="B115" s="271" t="s">
        <v>222</v>
      </c>
      <c r="C115" s="340" t="s">
        <v>62</v>
      </c>
      <c r="D115" s="341">
        <f>3.68*8+4.28</f>
        <v>33.72</v>
      </c>
      <c r="E115" s="341">
        <v>4</v>
      </c>
      <c r="F115" s="431">
        <f t="shared" si="2"/>
        <v>134.88</v>
      </c>
      <c r="G115" s="269" t="s">
        <v>8</v>
      </c>
      <c r="H115" s="263" t="s">
        <v>3</v>
      </c>
      <c r="I115" s="263">
        <f>D115*0.25*0.15</f>
        <v>1.2645</v>
      </c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49"/>
    </row>
    <row r="116" spans="1:229" ht="42.75" x14ac:dyDescent="0.2">
      <c r="A116" s="288">
        <v>21</v>
      </c>
      <c r="B116" s="271" t="s">
        <v>223</v>
      </c>
      <c r="C116" s="340" t="s">
        <v>62</v>
      </c>
      <c r="D116" s="341">
        <f>3.68*8+4.28</f>
        <v>33.72</v>
      </c>
      <c r="E116" s="341">
        <v>15</v>
      </c>
      <c r="F116" s="431">
        <f t="shared" si="2"/>
        <v>505.79999999999995</v>
      </c>
      <c r="G116" s="271" t="s">
        <v>158</v>
      </c>
      <c r="H116" s="262" t="s">
        <v>0</v>
      </c>
      <c r="I116" s="263">
        <f>D116*0.25*1.05</f>
        <v>8.8514999999999997</v>
      </c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</row>
    <row r="117" spans="1:229" ht="28.5" x14ac:dyDescent="0.15">
      <c r="A117" s="264"/>
      <c r="B117" s="271"/>
      <c r="C117" s="345"/>
      <c r="D117" s="263"/>
      <c r="E117" s="263"/>
      <c r="F117" s="431">
        <f t="shared" si="2"/>
        <v>0</v>
      </c>
      <c r="G117" s="271" t="s">
        <v>159</v>
      </c>
      <c r="H117" s="262" t="s">
        <v>3</v>
      </c>
      <c r="I117" s="263">
        <f>D116*0.25*0.25</f>
        <v>2.1074999999999999</v>
      </c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</row>
    <row r="118" spans="1:229" ht="29.25" x14ac:dyDescent="0.2">
      <c r="A118" s="264">
        <v>22</v>
      </c>
      <c r="B118" s="265" t="s">
        <v>224</v>
      </c>
      <c r="C118" s="340" t="s">
        <v>62</v>
      </c>
      <c r="D118" s="341">
        <f>3.68*8+4.28</f>
        <v>33.72</v>
      </c>
      <c r="E118" s="447">
        <v>80</v>
      </c>
      <c r="F118" s="431">
        <f t="shared" si="2"/>
        <v>2697.6</v>
      </c>
      <c r="G118" s="272" t="s">
        <v>160</v>
      </c>
      <c r="H118" s="263" t="s">
        <v>2</v>
      </c>
      <c r="I118" s="263">
        <f>D118*0.25*0.5*2</f>
        <v>8.43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</row>
    <row r="119" spans="1:229" ht="29.25" x14ac:dyDescent="0.2">
      <c r="A119" s="291">
        <v>23</v>
      </c>
      <c r="B119" s="289" t="s">
        <v>225</v>
      </c>
      <c r="C119" s="340" t="s">
        <v>62</v>
      </c>
      <c r="D119" s="341">
        <f>3.68*8+4.28</f>
        <v>33.72</v>
      </c>
      <c r="E119" s="341">
        <v>4</v>
      </c>
      <c r="F119" s="431">
        <f t="shared" si="2"/>
        <v>134.88</v>
      </c>
      <c r="G119" s="295" t="s">
        <v>8</v>
      </c>
      <c r="H119" s="262" t="s">
        <v>3</v>
      </c>
      <c r="I119" s="263">
        <f>D119*0.25*0.15</f>
        <v>1.2645</v>
      </c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</row>
    <row r="120" spans="1:229" ht="29.25" x14ac:dyDescent="0.2">
      <c r="A120" s="288">
        <v>24</v>
      </c>
      <c r="B120" s="289" t="s">
        <v>226</v>
      </c>
      <c r="C120" s="340" t="s">
        <v>62</v>
      </c>
      <c r="D120" s="341">
        <f>3.68*8+4.28</f>
        <v>33.72</v>
      </c>
      <c r="E120" s="341">
        <v>40</v>
      </c>
      <c r="F120" s="431">
        <f t="shared" si="2"/>
        <v>1348.8</v>
      </c>
      <c r="G120" s="318" t="s">
        <v>204</v>
      </c>
      <c r="H120" s="254" t="s">
        <v>2</v>
      </c>
      <c r="I120" s="254">
        <f>D120*0.25*0.3</f>
        <v>2.5289999999999999</v>
      </c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</row>
    <row r="121" spans="1:229" ht="14.25" x14ac:dyDescent="0.15">
      <c r="A121" s="288"/>
      <c r="B121" s="296"/>
      <c r="C121" s="290"/>
      <c r="D121" s="284"/>
      <c r="E121" s="284"/>
      <c r="F121" s="431">
        <f t="shared" si="2"/>
        <v>0</v>
      </c>
      <c r="G121" s="269" t="s">
        <v>163</v>
      </c>
      <c r="H121" s="263" t="s">
        <v>7</v>
      </c>
      <c r="I121" s="263">
        <v>2</v>
      </c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49"/>
    </row>
    <row r="122" spans="1:229" ht="14.25" x14ac:dyDescent="0.15">
      <c r="A122" s="298">
        <v>25</v>
      </c>
      <c r="B122" s="317" t="s">
        <v>243</v>
      </c>
      <c r="C122" s="290" t="s">
        <v>5</v>
      </c>
      <c r="D122" s="267">
        <v>205</v>
      </c>
      <c r="E122" s="267">
        <v>15</v>
      </c>
      <c r="F122" s="431">
        <f t="shared" si="2"/>
        <v>3075</v>
      </c>
      <c r="G122" s="269"/>
      <c r="H122" s="263"/>
      <c r="I122" s="263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49"/>
    </row>
    <row r="123" spans="1:229" ht="28.5" x14ac:dyDescent="0.15">
      <c r="A123" s="291">
        <v>26</v>
      </c>
      <c r="B123" s="334" t="s">
        <v>230</v>
      </c>
      <c r="C123" s="290" t="s">
        <v>5</v>
      </c>
      <c r="D123" s="267">
        <v>205</v>
      </c>
      <c r="E123" s="267">
        <v>10</v>
      </c>
      <c r="F123" s="431">
        <f t="shared" si="2"/>
        <v>2050</v>
      </c>
      <c r="G123" s="329" t="s">
        <v>231</v>
      </c>
      <c r="H123" s="254" t="s">
        <v>5</v>
      </c>
      <c r="I123" s="254">
        <f>D123*1.03</f>
        <v>211.15</v>
      </c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</row>
    <row r="124" spans="1:229" ht="14.25" x14ac:dyDescent="0.15">
      <c r="A124" s="288"/>
      <c r="B124" s="430"/>
      <c r="C124" s="290"/>
      <c r="D124" s="284"/>
      <c r="E124" s="284"/>
      <c r="F124" s="431"/>
      <c r="G124" s="322"/>
      <c r="H124" s="323"/>
      <c r="I124" s="263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49"/>
    </row>
    <row r="125" spans="1:229" ht="14.25" x14ac:dyDescent="0.15">
      <c r="A125" s="276"/>
      <c r="B125" s="277" t="s">
        <v>27</v>
      </c>
      <c r="C125" s="277"/>
      <c r="D125" s="278"/>
      <c r="E125" s="278"/>
      <c r="F125" s="445">
        <f>SUM(F70:F124)</f>
        <v>48617.619999999995</v>
      </c>
      <c r="G125" s="299"/>
      <c r="H125" s="300"/>
      <c r="I125" s="279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</row>
    <row r="126" spans="1:229" ht="28.5" x14ac:dyDescent="0.15">
      <c r="A126" s="285"/>
      <c r="B126" s="282" t="s">
        <v>239</v>
      </c>
      <c r="C126" s="286"/>
      <c r="D126" s="283"/>
      <c r="E126" s="283"/>
      <c r="F126" s="432">
        <f t="shared" si="2"/>
        <v>0</v>
      </c>
      <c r="G126" s="287"/>
      <c r="H126" s="260"/>
      <c r="I126" s="261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</row>
    <row r="127" spans="1:229" ht="18" x14ac:dyDescent="0.2">
      <c r="A127" s="288">
        <v>1</v>
      </c>
      <c r="B127" s="289" t="s">
        <v>144</v>
      </c>
      <c r="C127" s="340" t="s">
        <v>157</v>
      </c>
      <c r="D127" s="341">
        <v>33</v>
      </c>
      <c r="E127" s="341"/>
      <c r="F127" s="431">
        <f t="shared" si="2"/>
        <v>0</v>
      </c>
      <c r="G127" s="318"/>
      <c r="H127" s="254"/>
      <c r="I127" s="254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</row>
    <row r="128" spans="1:229" ht="18" x14ac:dyDescent="0.2">
      <c r="A128" s="288">
        <v>2</v>
      </c>
      <c r="B128" s="289" t="s">
        <v>244</v>
      </c>
      <c r="C128" s="340" t="s">
        <v>112</v>
      </c>
      <c r="D128" s="341">
        <v>4</v>
      </c>
      <c r="E128" s="341"/>
      <c r="F128" s="431">
        <f t="shared" si="2"/>
        <v>0</v>
      </c>
      <c r="G128" s="269" t="s">
        <v>116</v>
      </c>
      <c r="H128" s="263" t="s">
        <v>7</v>
      </c>
      <c r="I128" s="263">
        <v>800</v>
      </c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</row>
    <row r="129" spans="1:229" ht="18" x14ac:dyDescent="0.2">
      <c r="A129" s="288">
        <v>3</v>
      </c>
      <c r="B129" s="289" t="s">
        <v>245</v>
      </c>
      <c r="C129" s="340" t="s">
        <v>0</v>
      </c>
      <c r="D129" s="341">
        <v>300</v>
      </c>
      <c r="E129" s="341"/>
      <c r="F129" s="431">
        <f t="shared" si="2"/>
        <v>0</v>
      </c>
      <c r="G129" s="269" t="s">
        <v>246</v>
      </c>
      <c r="H129" s="263" t="s">
        <v>247</v>
      </c>
      <c r="I129" s="263">
        <v>60</v>
      </c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49"/>
    </row>
    <row r="130" spans="1:229" ht="14.25" x14ac:dyDescent="0.15">
      <c r="A130" s="276"/>
      <c r="B130" s="277" t="s">
        <v>27</v>
      </c>
      <c r="C130" s="277"/>
      <c r="D130" s="278"/>
      <c r="E130" s="278"/>
      <c r="F130" s="445">
        <f t="shared" si="2"/>
        <v>0</v>
      </c>
      <c r="G130" s="280"/>
      <c r="H130" s="279"/>
      <c r="I130" s="279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</row>
    <row r="131" spans="1:229" ht="28.5" x14ac:dyDescent="0.15">
      <c r="A131" s="285"/>
      <c r="B131" s="282" t="s">
        <v>239</v>
      </c>
      <c r="C131" s="286"/>
      <c r="D131" s="283"/>
      <c r="E131" s="283"/>
      <c r="F131" s="432">
        <f t="shared" si="2"/>
        <v>0</v>
      </c>
      <c r="G131" s="287"/>
      <c r="H131" s="260"/>
      <c r="I131" s="261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</row>
    <row r="132" spans="1:229" ht="18" x14ac:dyDescent="0.15">
      <c r="A132" s="288">
        <v>1</v>
      </c>
      <c r="B132" s="289" t="s">
        <v>227</v>
      </c>
      <c r="C132" s="340"/>
      <c r="D132" s="341"/>
      <c r="E132" s="341"/>
      <c r="F132" s="431">
        <f t="shared" si="2"/>
        <v>0</v>
      </c>
      <c r="G132" s="318"/>
      <c r="H132" s="254"/>
      <c r="I132" s="254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</row>
    <row r="133" spans="1:229" ht="18.75" customHeight="1" x14ac:dyDescent="0.15">
      <c r="A133" s="288">
        <v>2</v>
      </c>
      <c r="B133" s="289" t="s">
        <v>240</v>
      </c>
      <c r="C133" s="340"/>
      <c r="D133" s="341"/>
      <c r="E133" s="341"/>
      <c r="F133" s="431">
        <f t="shared" si="2"/>
        <v>0</v>
      </c>
      <c r="G133" s="318"/>
      <c r="H133" s="254"/>
      <c r="I133" s="254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</row>
    <row r="134" spans="1:229" ht="18" x14ac:dyDescent="0.15">
      <c r="A134" s="288">
        <v>3</v>
      </c>
      <c r="B134" s="289" t="s">
        <v>241</v>
      </c>
      <c r="C134" s="340"/>
      <c r="D134" s="341"/>
      <c r="E134" s="341"/>
      <c r="F134" s="431">
        <f t="shared" si="2"/>
        <v>0</v>
      </c>
      <c r="G134" s="318"/>
      <c r="H134" s="254"/>
      <c r="I134" s="254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49"/>
    </row>
    <row r="135" spans="1:229" ht="28.5" x14ac:dyDescent="0.15">
      <c r="A135" s="288">
        <v>4</v>
      </c>
      <c r="B135" s="289" t="s">
        <v>228</v>
      </c>
      <c r="C135" s="340"/>
      <c r="D135" s="341"/>
      <c r="E135" s="341"/>
      <c r="F135" s="431">
        <f t="shared" si="2"/>
        <v>0</v>
      </c>
      <c r="G135" s="318"/>
      <c r="H135" s="254"/>
      <c r="I135" s="254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49"/>
    </row>
    <row r="136" spans="1:229" ht="18" x14ac:dyDescent="0.15">
      <c r="A136" s="288">
        <v>5</v>
      </c>
      <c r="B136" s="289" t="s">
        <v>229</v>
      </c>
      <c r="C136" s="340"/>
      <c r="D136" s="341"/>
      <c r="E136" s="341"/>
      <c r="F136" s="431">
        <f t="shared" si="2"/>
        <v>0</v>
      </c>
      <c r="G136" s="318"/>
      <c r="H136" s="254"/>
      <c r="I136" s="254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</row>
    <row r="137" spans="1:229" ht="14.25" x14ac:dyDescent="0.15">
      <c r="A137" s="276"/>
      <c r="B137" s="277" t="s">
        <v>27</v>
      </c>
      <c r="C137" s="277"/>
      <c r="D137" s="278"/>
      <c r="E137" s="278"/>
      <c r="F137" s="445"/>
      <c r="G137" s="299"/>
      <c r="H137" s="300"/>
      <c r="I137" s="279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</row>
    <row r="138" spans="1:229" ht="15" thickBot="1" x14ac:dyDescent="0.2">
      <c r="A138" s="301"/>
      <c r="B138" s="302" t="s">
        <v>165</v>
      </c>
      <c r="C138" s="302"/>
      <c r="D138" s="303"/>
      <c r="E138" s="303"/>
      <c r="F138" s="439">
        <f>SUM(F11,F53,F67,F125)</f>
        <v>189192.41312499999</v>
      </c>
      <c r="G138" s="305" t="s">
        <v>166</v>
      </c>
      <c r="H138" s="306"/>
      <c r="I138" s="304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</row>
    <row r="139" spans="1:229" s="351" customFormat="1" ht="26.25" customHeight="1" x14ac:dyDescent="0.15">
      <c r="A139" s="348"/>
      <c r="B139" s="349" t="s">
        <v>165</v>
      </c>
      <c r="C139" s="307"/>
      <c r="D139" s="308"/>
      <c r="E139" s="308"/>
      <c r="F139" s="438">
        <f>F138</f>
        <v>189192.41312499999</v>
      </c>
      <c r="G139" s="350"/>
      <c r="H139" s="253"/>
      <c r="I139" s="309"/>
    </row>
    <row r="140" spans="1:229" ht="15" thickBot="1" x14ac:dyDescent="0.2">
      <c r="A140" s="433"/>
      <c r="B140" s="434" t="s">
        <v>166</v>
      </c>
      <c r="C140" s="435"/>
      <c r="D140" s="436"/>
      <c r="E140" s="436"/>
      <c r="F140" s="437"/>
      <c r="G140" s="324"/>
      <c r="H140" s="325"/>
      <c r="I140" s="417"/>
    </row>
  </sheetData>
  <mergeCells count="3">
    <mergeCell ref="A1:I1"/>
    <mergeCell ref="A2:I2"/>
    <mergeCell ref="A3:I3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Footer xml:space="preserve">&amp;L  "Генпідрядник"    _________________ В.І. Старинець&amp;C &amp;R                       "Підрядник" ___________________ О. С Петрівський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zoomScale="85" zoomScaleNormal="85" workbookViewId="0" xr3:uid="{958C4451-9541-5A59-BF78-D2F731DF1C81}">
      <pane ySplit="5" topLeftCell="A6" activePane="bottomLeft" state="frozen"/>
      <selection pane="bottomLeft" activeCell="C9" sqref="C9"/>
    </sheetView>
  </sheetViews>
  <sheetFormatPr defaultRowHeight="12.75" x14ac:dyDescent="0.15"/>
  <cols>
    <col min="1" max="1" width="2.01953125" customWidth="1"/>
    <col min="2" max="2" width="7.28125" bestFit="1" customWidth="1"/>
    <col min="3" max="3" width="60.81640625" customWidth="1"/>
    <col min="4" max="4" width="8.8984375" bestFit="1" customWidth="1"/>
    <col min="5" max="6" width="11.4609375" customWidth="1"/>
    <col min="7" max="7" width="38.56640625" customWidth="1"/>
    <col min="8" max="8" width="11.4609375" customWidth="1"/>
    <col min="9" max="9" width="10.3828125" customWidth="1"/>
    <col min="10" max="10" width="15.1015625" customWidth="1"/>
    <col min="11" max="11" width="18.33984375" style="450" customWidth="1"/>
  </cols>
  <sheetData>
    <row r="1" spans="1:11" ht="20.25" customHeight="1" x14ac:dyDescent="0.15">
      <c r="A1" s="353"/>
      <c r="B1" s="464" t="s">
        <v>310</v>
      </c>
      <c r="C1" s="464"/>
      <c r="D1" s="464"/>
      <c r="E1" s="464"/>
      <c r="F1" s="464"/>
      <c r="G1" s="464"/>
      <c r="H1" s="464"/>
      <c r="I1" s="464"/>
      <c r="J1" s="464"/>
      <c r="K1" s="464"/>
    </row>
    <row r="2" spans="1:11" ht="18.75" customHeight="1" x14ac:dyDescent="0.15">
      <c r="A2" s="467" t="s">
        <v>309</v>
      </c>
      <c r="B2" s="467"/>
      <c r="C2" s="467"/>
      <c r="D2" s="467"/>
      <c r="E2" s="467"/>
      <c r="F2" s="467"/>
      <c r="G2" s="467"/>
      <c r="H2" s="467"/>
      <c r="I2" s="467"/>
      <c r="J2" s="467"/>
    </row>
    <row r="3" spans="1:11" ht="20.25" customHeight="1" thickBot="1" x14ac:dyDescent="0.2">
      <c r="A3" s="467" t="s">
        <v>311</v>
      </c>
      <c r="B3" s="467"/>
      <c r="C3" s="467"/>
      <c r="D3" s="467"/>
      <c r="E3" s="467"/>
      <c r="F3" s="467"/>
      <c r="G3" s="467"/>
      <c r="H3" s="467"/>
      <c r="I3" s="467"/>
      <c r="J3" s="467"/>
    </row>
    <row r="4" spans="1:11" ht="17.25" customHeight="1" x14ac:dyDescent="0.15">
      <c r="A4" s="352"/>
      <c r="B4" s="468" t="s">
        <v>1</v>
      </c>
      <c r="C4" s="470" t="s">
        <v>13</v>
      </c>
      <c r="D4" s="470" t="s">
        <v>14</v>
      </c>
      <c r="E4" s="472" t="s">
        <v>15</v>
      </c>
      <c r="F4" s="426"/>
      <c r="G4" s="474" t="s">
        <v>168</v>
      </c>
      <c r="H4" s="474"/>
      <c r="I4" s="474"/>
      <c r="J4" s="474"/>
      <c r="K4" s="475"/>
    </row>
    <row r="5" spans="1:11" ht="51.75" customHeight="1" thickBot="1" x14ac:dyDescent="0.2">
      <c r="A5" s="352"/>
      <c r="B5" s="469"/>
      <c r="C5" s="471"/>
      <c r="D5" s="471"/>
      <c r="E5" s="473"/>
      <c r="F5" s="427" t="s">
        <v>314</v>
      </c>
      <c r="G5" s="355" t="s">
        <v>19</v>
      </c>
      <c r="H5" s="355" t="s">
        <v>14</v>
      </c>
      <c r="I5" s="354" t="s">
        <v>15</v>
      </c>
      <c r="J5" s="354" t="s">
        <v>242</v>
      </c>
      <c r="K5" s="356" t="s">
        <v>308</v>
      </c>
    </row>
    <row r="6" spans="1:11" ht="14.25" x14ac:dyDescent="0.15">
      <c r="B6" s="387"/>
      <c r="C6" s="388" t="s">
        <v>76</v>
      </c>
      <c r="D6" s="389"/>
      <c r="E6" s="389"/>
      <c r="F6" s="389"/>
      <c r="G6" s="390"/>
      <c r="H6" s="390"/>
      <c r="I6" s="390"/>
      <c r="J6" s="391"/>
      <c r="K6" s="451"/>
    </row>
    <row r="7" spans="1:11" ht="14.25" x14ac:dyDescent="0.15">
      <c r="B7" s="357"/>
      <c r="C7" s="358" t="s">
        <v>248</v>
      </c>
      <c r="D7" s="359" t="s">
        <v>249</v>
      </c>
      <c r="E7" s="360">
        <f>[1]Обєми!L8</f>
        <v>1019.802</v>
      </c>
      <c r="F7" s="362">
        <v>200</v>
      </c>
      <c r="G7" s="362"/>
      <c r="H7" s="362"/>
      <c r="I7" s="363"/>
      <c r="J7" s="364"/>
      <c r="K7" s="452">
        <f>E7*F7</f>
        <v>203960.4</v>
      </c>
    </row>
    <row r="8" spans="1:11" ht="14.25" x14ac:dyDescent="0.15">
      <c r="B8" s="357"/>
      <c r="C8" s="366" t="s">
        <v>250</v>
      </c>
      <c r="D8" s="359" t="s">
        <v>249</v>
      </c>
      <c r="E8" s="368">
        <f>E7-E9-E10</f>
        <v>913.96932000000004</v>
      </c>
      <c r="F8" s="361"/>
      <c r="G8" s="362"/>
      <c r="H8" s="362"/>
      <c r="I8" s="363"/>
      <c r="J8" s="364"/>
      <c r="K8" s="452">
        <f t="shared" ref="K8:K36" si="0">E8*F8</f>
        <v>0</v>
      </c>
    </row>
    <row r="9" spans="1:11" ht="14.25" x14ac:dyDescent="0.15">
      <c r="B9" s="357"/>
      <c r="C9" s="413" t="s">
        <v>251</v>
      </c>
      <c r="D9" s="359" t="s">
        <v>249</v>
      </c>
      <c r="E9" s="368">
        <f>[1]Двері!J29+[1]Двері!S29+[1]Двері!AB30</f>
        <v>49.486999999999995</v>
      </c>
      <c r="F9" s="361"/>
      <c r="G9" s="362"/>
      <c r="H9" s="362"/>
      <c r="I9" s="363"/>
      <c r="J9" s="364"/>
      <c r="K9" s="452">
        <f t="shared" si="0"/>
        <v>0</v>
      </c>
    </row>
    <row r="10" spans="1:11" ht="14.25" x14ac:dyDescent="0.15">
      <c r="B10" s="357"/>
      <c r="C10" s="413" t="s">
        <v>252</v>
      </c>
      <c r="D10" s="359" t="s">
        <v>249</v>
      </c>
      <c r="E10" s="368">
        <f>[1]Обєми!L29</f>
        <v>56.345680000000002</v>
      </c>
      <c r="F10" s="361"/>
      <c r="G10" s="362"/>
      <c r="H10" s="362"/>
      <c r="I10" s="363"/>
      <c r="J10" s="364"/>
      <c r="K10" s="452">
        <f t="shared" si="0"/>
        <v>0</v>
      </c>
    </row>
    <row r="11" spans="1:11" ht="14.25" x14ac:dyDescent="0.15">
      <c r="B11" s="357"/>
      <c r="C11" s="365" t="s">
        <v>253</v>
      </c>
      <c r="D11" s="359" t="s">
        <v>5</v>
      </c>
      <c r="E11" s="360">
        <v>585.9</v>
      </c>
      <c r="F11" s="362">
        <v>10</v>
      </c>
      <c r="G11" s="362"/>
      <c r="H11" s="362"/>
      <c r="I11" s="363"/>
      <c r="J11" s="364"/>
      <c r="K11" s="452">
        <f t="shared" si="0"/>
        <v>5859</v>
      </c>
    </row>
    <row r="12" spans="1:11" ht="14.25" x14ac:dyDescent="0.15">
      <c r="B12" s="357"/>
      <c r="C12" s="365" t="s">
        <v>254</v>
      </c>
      <c r="D12" s="359" t="s">
        <v>5</v>
      </c>
      <c r="E12" s="360">
        <v>716.7</v>
      </c>
      <c r="F12" s="362">
        <v>10</v>
      </c>
      <c r="G12" s="362"/>
      <c r="H12" s="362"/>
      <c r="I12" s="363"/>
      <c r="J12" s="364"/>
      <c r="K12" s="452">
        <f t="shared" si="0"/>
        <v>7167</v>
      </c>
    </row>
    <row r="13" spans="1:11" ht="14.25" x14ac:dyDescent="0.15">
      <c r="B13" s="357"/>
      <c r="C13" s="366" t="s">
        <v>255</v>
      </c>
      <c r="D13" s="367" t="s">
        <v>249</v>
      </c>
      <c r="E13" s="368">
        <f>'[1]Опорядження стін'!Y5*1.05</f>
        <v>646.70550000000003</v>
      </c>
      <c r="F13" s="361"/>
      <c r="G13" s="362"/>
      <c r="H13" s="362"/>
      <c r="I13" s="363"/>
      <c r="J13" s="364"/>
      <c r="K13" s="452">
        <f t="shared" si="0"/>
        <v>0</v>
      </c>
    </row>
    <row r="14" spans="1:11" ht="14.25" x14ac:dyDescent="0.15">
      <c r="B14" s="357"/>
      <c r="C14" s="369" t="s">
        <v>256</v>
      </c>
      <c r="D14" s="367" t="s">
        <v>249</v>
      </c>
      <c r="E14" s="368">
        <f>'[1]Опорядження стін'!Y6*1.05</f>
        <v>234.57000000000002</v>
      </c>
      <c r="F14" s="361"/>
      <c r="G14" s="362"/>
      <c r="H14" s="362"/>
      <c r="I14" s="363"/>
      <c r="J14" s="364"/>
      <c r="K14" s="452">
        <f t="shared" si="0"/>
        <v>0</v>
      </c>
    </row>
    <row r="15" spans="1:11" ht="14.25" x14ac:dyDescent="0.15">
      <c r="B15" s="357"/>
      <c r="C15" s="369" t="s">
        <v>257</v>
      </c>
      <c r="D15" s="367" t="s">
        <v>249</v>
      </c>
      <c r="E15" s="368">
        <f>'[1]Опорядження стін'!Y7*1.05</f>
        <v>63.714000000000006</v>
      </c>
      <c r="F15" s="361"/>
      <c r="G15" s="361"/>
      <c r="H15" s="370"/>
      <c r="I15" s="371"/>
      <c r="J15" s="364"/>
      <c r="K15" s="452">
        <f t="shared" si="0"/>
        <v>0</v>
      </c>
    </row>
    <row r="16" spans="1:11" ht="28.5" x14ac:dyDescent="0.15">
      <c r="B16" s="357"/>
      <c r="C16" s="372" t="s">
        <v>298</v>
      </c>
      <c r="D16" s="367" t="s">
        <v>5</v>
      </c>
      <c r="E16" s="368">
        <f>'[1]Опорядження стін'!Y8*2.7</f>
        <v>515.70000000000005</v>
      </c>
      <c r="F16" s="361"/>
      <c r="G16" s="361"/>
      <c r="H16" s="370"/>
      <c r="I16" s="371"/>
      <c r="J16" s="364"/>
      <c r="K16" s="452">
        <f t="shared" si="0"/>
        <v>0</v>
      </c>
    </row>
    <row r="17" spans="2:11" ht="14.25" x14ac:dyDescent="0.15">
      <c r="B17" s="357"/>
      <c r="C17" s="414" t="s">
        <v>302</v>
      </c>
      <c r="D17" s="367" t="s">
        <v>249</v>
      </c>
      <c r="E17" s="368">
        <v>13.66</v>
      </c>
      <c r="F17" s="361">
        <v>200</v>
      </c>
      <c r="G17" s="361"/>
      <c r="H17" s="370"/>
      <c r="I17" s="371"/>
      <c r="J17" s="364"/>
      <c r="K17" s="452">
        <f t="shared" si="0"/>
        <v>2732</v>
      </c>
    </row>
    <row r="18" spans="2:11" ht="14.25" x14ac:dyDescent="0.15">
      <c r="B18" s="357"/>
      <c r="C18" s="465" t="s">
        <v>258</v>
      </c>
      <c r="D18" s="367" t="s">
        <v>7</v>
      </c>
      <c r="E18" s="368">
        <v>26</v>
      </c>
      <c r="F18" s="361"/>
      <c r="G18" s="361"/>
      <c r="H18" s="370"/>
      <c r="I18" s="371"/>
      <c r="J18" s="364"/>
      <c r="K18" s="452">
        <f t="shared" si="0"/>
        <v>0</v>
      </c>
    </row>
    <row r="19" spans="2:11" ht="14.25" x14ac:dyDescent="0.15">
      <c r="B19" s="357"/>
      <c r="C19" s="466"/>
      <c r="D19" s="367" t="s">
        <v>249</v>
      </c>
      <c r="E19" s="368">
        <f>'[1]Опорядження стін'!Y9*1.05</f>
        <v>11.901750000000002</v>
      </c>
      <c r="F19" s="361"/>
      <c r="G19" s="361"/>
      <c r="H19" s="370"/>
      <c r="I19" s="371"/>
      <c r="J19" s="364"/>
      <c r="K19" s="452">
        <f t="shared" si="0"/>
        <v>0</v>
      </c>
    </row>
    <row r="20" spans="2:11" ht="14.25" x14ac:dyDescent="0.15">
      <c r="B20" s="357"/>
      <c r="C20" s="465" t="s">
        <v>259</v>
      </c>
      <c r="D20" s="367" t="s">
        <v>7</v>
      </c>
      <c r="E20" s="368">
        <v>2</v>
      </c>
      <c r="F20" s="361"/>
      <c r="G20" s="361"/>
      <c r="H20" s="370"/>
      <c r="I20" s="371"/>
      <c r="J20" s="364"/>
      <c r="K20" s="452">
        <f t="shared" si="0"/>
        <v>0</v>
      </c>
    </row>
    <row r="21" spans="2:11" ht="14.25" x14ac:dyDescent="0.15">
      <c r="B21" s="357"/>
      <c r="C21" s="466"/>
      <c r="D21" s="367" t="s">
        <v>249</v>
      </c>
      <c r="E21" s="368">
        <f>'[1]Опорядження стін'!Y10*1.05</f>
        <v>1.1812500000000001</v>
      </c>
      <c r="F21" s="361"/>
      <c r="G21" s="361"/>
      <c r="H21" s="370"/>
      <c r="I21" s="371"/>
      <c r="J21" s="364"/>
      <c r="K21" s="452">
        <f t="shared" si="0"/>
        <v>0</v>
      </c>
    </row>
    <row r="22" spans="2:11" ht="14.25" hidden="1" x14ac:dyDescent="0.15">
      <c r="B22" s="357"/>
      <c r="C22" s="415"/>
      <c r="D22" s="367"/>
      <c r="E22" s="368"/>
      <c r="F22" s="361"/>
      <c r="G22" s="361"/>
      <c r="H22" s="370"/>
      <c r="I22" s="371"/>
      <c r="J22" s="364"/>
      <c r="K22" s="452">
        <f t="shared" si="0"/>
        <v>0</v>
      </c>
    </row>
    <row r="23" spans="2:11" ht="14.25" x14ac:dyDescent="0.15">
      <c r="B23" s="357"/>
      <c r="C23" s="416" t="s">
        <v>303</v>
      </c>
      <c r="D23" s="367" t="s">
        <v>249</v>
      </c>
      <c r="E23" s="368">
        <f>'[1]Опорядження стін'!Y11*1.05</f>
        <v>16.329599999999999</v>
      </c>
      <c r="F23" s="361">
        <v>210</v>
      </c>
      <c r="G23" s="361"/>
      <c r="H23" s="370"/>
      <c r="I23" s="371"/>
      <c r="J23" s="364"/>
      <c r="K23" s="452">
        <f t="shared" si="0"/>
        <v>3429.2159999999999</v>
      </c>
    </row>
    <row r="24" spans="2:11" ht="26.25" x14ac:dyDescent="0.15">
      <c r="B24" s="357"/>
      <c r="C24" s="372" t="s">
        <v>260</v>
      </c>
      <c r="D24" s="367" t="s">
        <v>7</v>
      </c>
      <c r="E24" s="373">
        <v>29</v>
      </c>
      <c r="F24" s="418"/>
      <c r="G24" s="361"/>
      <c r="H24" s="370"/>
      <c r="I24" s="371"/>
      <c r="J24" s="364"/>
      <c r="K24" s="452">
        <f t="shared" si="0"/>
        <v>0</v>
      </c>
    </row>
    <row r="25" spans="2:11" ht="26.25" x14ac:dyDescent="0.15">
      <c r="B25" s="357"/>
      <c r="C25" s="372" t="s">
        <v>261</v>
      </c>
      <c r="D25" s="367" t="s">
        <v>7</v>
      </c>
      <c r="E25" s="373">
        <v>40</v>
      </c>
      <c r="F25" s="418"/>
      <c r="G25" s="361"/>
      <c r="H25" s="370"/>
      <c r="I25" s="371"/>
      <c r="J25" s="364"/>
      <c r="K25" s="452">
        <f t="shared" si="0"/>
        <v>0</v>
      </c>
    </row>
    <row r="26" spans="2:11" ht="38.25" x14ac:dyDescent="0.15">
      <c r="B26" s="357"/>
      <c r="C26" s="372" t="s">
        <v>262</v>
      </c>
      <c r="D26" s="367" t="s">
        <v>7</v>
      </c>
      <c r="E26" s="373">
        <v>127</v>
      </c>
      <c r="F26" s="418"/>
      <c r="G26" s="361"/>
      <c r="H26" s="370"/>
      <c r="I26" s="371"/>
      <c r="J26" s="364"/>
      <c r="K26" s="452">
        <f t="shared" si="0"/>
        <v>0</v>
      </c>
    </row>
    <row r="27" spans="2:11" ht="26.25" x14ac:dyDescent="0.15">
      <c r="B27" s="357"/>
      <c r="C27" s="372" t="s">
        <v>263</v>
      </c>
      <c r="D27" s="367" t="s">
        <v>249</v>
      </c>
      <c r="E27" s="368">
        <f>'[1]Опорядження стін'!Y16*1.05</f>
        <v>37.380000000000003</v>
      </c>
      <c r="F27" s="361"/>
      <c r="G27" s="374"/>
      <c r="H27" s="376"/>
      <c r="I27" s="377"/>
      <c r="J27" s="364"/>
      <c r="K27" s="452">
        <f t="shared" si="0"/>
        <v>0</v>
      </c>
    </row>
    <row r="28" spans="2:11" ht="26.25" x14ac:dyDescent="0.15">
      <c r="B28" s="357"/>
      <c r="C28" s="372" t="s">
        <v>264</v>
      </c>
      <c r="D28" s="367" t="s">
        <v>249</v>
      </c>
      <c r="E28" s="368">
        <f>'[1]Опорядження стін'!Y18*1.05</f>
        <v>17.482499999999998</v>
      </c>
      <c r="F28" s="361"/>
      <c r="G28" s="374"/>
      <c r="H28" s="376"/>
      <c r="I28" s="377"/>
      <c r="J28" s="364"/>
      <c r="K28" s="452">
        <f t="shared" si="0"/>
        <v>0</v>
      </c>
    </row>
    <row r="29" spans="2:11" ht="26.25" x14ac:dyDescent="0.15">
      <c r="B29" s="357"/>
      <c r="C29" s="372" t="s">
        <v>265</v>
      </c>
      <c r="D29" s="367" t="s">
        <v>249</v>
      </c>
      <c r="E29" s="368">
        <f>'[1]Опорядження стін'!Y19*1.05</f>
        <v>17.4405</v>
      </c>
      <c r="F29" s="361"/>
      <c r="G29" s="374"/>
      <c r="H29" s="376"/>
      <c r="I29" s="377"/>
      <c r="J29" s="364"/>
      <c r="K29" s="452">
        <f t="shared" si="0"/>
        <v>0</v>
      </c>
    </row>
    <row r="30" spans="2:11" ht="26.25" x14ac:dyDescent="0.15">
      <c r="B30" s="357"/>
      <c r="C30" s="372" t="s">
        <v>266</v>
      </c>
      <c r="D30" s="367" t="s">
        <v>249</v>
      </c>
      <c r="E30" s="368">
        <f>'[1]Опорядження стін'!Y17*1.05</f>
        <v>37.17</v>
      </c>
      <c r="F30" s="361"/>
      <c r="G30" s="374"/>
      <c r="H30" s="376"/>
      <c r="I30" s="377"/>
      <c r="J30" s="364"/>
      <c r="K30" s="452">
        <f t="shared" si="0"/>
        <v>0</v>
      </c>
    </row>
    <row r="31" spans="2:11" ht="28.5" x14ac:dyDescent="0.15">
      <c r="B31" s="357"/>
      <c r="C31" s="366" t="s">
        <v>299</v>
      </c>
      <c r="D31" s="367" t="s">
        <v>5</v>
      </c>
      <c r="E31" s="368">
        <f>26*2.7</f>
        <v>70.2</v>
      </c>
      <c r="F31" s="361"/>
      <c r="G31" s="361"/>
      <c r="H31" s="370"/>
      <c r="I31" s="371"/>
      <c r="J31" s="364"/>
      <c r="K31" s="452">
        <f t="shared" si="0"/>
        <v>0</v>
      </c>
    </row>
    <row r="32" spans="2:11" ht="14.25" x14ac:dyDescent="0.15">
      <c r="B32" s="357"/>
      <c r="C32" s="378" t="s">
        <v>267</v>
      </c>
      <c r="D32" s="379" t="s">
        <v>5</v>
      </c>
      <c r="E32" s="368">
        <v>716.7</v>
      </c>
      <c r="F32" s="361"/>
      <c r="G32" s="361"/>
      <c r="H32" s="370"/>
      <c r="I32" s="371"/>
      <c r="J32" s="364"/>
      <c r="K32" s="452">
        <f t="shared" si="0"/>
        <v>0</v>
      </c>
    </row>
    <row r="33" spans="2:11" ht="14.25" x14ac:dyDescent="0.15">
      <c r="B33" s="357"/>
      <c r="C33" s="369" t="s">
        <v>304</v>
      </c>
      <c r="D33" s="379" t="s">
        <v>2</v>
      </c>
      <c r="E33" s="368">
        <v>203.96</v>
      </c>
      <c r="F33" s="361"/>
      <c r="G33" s="361"/>
      <c r="H33" s="370"/>
      <c r="I33" s="371"/>
      <c r="J33" s="364"/>
      <c r="K33" s="452">
        <f t="shared" si="0"/>
        <v>0</v>
      </c>
    </row>
    <row r="34" spans="2:11" ht="14.25" x14ac:dyDescent="0.15">
      <c r="B34" s="357"/>
      <c r="C34" s="369" t="s">
        <v>305</v>
      </c>
      <c r="D34" s="367" t="s">
        <v>2</v>
      </c>
      <c r="E34" s="368">
        <v>5483.82</v>
      </c>
      <c r="F34" s="361"/>
      <c r="G34" s="361"/>
      <c r="H34" s="370"/>
      <c r="I34" s="371"/>
      <c r="J34" s="364"/>
      <c r="K34" s="452">
        <f t="shared" si="0"/>
        <v>0</v>
      </c>
    </row>
    <row r="35" spans="2:11" ht="14.25" x14ac:dyDescent="0.15">
      <c r="B35" s="357"/>
      <c r="C35" s="369" t="s">
        <v>306</v>
      </c>
      <c r="D35" s="367" t="s">
        <v>2</v>
      </c>
      <c r="E35" s="368">
        <v>428.23</v>
      </c>
      <c r="F35" s="361"/>
      <c r="G35" s="361"/>
      <c r="H35" s="370"/>
      <c r="I35" s="371"/>
      <c r="J35" s="364"/>
      <c r="K35" s="452">
        <f t="shared" si="0"/>
        <v>0</v>
      </c>
    </row>
    <row r="36" spans="2:11" ht="14.25" x14ac:dyDescent="0.15">
      <c r="B36" s="357"/>
      <c r="C36" s="369" t="s">
        <v>268</v>
      </c>
      <c r="D36" s="367" t="s">
        <v>2</v>
      </c>
      <c r="E36" s="368">
        <v>5.48</v>
      </c>
      <c r="F36" s="361"/>
      <c r="G36" s="361"/>
      <c r="H36" s="370"/>
      <c r="I36" s="371"/>
      <c r="J36" s="364"/>
      <c r="K36" s="452">
        <f t="shared" si="0"/>
        <v>0</v>
      </c>
    </row>
    <row r="37" spans="2:11" ht="14.25" x14ac:dyDescent="0.15">
      <c r="B37" s="403"/>
      <c r="C37" s="411" t="s">
        <v>300</v>
      </c>
      <c r="D37" s="412"/>
      <c r="E37" s="406"/>
      <c r="F37" s="407"/>
      <c r="G37" s="407"/>
      <c r="H37" s="408"/>
      <c r="I37" s="409"/>
      <c r="J37" s="410"/>
      <c r="K37" s="454">
        <f>SUM(K7:K36)</f>
        <v>223147.61599999998</v>
      </c>
    </row>
    <row r="38" spans="2:11" ht="14.25" x14ac:dyDescent="0.15">
      <c r="B38" s="392"/>
      <c r="C38" s="393" t="s">
        <v>269</v>
      </c>
      <c r="D38" s="394"/>
      <c r="E38" s="395"/>
      <c r="F38" s="396"/>
      <c r="G38" s="396"/>
      <c r="H38" s="397"/>
      <c r="I38" s="398"/>
      <c r="J38" s="399"/>
      <c r="K38" s="453"/>
    </row>
    <row r="39" spans="2:11" ht="14.25" x14ac:dyDescent="0.15">
      <c r="B39" s="357"/>
      <c r="C39" s="365" t="s">
        <v>270</v>
      </c>
      <c r="D39" s="359" t="s">
        <v>249</v>
      </c>
      <c r="E39" s="360">
        <v>125.06</v>
      </c>
      <c r="F39" s="428">
        <v>100</v>
      </c>
      <c r="G39" s="361"/>
      <c r="H39" s="370"/>
      <c r="I39" s="371"/>
      <c r="J39" s="364"/>
      <c r="K39" s="452">
        <f>E39*F39</f>
        <v>12506</v>
      </c>
    </row>
    <row r="40" spans="2:11" ht="14.25" x14ac:dyDescent="0.15">
      <c r="B40" s="357"/>
      <c r="C40" s="380" t="s">
        <v>271</v>
      </c>
      <c r="D40" s="367" t="s">
        <v>249</v>
      </c>
      <c r="E40" s="381">
        <f>E39*2*1.05</f>
        <v>262.62600000000003</v>
      </c>
      <c r="F40" s="419"/>
      <c r="G40" s="361"/>
      <c r="H40" s="370"/>
      <c r="I40" s="371"/>
      <c r="J40" s="364"/>
      <c r="K40" s="452">
        <f t="shared" ref="K40:K60" si="1">E40*F40</f>
        <v>0</v>
      </c>
    </row>
    <row r="41" spans="2:11" ht="14.25" x14ac:dyDescent="0.15">
      <c r="B41" s="357"/>
      <c r="C41" s="380" t="s">
        <v>272</v>
      </c>
      <c r="D41" s="367" t="s">
        <v>5</v>
      </c>
      <c r="E41" s="382">
        <f>E39*2.9</f>
        <v>362.67399999999998</v>
      </c>
      <c r="F41" s="420"/>
      <c r="G41" s="361"/>
      <c r="H41" s="370"/>
      <c r="I41" s="371"/>
      <c r="J41" s="364"/>
      <c r="K41" s="452">
        <f t="shared" si="1"/>
        <v>0</v>
      </c>
    </row>
    <row r="42" spans="2:11" ht="14.25" x14ac:dyDescent="0.15">
      <c r="B42" s="357"/>
      <c r="C42" s="380" t="s">
        <v>273</v>
      </c>
      <c r="D42" s="367" t="s">
        <v>5</v>
      </c>
      <c r="E42" s="382">
        <f>E39*0.4</f>
        <v>50.024000000000001</v>
      </c>
      <c r="F42" s="420"/>
      <c r="G42" s="361"/>
      <c r="H42" s="370"/>
      <c r="I42" s="371"/>
      <c r="J42" s="364"/>
      <c r="K42" s="452">
        <f t="shared" si="1"/>
        <v>0</v>
      </c>
    </row>
    <row r="43" spans="2:11" ht="14.25" x14ac:dyDescent="0.15">
      <c r="B43" s="357"/>
      <c r="C43" s="380" t="s">
        <v>274</v>
      </c>
      <c r="D43" s="367" t="s">
        <v>7</v>
      </c>
      <c r="E43" s="382">
        <f>E39*0.2</f>
        <v>25.012</v>
      </c>
      <c r="F43" s="420"/>
      <c r="G43" s="361"/>
      <c r="H43" s="370"/>
      <c r="I43" s="371"/>
      <c r="J43" s="364"/>
      <c r="K43" s="452">
        <f t="shared" si="1"/>
        <v>0</v>
      </c>
    </row>
    <row r="44" spans="2:11" ht="14.25" x14ac:dyDescent="0.15">
      <c r="B44" s="357"/>
      <c r="C44" s="380" t="s">
        <v>275</v>
      </c>
      <c r="D44" s="367" t="s">
        <v>7</v>
      </c>
      <c r="E44" s="382">
        <f>E39*1.7</f>
        <v>212.602</v>
      </c>
      <c r="F44" s="420"/>
      <c r="G44" s="361"/>
      <c r="H44" s="370"/>
      <c r="I44" s="371"/>
      <c r="J44" s="364"/>
      <c r="K44" s="452">
        <f t="shared" si="1"/>
        <v>0</v>
      </c>
    </row>
    <row r="45" spans="2:11" ht="14.25" x14ac:dyDescent="0.15">
      <c r="B45" s="357"/>
      <c r="C45" s="380" t="s">
        <v>276</v>
      </c>
      <c r="D45" s="367" t="s">
        <v>7</v>
      </c>
      <c r="E45" s="382">
        <f>E39*0.7</f>
        <v>87.542000000000002</v>
      </c>
      <c r="F45" s="420"/>
      <c r="G45" s="361"/>
      <c r="H45" s="370"/>
      <c r="I45" s="371"/>
      <c r="J45" s="364"/>
      <c r="K45" s="452">
        <f t="shared" si="1"/>
        <v>0</v>
      </c>
    </row>
    <row r="46" spans="2:11" ht="14.25" x14ac:dyDescent="0.15">
      <c r="B46" s="357"/>
      <c r="C46" s="380" t="s">
        <v>277</v>
      </c>
      <c r="D46" s="367" t="s">
        <v>7</v>
      </c>
      <c r="E46" s="382">
        <f>E39*1.4</f>
        <v>175.084</v>
      </c>
      <c r="F46" s="420"/>
      <c r="G46" s="361"/>
      <c r="H46" s="370"/>
      <c r="I46" s="371"/>
      <c r="J46" s="364"/>
      <c r="K46" s="452">
        <f t="shared" si="1"/>
        <v>0</v>
      </c>
    </row>
    <row r="47" spans="2:11" ht="14.25" x14ac:dyDescent="0.15">
      <c r="B47" s="357"/>
      <c r="C47" s="380" t="s">
        <v>278</v>
      </c>
      <c r="D47" s="367" t="s">
        <v>7</v>
      </c>
      <c r="E47" s="383">
        <f>E39*23</f>
        <v>2876.38</v>
      </c>
      <c r="F47" s="421"/>
      <c r="G47" s="361"/>
      <c r="H47" s="370"/>
      <c r="I47" s="371"/>
      <c r="J47" s="364"/>
      <c r="K47" s="452">
        <f t="shared" si="1"/>
        <v>0</v>
      </c>
    </row>
    <row r="48" spans="2:11" ht="14.25" x14ac:dyDescent="0.15">
      <c r="B48" s="357"/>
      <c r="C48" s="380" t="s">
        <v>279</v>
      </c>
      <c r="D48" s="367" t="s">
        <v>7</v>
      </c>
      <c r="E48" s="383">
        <f>E39*0.7</f>
        <v>87.542000000000002</v>
      </c>
      <c r="F48" s="421"/>
      <c r="G48" s="361"/>
      <c r="H48" s="370"/>
      <c r="I48" s="371"/>
      <c r="J48" s="364"/>
      <c r="K48" s="452">
        <f t="shared" si="1"/>
        <v>0</v>
      </c>
    </row>
    <row r="49" spans="2:11" ht="14.25" x14ac:dyDescent="0.15">
      <c r="B49" s="357"/>
      <c r="C49" s="380" t="s">
        <v>280</v>
      </c>
      <c r="D49" s="367" t="s">
        <v>7</v>
      </c>
      <c r="E49" s="383">
        <f>E39*0.7</f>
        <v>87.542000000000002</v>
      </c>
      <c r="F49" s="421"/>
      <c r="G49" s="361"/>
      <c r="H49" s="370"/>
      <c r="I49" s="371"/>
      <c r="J49" s="364"/>
      <c r="K49" s="452">
        <f t="shared" si="1"/>
        <v>0</v>
      </c>
    </row>
    <row r="50" spans="2:11" ht="14.25" x14ac:dyDescent="0.15">
      <c r="B50" s="357"/>
      <c r="C50" s="380" t="s">
        <v>281</v>
      </c>
      <c r="D50" s="367" t="s">
        <v>282</v>
      </c>
      <c r="E50" s="368">
        <f>E39*0.4</f>
        <v>50.024000000000001</v>
      </c>
      <c r="F50" s="361"/>
      <c r="G50" s="361"/>
      <c r="H50" s="370"/>
      <c r="I50" s="371"/>
      <c r="J50" s="364"/>
      <c r="K50" s="452">
        <f t="shared" si="1"/>
        <v>0</v>
      </c>
    </row>
    <row r="51" spans="2:11" ht="14.25" x14ac:dyDescent="0.15">
      <c r="B51" s="357"/>
      <c r="C51" s="380" t="s">
        <v>283</v>
      </c>
      <c r="D51" s="367" t="s">
        <v>5</v>
      </c>
      <c r="E51" s="368">
        <f>E39*1.2</f>
        <v>150.072</v>
      </c>
      <c r="F51" s="361"/>
      <c r="G51" s="361"/>
      <c r="H51" s="370"/>
      <c r="I51" s="371"/>
      <c r="J51" s="364"/>
      <c r="K51" s="452">
        <f t="shared" si="1"/>
        <v>0</v>
      </c>
    </row>
    <row r="52" spans="2:11" ht="14.25" x14ac:dyDescent="0.15">
      <c r="B52" s="357"/>
      <c r="C52" s="380" t="s">
        <v>284</v>
      </c>
      <c r="D52" s="367" t="s">
        <v>3</v>
      </c>
      <c r="E52" s="368">
        <f>E39*0.1</f>
        <v>12.506</v>
      </c>
      <c r="F52" s="361"/>
      <c r="G52" s="361"/>
      <c r="H52" s="370"/>
      <c r="I52" s="371"/>
      <c r="J52" s="364"/>
      <c r="K52" s="452">
        <f t="shared" si="1"/>
        <v>0</v>
      </c>
    </row>
    <row r="53" spans="2:11" ht="14.25" x14ac:dyDescent="0.15">
      <c r="B53" s="357"/>
      <c r="C53" s="380" t="s">
        <v>285</v>
      </c>
      <c r="D53" s="367" t="s">
        <v>5</v>
      </c>
      <c r="E53" s="368">
        <f>E39*0.4</f>
        <v>50.024000000000001</v>
      </c>
      <c r="F53" s="361"/>
      <c r="G53" s="361"/>
      <c r="H53" s="370"/>
      <c r="I53" s="371"/>
      <c r="J53" s="364"/>
      <c r="K53" s="452">
        <f t="shared" si="1"/>
        <v>0</v>
      </c>
    </row>
    <row r="54" spans="2:11" ht="14.25" x14ac:dyDescent="0.15">
      <c r="B54" s="357"/>
      <c r="C54" s="380" t="s">
        <v>286</v>
      </c>
      <c r="D54" s="367" t="s">
        <v>5</v>
      </c>
      <c r="E54" s="368">
        <f>E39*0.4</f>
        <v>50.024000000000001</v>
      </c>
      <c r="F54" s="361"/>
      <c r="G54" s="361"/>
      <c r="H54" s="370"/>
      <c r="I54" s="371"/>
      <c r="J54" s="364"/>
      <c r="K54" s="452">
        <f t="shared" si="1"/>
        <v>0</v>
      </c>
    </row>
    <row r="55" spans="2:11" ht="14.25" x14ac:dyDescent="0.15">
      <c r="B55" s="357"/>
      <c r="C55" s="384" t="s">
        <v>287</v>
      </c>
      <c r="D55" s="367" t="s">
        <v>2</v>
      </c>
      <c r="E55" s="368">
        <v>17.91</v>
      </c>
      <c r="F55" s="361"/>
      <c r="G55" s="361"/>
      <c r="H55" s="370"/>
      <c r="I55" s="371"/>
      <c r="J55" s="364"/>
      <c r="K55" s="452">
        <f t="shared" si="1"/>
        <v>0</v>
      </c>
    </row>
    <row r="56" spans="2:11" ht="14.25" x14ac:dyDescent="0.15">
      <c r="B56" s="357"/>
      <c r="C56" s="384" t="s">
        <v>288</v>
      </c>
      <c r="D56" s="367" t="s">
        <v>2</v>
      </c>
      <c r="E56" s="368">
        <v>7.1</v>
      </c>
      <c r="F56" s="361"/>
      <c r="G56" s="361"/>
      <c r="H56" s="370"/>
      <c r="I56" s="371"/>
      <c r="J56" s="364"/>
      <c r="K56" s="452">
        <f t="shared" si="1"/>
        <v>0</v>
      </c>
    </row>
    <row r="57" spans="2:11" ht="38.25" x14ac:dyDescent="0.15">
      <c r="B57" s="357"/>
      <c r="C57" s="365" t="s">
        <v>289</v>
      </c>
      <c r="D57" s="359" t="s">
        <v>249</v>
      </c>
      <c r="E57" s="360">
        <v>240.54</v>
      </c>
      <c r="F57" s="428">
        <v>60</v>
      </c>
      <c r="G57" s="361"/>
      <c r="H57" s="370"/>
      <c r="I57" s="371"/>
      <c r="J57" s="364"/>
      <c r="K57" s="452">
        <f t="shared" si="1"/>
        <v>14432.4</v>
      </c>
    </row>
    <row r="58" spans="2:11" ht="14.25" x14ac:dyDescent="0.15">
      <c r="B58" s="357"/>
      <c r="C58" s="384" t="s">
        <v>290</v>
      </c>
      <c r="D58" s="367"/>
      <c r="E58" s="385"/>
      <c r="F58" s="422"/>
      <c r="G58" s="361"/>
      <c r="H58" s="370"/>
      <c r="I58" s="371"/>
      <c r="J58" s="364"/>
      <c r="K58" s="452">
        <f t="shared" si="1"/>
        <v>0</v>
      </c>
    </row>
    <row r="59" spans="2:11" ht="14.25" x14ac:dyDescent="0.15">
      <c r="B59" s="357"/>
      <c r="C59" s="365" t="s">
        <v>254</v>
      </c>
      <c r="D59" s="359" t="s">
        <v>5</v>
      </c>
      <c r="E59" s="360">
        <f>E60</f>
        <v>226.29999999999998</v>
      </c>
      <c r="F59" s="362">
        <v>10</v>
      </c>
      <c r="G59" s="361"/>
      <c r="H59" s="370"/>
      <c r="I59" s="371"/>
      <c r="J59" s="364"/>
      <c r="K59" s="452">
        <f t="shared" si="1"/>
        <v>2263</v>
      </c>
    </row>
    <row r="60" spans="2:11" ht="14.25" x14ac:dyDescent="0.15">
      <c r="B60" s="357"/>
      <c r="C60" s="378" t="s">
        <v>267</v>
      </c>
      <c r="D60" s="379" t="s">
        <v>5</v>
      </c>
      <c r="E60" s="368">
        <f>76.1+76.1+74.1</f>
        <v>226.29999999999998</v>
      </c>
      <c r="F60" s="361"/>
      <c r="G60" s="361"/>
      <c r="H60" s="370"/>
      <c r="I60" s="371"/>
      <c r="J60" s="364"/>
      <c r="K60" s="452">
        <f t="shared" si="1"/>
        <v>0</v>
      </c>
    </row>
    <row r="61" spans="2:11" ht="14.25" x14ac:dyDescent="0.15">
      <c r="B61" s="403"/>
      <c r="C61" s="404" t="s">
        <v>300</v>
      </c>
      <c r="D61" s="405"/>
      <c r="E61" s="406"/>
      <c r="F61" s="407"/>
      <c r="G61" s="407"/>
      <c r="H61" s="408"/>
      <c r="I61" s="409"/>
      <c r="J61" s="410"/>
      <c r="K61" s="454">
        <f>SUM(K39:K60)</f>
        <v>29201.4</v>
      </c>
    </row>
    <row r="62" spans="2:11" ht="14.25" x14ac:dyDescent="0.15">
      <c r="B62" s="392"/>
      <c r="C62" s="393" t="s">
        <v>291</v>
      </c>
      <c r="D62" s="394"/>
      <c r="E62" s="400"/>
      <c r="F62" s="423"/>
      <c r="G62" s="396"/>
      <c r="H62" s="397"/>
      <c r="I62" s="398"/>
      <c r="J62" s="399"/>
      <c r="K62" s="453"/>
    </row>
    <row r="63" spans="2:11" ht="14.25" x14ac:dyDescent="0.15">
      <c r="B63" s="357"/>
      <c r="C63" s="365" t="s">
        <v>292</v>
      </c>
      <c r="D63" s="359" t="s">
        <v>249</v>
      </c>
      <c r="E63" s="386">
        <v>428.08</v>
      </c>
      <c r="F63" s="424">
        <v>150</v>
      </c>
      <c r="G63" s="361"/>
      <c r="H63" s="370"/>
      <c r="I63" s="371"/>
      <c r="J63" s="364"/>
      <c r="K63" s="452">
        <f>E63*F63</f>
        <v>64212</v>
      </c>
    </row>
    <row r="64" spans="2:11" ht="14.25" x14ac:dyDescent="0.15">
      <c r="B64" s="357"/>
      <c r="C64" s="372" t="s">
        <v>293</v>
      </c>
      <c r="D64" s="367" t="s">
        <v>294</v>
      </c>
      <c r="E64" s="375">
        <v>419.37</v>
      </c>
      <c r="F64" s="374"/>
      <c r="G64" s="361"/>
      <c r="H64" s="370"/>
      <c r="I64" s="371"/>
      <c r="J64" s="364"/>
      <c r="K64" s="452">
        <f t="shared" ref="K64:K69" si="2">E64*F64</f>
        <v>0</v>
      </c>
    </row>
    <row r="65" spans="2:11" ht="14.25" x14ac:dyDescent="0.15">
      <c r="B65" s="357"/>
      <c r="C65" s="372" t="s">
        <v>295</v>
      </c>
      <c r="D65" s="367" t="s">
        <v>294</v>
      </c>
      <c r="E65" s="375">
        <v>9.5399999999999991</v>
      </c>
      <c r="F65" s="374"/>
      <c r="G65" s="361"/>
      <c r="H65" s="370"/>
      <c r="I65" s="371"/>
      <c r="J65" s="364"/>
      <c r="K65" s="452">
        <f t="shared" si="2"/>
        <v>0</v>
      </c>
    </row>
    <row r="66" spans="2:11" ht="14.25" x14ac:dyDescent="0.15">
      <c r="B66" s="357"/>
      <c r="C66" s="372" t="s">
        <v>296</v>
      </c>
      <c r="D66" s="367" t="s">
        <v>294</v>
      </c>
      <c r="E66" s="375">
        <v>10.210000000000001</v>
      </c>
      <c r="F66" s="374"/>
      <c r="G66" s="361"/>
      <c r="H66" s="370"/>
      <c r="I66" s="371"/>
      <c r="J66" s="364"/>
      <c r="K66" s="452">
        <f t="shared" si="2"/>
        <v>0</v>
      </c>
    </row>
    <row r="67" spans="2:11" ht="14.25" x14ac:dyDescent="0.15">
      <c r="B67" s="357"/>
      <c r="C67" s="372" t="s">
        <v>297</v>
      </c>
      <c r="D67" s="367" t="s">
        <v>294</v>
      </c>
      <c r="E67" s="375">
        <v>10.36</v>
      </c>
      <c r="F67" s="374"/>
      <c r="G67" s="361"/>
      <c r="H67" s="370"/>
      <c r="I67" s="371"/>
      <c r="J67" s="364"/>
      <c r="K67" s="452">
        <f t="shared" si="2"/>
        <v>0</v>
      </c>
    </row>
    <row r="68" spans="2:11" ht="14.25" x14ac:dyDescent="0.15">
      <c r="B68" s="357"/>
      <c r="C68" s="369" t="s">
        <v>304</v>
      </c>
      <c r="D68" s="379" t="s">
        <v>2</v>
      </c>
      <c r="E68" s="375">
        <f>E63*0.2</f>
        <v>85.616</v>
      </c>
      <c r="F68" s="374"/>
      <c r="G68" s="361"/>
      <c r="H68" s="370"/>
      <c r="I68" s="371"/>
      <c r="J68" s="364"/>
      <c r="K68" s="452">
        <f t="shared" si="2"/>
        <v>0</v>
      </c>
    </row>
    <row r="69" spans="2:11" ht="14.25" x14ac:dyDescent="0.15">
      <c r="B69" s="357"/>
      <c r="C69" s="369" t="s">
        <v>307</v>
      </c>
      <c r="D69" s="367" t="s">
        <v>2</v>
      </c>
      <c r="E69" s="368">
        <f>E63*6</f>
        <v>2568.48</v>
      </c>
      <c r="F69" s="361"/>
      <c r="G69" s="361"/>
      <c r="H69" s="370"/>
      <c r="I69" s="371"/>
      <c r="J69" s="364"/>
      <c r="K69" s="452">
        <f t="shared" si="2"/>
        <v>0</v>
      </c>
    </row>
    <row r="70" spans="2:11" ht="16.5" customHeight="1" thickBot="1" x14ac:dyDescent="0.2">
      <c r="B70" s="401"/>
      <c r="C70" s="402" t="s">
        <v>300</v>
      </c>
      <c r="D70" s="401"/>
      <c r="E70" s="401"/>
      <c r="F70" s="401"/>
      <c r="G70" s="401"/>
      <c r="H70" s="401"/>
      <c r="I70" s="401"/>
      <c r="J70" s="401"/>
      <c r="K70" s="455">
        <f>SUM(K63:K69)</f>
        <v>64212</v>
      </c>
    </row>
    <row r="71" spans="2:11" s="456" customFormat="1" ht="26.25" customHeight="1" x14ac:dyDescent="0.15">
      <c r="B71" s="457"/>
      <c r="C71" s="458" t="s">
        <v>301</v>
      </c>
      <c r="D71" s="459"/>
      <c r="E71" s="459"/>
      <c r="F71" s="459"/>
      <c r="G71" s="459"/>
      <c r="H71" s="459"/>
      <c r="I71" s="459"/>
      <c r="J71" s="459"/>
      <c r="K71" s="460">
        <f>K70+K61+K37</f>
        <v>316561.01599999995</v>
      </c>
    </row>
  </sheetData>
  <mergeCells count="10">
    <mergeCell ref="B1:K1"/>
    <mergeCell ref="C20:C21"/>
    <mergeCell ref="C18:C19"/>
    <mergeCell ref="A2:J2"/>
    <mergeCell ref="A3:J3"/>
    <mergeCell ref="B4:B5"/>
    <mergeCell ref="C4:C5"/>
    <mergeCell ref="D4:D5"/>
    <mergeCell ref="E4:E5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V134"/>
  <sheetViews>
    <sheetView topLeftCell="A111" zoomScale="60" zoomScaleNormal="60" workbookViewId="0" xr3:uid="{842E5F09-E766-5B8D-85AF-A39847EA96FD}">
      <selection activeCell="D119" sqref="D119"/>
    </sheetView>
  </sheetViews>
  <sheetFormatPr defaultColWidth="9.16796875" defaultRowHeight="12.75" x14ac:dyDescent="0.15"/>
  <cols>
    <col min="1" max="1" width="8.62890625" style="1" customWidth="1"/>
    <col min="2" max="2" width="57.3125" style="2" customWidth="1"/>
    <col min="3" max="3" width="10.78515625" style="3" customWidth="1"/>
    <col min="4" max="4" width="15.1015625" style="4" customWidth="1"/>
    <col min="5" max="5" width="21.44140625" style="218" customWidth="1"/>
    <col min="6" max="7" width="21.44140625" style="5" customWidth="1"/>
    <col min="8" max="8" width="24.40625" style="246" customWidth="1"/>
    <col min="9" max="9" width="59.19921875" style="1" customWidth="1"/>
    <col min="10" max="10" width="12.5390625" style="3" customWidth="1"/>
    <col min="11" max="11" width="17.2578125" style="3" customWidth="1"/>
    <col min="12" max="12" width="18.47265625" style="4" customWidth="1"/>
    <col min="13" max="13" width="25.62109375" style="3" customWidth="1"/>
    <col min="14" max="14" width="31.41796875" style="1" customWidth="1"/>
    <col min="15" max="15" width="15.23828125" style="1" customWidth="1"/>
    <col min="16" max="18" width="9.16796875" style="1" customWidth="1"/>
    <col min="19" max="19" width="29.125" style="1" customWidth="1"/>
    <col min="20" max="251" width="9.16796875" style="1" customWidth="1"/>
    <col min="252" max="252" width="4.1796875" style="1" customWidth="1"/>
    <col min="253" max="253" width="37.21875" style="1" customWidth="1"/>
    <col min="254" max="254" width="5.12109375" style="1" customWidth="1"/>
    <col min="255" max="255" width="6.60546875" style="1" customWidth="1"/>
    <col min="256" max="16384" width="9.16796875" style="1"/>
  </cols>
  <sheetData>
    <row r="1" spans="1:256" ht="30" customHeight="1" x14ac:dyDescent="0.3">
      <c r="A1" s="479" t="s">
        <v>68</v>
      </c>
      <c r="B1" s="479"/>
      <c r="C1" s="479"/>
      <c r="D1" s="479"/>
      <c r="E1" s="479"/>
      <c r="F1" s="479"/>
      <c r="G1" s="479"/>
      <c r="H1" s="479"/>
      <c r="I1" s="479"/>
      <c r="J1" s="480"/>
      <c r="K1" s="480"/>
      <c r="L1" s="480"/>
      <c r="M1" s="480"/>
      <c r="N1" s="13" t="s">
        <v>148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30" customHeight="1" x14ac:dyDescent="0.3">
      <c r="A2" s="479" t="s">
        <v>9</v>
      </c>
      <c r="B2" s="479"/>
      <c r="C2" s="479"/>
      <c r="D2" s="479"/>
      <c r="E2" s="479"/>
      <c r="F2" s="479"/>
      <c r="G2" s="479"/>
      <c r="H2" s="479"/>
      <c r="I2" s="479"/>
      <c r="J2" s="12"/>
      <c r="K2" s="12"/>
      <c r="L2" s="15"/>
      <c r="M2" s="12"/>
      <c r="N2" s="13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ht="30" customHeight="1" x14ac:dyDescent="0.3">
      <c r="A3" s="12"/>
      <c r="B3" s="12"/>
      <c r="C3" s="12"/>
      <c r="D3" s="15"/>
      <c r="E3" s="197"/>
      <c r="F3" s="12"/>
      <c r="G3" s="12"/>
      <c r="H3" s="225"/>
      <c r="I3" s="12"/>
      <c r="J3" s="12"/>
      <c r="K3" s="12"/>
      <c r="L3" s="15"/>
      <c r="M3" s="12"/>
      <c r="N3" s="13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s="18" customFormat="1" ht="30" customHeight="1" x14ac:dyDescent="0.3">
      <c r="A4" s="481" t="s">
        <v>138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18" customFormat="1" ht="30" customHeight="1" x14ac:dyDescent="0.15">
      <c r="A5" s="481" t="s">
        <v>130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ht="30" customHeight="1" x14ac:dyDescent="0.3">
      <c r="A6" s="20"/>
      <c r="B6" s="21"/>
      <c r="C6" s="22"/>
      <c r="D6" s="23"/>
      <c r="E6" s="198"/>
      <c r="F6" s="22"/>
      <c r="G6" s="22"/>
      <c r="H6" s="226"/>
      <c r="I6" s="24"/>
      <c r="J6" s="22"/>
      <c r="K6" s="22"/>
      <c r="L6" s="23"/>
      <c r="M6" s="22"/>
      <c r="N6" s="25"/>
    </row>
    <row r="7" spans="1:256" ht="25.5" x14ac:dyDescent="0.3">
      <c r="A7" s="20"/>
      <c r="B7" s="21"/>
      <c r="C7" s="22"/>
      <c r="D7" s="23"/>
      <c r="E7" s="198"/>
      <c r="F7" s="22"/>
      <c r="G7" s="22"/>
      <c r="H7" s="226"/>
      <c r="I7" s="160" t="s">
        <v>135</v>
      </c>
      <c r="J7" s="26" t="s">
        <v>6</v>
      </c>
      <c r="K7" s="27"/>
      <c r="L7" s="28"/>
      <c r="M7" s="482">
        <f>N9*1.2</f>
        <v>663456.9898067927</v>
      </c>
      <c r="N7" s="482"/>
    </row>
    <row r="8" spans="1:256" ht="25.5" x14ac:dyDescent="0.3">
      <c r="A8" s="20"/>
      <c r="B8" s="21"/>
      <c r="C8" s="22"/>
      <c r="D8" s="23"/>
      <c r="E8" s="198"/>
      <c r="F8" s="22"/>
      <c r="G8" s="22"/>
      <c r="H8" s="226"/>
      <c r="I8" s="161" t="s">
        <v>137</v>
      </c>
      <c r="J8" s="27" t="s">
        <v>6</v>
      </c>
      <c r="K8" s="27"/>
      <c r="L8" s="28"/>
      <c r="M8" s="485">
        <f>M7/6</f>
        <v>110576.16496779879</v>
      </c>
      <c r="N8" s="485"/>
    </row>
    <row r="9" spans="1:256" ht="25.5" x14ac:dyDescent="0.3">
      <c r="A9" s="20"/>
      <c r="B9" s="21"/>
      <c r="C9" s="22"/>
      <c r="D9" s="23"/>
      <c r="E9" s="198"/>
      <c r="F9" s="22"/>
      <c r="G9" s="22"/>
      <c r="H9" s="226"/>
      <c r="I9" s="161" t="s">
        <v>136</v>
      </c>
      <c r="J9" s="27"/>
      <c r="K9" s="27"/>
      <c r="L9" s="28"/>
      <c r="M9" s="162"/>
      <c r="N9" s="162">
        <f>M12+M11+M10</f>
        <v>552880.82483899395</v>
      </c>
    </row>
    <row r="10" spans="1:256" ht="25.5" x14ac:dyDescent="0.3">
      <c r="A10" s="20"/>
      <c r="B10" s="21"/>
      <c r="C10" s="22"/>
      <c r="D10" s="23"/>
      <c r="E10" s="198"/>
      <c r="F10" s="22"/>
      <c r="G10" s="22"/>
      <c r="H10" s="226"/>
      <c r="I10" s="161" t="s">
        <v>11</v>
      </c>
      <c r="J10" s="27" t="s">
        <v>6</v>
      </c>
      <c r="K10" s="26"/>
      <c r="L10" s="28"/>
      <c r="M10" s="485">
        <f>M127</f>
        <v>112239.20283899401</v>
      </c>
      <c r="N10" s="485"/>
    </row>
    <row r="11" spans="1:256" ht="26.25" thickBot="1" x14ac:dyDescent="0.35">
      <c r="A11" s="20"/>
      <c r="B11" s="21"/>
      <c r="C11" s="22"/>
      <c r="D11" s="23"/>
      <c r="E11" s="198"/>
      <c r="F11" s="22"/>
      <c r="G11" s="22"/>
      <c r="H11" s="226"/>
      <c r="I11" s="161" t="s">
        <v>10</v>
      </c>
      <c r="J11" s="27" t="s">
        <v>6</v>
      </c>
      <c r="K11" s="26"/>
      <c r="L11" s="28"/>
      <c r="M11" s="485">
        <f>H127</f>
        <v>352513.29759999999</v>
      </c>
      <c r="N11" s="485"/>
      <c r="S11" s="106"/>
    </row>
    <row r="12" spans="1:256" ht="26.25" thickBot="1" x14ac:dyDescent="0.35">
      <c r="A12" s="24"/>
      <c r="B12" s="29"/>
      <c r="C12" s="30"/>
      <c r="D12" s="31"/>
      <c r="E12" s="199"/>
      <c r="F12" s="483" t="s">
        <v>156</v>
      </c>
      <c r="G12" s="484"/>
      <c r="H12" s="227"/>
      <c r="I12" s="251" t="s">
        <v>12</v>
      </c>
      <c r="J12" s="27" t="s">
        <v>6</v>
      </c>
      <c r="K12" s="27"/>
      <c r="L12" s="32"/>
      <c r="M12" s="485">
        <f>M11*25%</f>
        <v>88128.324399999998</v>
      </c>
      <c r="N12" s="485"/>
    </row>
    <row r="13" spans="1:256" ht="25.5" x14ac:dyDescent="0.3">
      <c r="A13" s="486" t="s">
        <v>1</v>
      </c>
      <c r="B13" s="491" t="s">
        <v>13</v>
      </c>
      <c r="C13" s="491" t="s">
        <v>14</v>
      </c>
      <c r="D13" s="491" t="s">
        <v>15</v>
      </c>
      <c r="E13" s="493" t="s">
        <v>16</v>
      </c>
      <c r="F13" s="195" t="s">
        <v>152</v>
      </c>
      <c r="G13" s="195" t="s">
        <v>153</v>
      </c>
      <c r="H13" s="495" t="s">
        <v>17</v>
      </c>
      <c r="I13" s="488" t="s">
        <v>18</v>
      </c>
      <c r="J13" s="489"/>
      <c r="K13" s="489"/>
      <c r="L13" s="489"/>
      <c r="M13" s="490"/>
      <c r="N13" s="497" t="s">
        <v>20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69.75" x14ac:dyDescent="0.3">
      <c r="A14" s="487"/>
      <c r="B14" s="492"/>
      <c r="C14" s="492"/>
      <c r="D14" s="492"/>
      <c r="E14" s="494"/>
      <c r="F14" s="196" t="s">
        <v>151</v>
      </c>
      <c r="G14" s="196" t="s">
        <v>151</v>
      </c>
      <c r="H14" s="496"/>
      <c r="I14" s="34" t="s">
        <v>19</v>
      </c>
      <c r="J14" s="34" t="s">
        <v>14</v>
      </c>
      <c r="K14" s="34" t="s">
        <v>15</v>
      </c>
      <c r="L14" s="138" t="s">
        <v>16</v>
      </c>
      <c r="M14" s="34" t="s">
        <v>17</v>
      </c>
      <c r="N14" s="498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ht="22.5" x14ac:dyDescent="0.25">
      <c r="A15" s="164"/>
      <c r="B15" s="125" t="s">
        <v>75</v>
      </c>
      <c r="C15" s="110"/>
      <c r="D15" s="110"/>
      <c r="E15" s="200"/>
      <c r="F15" s="110"/>
      <c r="G15" s="110"/>
      <c r="H15" s="228"/>
      <c r="I15" s="39"/>
      <c r="J15" s="38"/>
      <c r="K15" s="40"/>
      <c r="L15" s="37"/>
      <c r="M15" s="38"/>
      <c r="N15" s="165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ht="22.5" x14ac:dyDescent="0.25">
      <c r="A16" s="166"/>
      <c r="B16" s="131" t="s">
        <v>76</v>
      </c>
      <c r="C16" s="151"/>
      <c r="D16" s="132"/>
      <c r="E16" s="201"/>
      <c r="F16" s="132"/>
      <c r="G16" s="132"/>
      <c r="H16" s="229"/>
      <c r="I16" s="133"/>
      <c r="J16" s="47"/>
      <c r="K16" s="134"/>
      <c r="L16" s="45"/>
      <c r="M16" s="47"/>
      <c r="N16" s="167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ht="42" x14ac:dyDescent="0.25">
      <c r="A17" s="41">
        <v>1</v>
      </c>
      <c r="B17" s="42" t="s">
        <v>129</v>
      </c>
      <c r="C17" s="219" t="s">
        <v>62</v>
      </c>
      <c r="D17" s="127">
        <v>2.85</v>
      </c>
      <c r="E17" s="202">
        <v>120</v>
      </c>
      <c r="F17" s="111">
        <v>60</v>
      </c>
      <c r="G17" s="111">
        <f>D17*F17</f>
        <v>171</v>
      </c>
      <c r="H17" s="230">
        <f>E17*D17</f>
        <v>342</v>
      </c>
      <c r="I17" s="112"/>
      <c r="J17" s="67"/>
      <c r="K17" s="67"/>
      <c r="L17" s="67"/>
      <c r="M17" s="67"/>
      <c r="N17" s="168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ht="42" x14ac:dyDescent="0.25">
      <c r="A18" s="41">
        <v>2</v>
      </c>
      <c r="B18" s="42" t="s">
        <v>21</v>
      </c>
      <c r="C18" s="43" t="s">
        <v>0</v>
      </c>
      <c r="D18" s="127">
        <v>392.01</v>
      </c>
      <c r="E18" s="203">
        <v>12</v>
      </c>
      <c r="F18" s="45">
        <v>8.3000000000000007</v>
      </c>
      <c r="G18" s="111">
        <f t="shared" ref="G18:G38" si="0">D18*F18</f>
        <v>3253.683</v>
      </c>
      <c r="H18" s="230">
        <f t="shared" ref="H18:H28" si="1">E18*D18</f>
        <v>4704.12</v>
      </c>
      <c r="I18" s="50" t="s">
        <v>8</v>
      </c>
      <c r="J18" s="47" t="s">
        <v>3</v>
      </c>
      <c r="K18" s="47">
        <f>0.3*D18</f>
        <v>117.60299999999999</v>
      </c>
      <c r="L18" s="67">
        <v>22.95</v>
      </c>
      <c r="M18" s="67">
        <f t="shared" ref="M18:M24" si="2">L18*K18</f>
        <v>2698.9888499999997</v>
      </c>
      <c r="N18" s="169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ht="25.5" x14ac:dyDescent="0.25">
      <c r="A19" s="41">
        <v>3</v>
      </c>
      <c r="B19" s="222" t="s">
        <v>22</v>
      </c>
      <c r="C19" s="223" t="s">
        <v>0</v>
      </c>
      <c r="D19" s="224">
        <v>392.01</v>
      </c>
      <c r="E19" s="203">
        <v>90</v>
      </c>
      <c r="F19" s="203">
        <v>60</v>
      </c>
      <c r="G19" s="202">
        <f t="shared" si="0"/>
        <v>23520.6</v>
      </c>
      <c r="H19" s="230">
        <f t="shared" si="1"/>
        <v>35280.9</v>
      </c>
      <c r="I19" s="220" t="s">
        <v>23</v>
      </c>
      <c r="J19" s="47" t="s">
        <v>2</v>
      </c>
      <c r="K19" s="47">
        <f>D19*1.2*2</f>
        <v>940.82399999999996</v>
      </c>
      <c r="L19" s="67">
        <v>8.2100000000000009</v>
      </c>
      <c r="M19" s="67">
        <f t="shared" si="2"/>
        <v>7724.1650400000008</v>
      </c>
      <c r="N19" s="169" t="s">
        <v>154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ht="42" x14ac:dyDescent="0.25">
      <c r="A20" s="41">
        <v>4</v>
      </c>
      <c r="B20" s="42" t="s">
        <v>72</v>
      </c>
      <c r="C20" s="43" t="s">
        <v>0</v>
      </c>
      <c r="D20" s="127">
        <v>392.01</v>
      </c>
      <c r="E20" s="203">
        <v>12</v>
      </c>
      <c r="F20" s="45">
        <v>8</v>
      </c>
      <c r="G20" s="111">
        <f t="shared" si="0"/>
        <v>3136.08</v>
      </c>
      <c r="H20" s="230">
        <f t="shared" si="1"/>
        <v>4704.12</v>
      </c>
      <c r="I20" s="112" t="s">
        <v>8</v>
      </c>
      <c r="J20" s="67" t="s">
        <v>3</v>
      </c>
      <c r="K20" s="67">
        <f>0.3*D20</f>
        <v>117.60299999999999</v>
      </c>
      <c r="L20" s="67">
        <v>22.95</v>
      </c>
      <c r="M20" s="67">
        <f>L20*K20</f>
        <v>2698.9888499999997</v>
      </c>
      <c r="N20" s="16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ht="25.5" x14ac:dyDescent="0.25">
      <c r="A21" s="41">
        <v>5</v>
      </c>
      <c r="B21" s="42" t="s">
        <v>71</v>
      </c>
      <c r="C21" s="43" t="s">
        <v>0</v>
      </c>
      <c r="D21" s="127">
        <v>392.01</v>
      </c>
      <c r="E21" s="203">
        <v>85</v>
      </c>
      <c r="F21" s="45">
        <v>60</v>
      </c>
      <c r="G21" s="111">
        <f t="shared" si="0"/>
        <v>23520.6</v>
      </c>
      <c r="H21" s="230">
        <f t="shared" si="1"/>
        <v>33320.85</v>
      </c>
      <c r="I21" s="50" t="s">
        <v>73</v>
      </c>
      <c r="J21" s="47" t="s">
        <v>0</v>
      </c>
      <c r="K21" s="67">
        <f>D21*1.05</f>
        <v>411.6105</v>
      </c>
      <c r="L21" s="45">
        <v>13.5</v>
      </c>
      <c r="M21" s="67">
        <f>L21*K21</f>
        <v>5556.7417500000001</v>
      </c>
      <c r="N21" s="16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t="25.5" x14ac:dyDescent="0.25">
      <c r="A22" s="41">
        <v>6</v>
      </c>
      <c r="B22" s="42"/>
      <c r="C22" s="43"/>
      <c r="D22" s="127"/>
      <c r="E22" s="203"/>
      <c r="F22" s="45"/>
      <c r="G22" s="111">
        <f t="shared" si="0"/>
        <v>0</v>
      </c>
      <c r="H22" s="230"/>
      <c r="I22" s="50" t="s">
        <v>133</v>
      </c>
      <c r="J22" s="47" t="s">
        <v>2</v>
      </c>
      <c r="K22" s="126">
        <f>D21*0.3</f>
        <v>117.60299999999999</v>
      </c>
      <c r="L22" s="45">
        <v>61.33</v>
      </c>
      <c r="M22" s="67">
        <f>L22*K22</f>
        <v>7212.5919899999999</v>
      </c>
      <c r="N22" s="169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ht="25.5" x14ac:dyDescent="0.25">
      <c r="A23" s="41">
        <v>7</v>
      </c>
      <c r="B23" s="42" t="s">
        <v>24</v>
      </c>
      <c r="C23" s="43" t="s">
        <v>0</v>
      </c>
      <c r="D23" s="127">
        <v>392.01</v>
      </c>
      <c r="E23" s="136">
        <v>130</v>
      </c>
      <c r="F23" s="67">
        <v>70</v>
      </c>
      <c r="G23" s="111">
        <f t="shared" si="0"/>
        <v>27440.7</v>
      </c>
      <c r="H23" s="230">
        <f t="shared" si="1"/>
        <v>50961.299999999996</v>
      </c>
      <c r="I23" s="221" t="s">
        <v>74</v>
      </c>
      <c r="J23" s="67" t="s">
        <v>2</v>
      </c>
      <c r="K23" s="67">
        <f>D23*0.6*2</f>
        <v>470.41199999999998</v>
      </c>
      <c r="L23" s="67">
        <v>19.329999999999998</v>
      </c>
      <c r="M23" s="67">
        <f t="shared" si="2"/>
        <v>9093.0639599999995</v>
      </c>
      <c r="N23" s="170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ht="42" x14ac:dyDescent="0.25">
      <c r="A24" s="41">
        <v>8</v>
      </c>
      <c r="B24" s="42" t="s">
        <v>25</v>
      </c>
      <c r="C24" s="43" t="s">
        <v>0</v>
      </c>
      <c r="D24" s="127">
        <v>392.01</v>
      </c>
      <c r="E24" s="136">
        <v>12</v>
      </c>
      <c r="F24" s="67">
        <v>8.3000000000000007</v>
      </c>
      <c r="G24" s="111">
        <f t="shared" si="0"/>
        <v>3253.683</v>
      </c>
      <c r="H24" s="230">
        <f t="shared" si="1"/>
        <v>4704.12</v>
      </c>
      <c r="I24" s="112" t="s">
        <v>8</v>
      </c>
      <c r="J24" s="67" t="s">
        <v>3</v>
      </c>
      <c r="K24" s="67">
        <f>0.3*D24</f>
        <v>117.60299999999999</v>
      </c>
      <c r="L24" s="67">
        <v>22.95</v>
      </c>
      <c r="M24" s="67">
        <f t="shared" si="2"/>
        <v>2698.9888499999997</v>
      </c>
      <c r="N24" s="170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ht="42" x14ac:dyDescent="0.25">
      <c r="A25" s="41">
        <v>9</v>
      </c>
      <c r="B25" s="42" t="s">
        <v>26</v>
      </c>
      <c r="C25" s="129" t="s">
        <v>0</v>
      </c>
      <c r="D25" s="127">
        <v>392.01</v>
      </c>
      <c r="E25" s="136">
        <v>65</v>
      </c>
      <c r="F25" s="67">
        <v>50</v>
      </c>
      <c r="G25" s="111">
        <f t="shared" si="0"/>
        <v>19600.5</v>
      </c>
      <c r="H25" s="230">
        <f t="shared" si="1"/>
        <v>25480.649999999998</v>
      </c>
      <c r="I25" s="112" t="s">
        <v>134</v>
      </c>
      <c r="J25" s="67" t="s">
        <v>3</v>
      </c>
      <c r="K25" s="67">
        <f>D25*0.3</f>
        <v>117.60299999999999</v>
      </c>
      <c r="L25" s="107">
        <v>120</v>
      </c>
      <c r="M25" s="107">
        <f>K25*L25</f>
        <v>14112.359999999999</v>
      </c>
      <c r="N25" s="171" t="s">
        <v>103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42" x14ac:dyDescent="0.25">
      <c r="A26" s="41">
        <v>10</v>
      </c>
      <c r="B26" s="42" t="s">
        <v>107</v>
      </c>
      <c r="C26" s="130" t="s">
        <v>62</v>
      </c>
      <c r="D26" s="127">
        <v>406.09</v>
      </c>
      <c r="E26" s="136">
        <v>60</v>
      </c>
      <c r="F26" s="67">
        <v>35</v>
      </c>
      <c r="G26" s="111">
        <f t="shared" si="0"/>
        <v>14213.15</v>
      </c>
      <c r="H26" s="230">
        <f t="shared" si="1"/>
        <v>24365.399999999998</v>
      </c>
      <c r="I26" s="112" t="s">
        <v>109</v>
      </c>
      <c r="J26" s="67" t="s">
        <v>62</v>
      </c>
      <c r="K26" s="67">
        <f>D26*1.05</f>
        <v>426.39449999999999</v>
      </c>
      <c r="L26" s="107">
        <v>0</v>
      </c>
      <c r="M26" s="107">
        <f>K26*L26</f>
        <v>0</v>
      </c>
      <c r="N26" s="171" t="s">
        <v>103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42" x14ac:dyDescent="0.25">
      <c r="A27" s="41"/>
      <c r="B27" s="42"/>
      <c r="C27" s="130"/>
      <c r="D27" s="127"/>
      <c r="E27" s="136"/>
      <c r="F27" s="67"/>
      <c r="G27" s="111">
        <f t="shared" si="0"/>
        <v>0</v>
      </c>
      <c r="H27" s="230"/>
      <c r="I27" s="50" t="s">
        <v>86</v>
      </c>
      <c r="J27" s="47" t="s">
        <v>87</v>
      </c>
      <c r="K27" s="67">
        <f>D26*20</f>
        <v>8121.7999999999993</v>
      </c>
      <c r="L27" s="67">
        <v>0.5</v>
      </c>
      <c r="M27" s="67">
        <f>L27*K27</f>
        <v>4060.8999999999996</v>
      </c>
      <c r="N27" s="17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42" x14ac:dyDescent="0.25">
      <c r="A28" s="41">
        <v>12</v>
      </c>
      <c r="B28" s="42" t="s">
        <v>108</v>
      </c>
      <c r="C28" s="128" t="s">
        <v>62</v>
      </c>
      <c r="D28" s="127">
        <v>91.44</v>
      </c>
      <c r="E28" s="136">
        <v>60</v>
      </c>
      <c r="F28" s="136">
        <v>60</v>
      </c>
      <c r="G28" s="111">
        <f t="shared" si="0"/>
        <v>5486.4</v>
      </c>
      <c r="H28" s="230">
        <f t="shared" si="1"/>
        <v>5486.4</v>
      </c>
      <c r="I28" s="112" t="s">
        <v>110</v>
      </c>
      <c r="J28" s="67" t="s">
        <v>62</v>
      </c>
      <c r="K28" s="67">
        <f>D28*1.05</f>
        <v>96.012</v>
      </c>
      <c r="L28" s="107">
        <v>0</v>
      </c>
      <c r="M28" s="107">
        <f>K28*L28</f>
        <v>0</v>
      </c>
      <c r="N28" s="171" t="s">
        <v>103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42" x14ac:dyDescent="0.25">
      <c r="A29" s="41"/>
      <c r="B29" s="42"/>
      <c r="C29" s="130"/>
      <c r="D29" s="127"/>
      <c r="E29" s="136"/>
      <c r="F29" s="67"/>
      <c r="G29" s="111">
        <f t="shared" si="0"/>
        <v>0</v>
      </c>
      <c r="H29" s="230"/>
      <c r="I29" s="50" t="s">
        <v>86</v>
      </c>
      <c r="J29" s="47" t="s">
        <v>87</v>
      </c>
      <c r="K29" s="67">
        <f>D28*20</f>
        <v>1828.8</v>
      </c>
      <c r="L29" s="67">
        <v>0.5</v>
      </c>
      <c r="M29" s="67">
        <f>L29*K29</f>
        <v>914.4</v>
      </c>
      <c r="N29" s="17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</row>
    <row r="30" spans="1:256" ht="22.5" x14ac:dyDescent="0.25">
      <c r="A30" s="41"/>
      <c r="B30" s="135" t="s">
        <v>83</v>
      </c>
      <c r="C30" s="130"/>
      <c r="D30" s="127"/>
      <c r="E30" s="136"/>
      <c r="F30" s="67"/>
      <c r="G30" s="111">
        <f t="shared" si="0"/>
        <v>0</v>
      </c>
      <c r="H30" s="230"/>
      <c r="I30" s="112"/>
      <c r="J30" s="67"/>
      <c r="K30" s="67"/>
      <c r="L30" s="136"/>
      <c r="M30" s="67"/>
      <c r="N30" s="17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pans="1:256" ht="42" x14ac:dyDescent="0.25">
      <c r="A31" s="41">
        <v>13</v>
      </c>
      <c r="B31" s="42" t="s">
        <v>77</v>
      </c>
      <c r="C31" s="43" t="s">
        <v>62</v>
      </c>
      <c r="D31" s="127">
        <f>10*2.85</f>
        <v>28.5</v>
      </c>
      <c r="E31" s="203">
        <v>12</v>
      </c>
      <c r="F31" s="45">
        <v>5</v>
      </c>
      <c r="G31" s="111">
        <f t="shared" si="0"/>
        <v>142.5</v>
      </c>
      <c r="H31" s="230">
        <f>E31*D31</f>
        <v>342</v>
      </c>
      <c r="I31" s="50" t="s">
        <v>8</v>
      </c>
      <c r="J31" s="47" t="s">
        <v>3</v>
      </c>
      <c r="K31" s="47">
        <f>D31*0.4*0.3</f>
        <v>3.42</v>
      </c>
      <c r="L31" s="67">
        <v>22.95</v>
      </c>
      <c r="M31" s="67">
        <f t="shared" ref="M31:M37" si="3">L31*K31</f>
        <v>78.48899999999999</v>
      </c>
      <c r="N31" s="169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</row>
    <row r="32" spans="1:256" ht="42" x14ac:dyDescent="0.25">
      <c r="A32" s="41">
        <v>14</v>
      </c>
      <c r="B32" s="42" t="s">
        <v>78</v>
      </c>
      <c r="C32" s="43" t="s">
        <v>62</v>
      </c>
      <c r="D32" s="127">
        <f>10*2.85</f>
        <v>28.5</v>
      </c>
      <c r="E32" s="203">
        <v>90</v>
      </c>
      <c r="F32" s="45">
        <v>36</v>
      </c>
      <c r="G32" s="111">
        <f t="shared" si="0"/>
        <v>1026</v>
      </c>
      <c r="H32" s="230">
        <f>E32*D32</f>
        <v>2565</v>
      </c>
      <c r="I32" s="50" t="s">
        <v>23</v>
      </c>
      <c r="J32" s="47" t="s">
        <v>2</v>
      </c>
      <c r="K32" s="47">
        <f>D32*0.4*1.2*2</f>
        <v>27.36</v>
      </c>
      <c r="L32" s="67">
        <v>8.2100000000000009</v>
      </c>
      <c r="M32" s="67">
        <f t="shared" si="3"/>
        <v>224.62560000000002</v>
      </c>
      <c r="N32" s="169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</row>
    <row r="33" spans="1:256" ht="42" x14ac:dyDescent="0.25">
      <c r="A33" s="41">
        <v>15</v>
      </c>
      <c r="B33" s="42" t="s">
        <v>79</v>
      </c>
      <c r="C33" s="43" t="s">
        <v>62</v>
      </c>
      <c r="D33" s="127">
        <f>10*2.85</f>
        <v>28.5</v>
      </c>
      <c r="E33" s="203">
        <v>12</v>
      </c>
      <c r="F33" s="45">
        <v>5</v>
      </c>
      <c r="G33" s="111">
        <f t="shared" si="0"/>
        <v>142.5</v>
      </c>
      <c r="H33" s="230">
        <f>E33*D33</f>
        <v>342</v>
      </c>
      <c r="I33" s="112" t="s">
        <v>8</v>
      </c>
      <c r="J33" s="67" t="s">
        <v>3</v>
      </c>
      <c r="K33" s="67">
        <f>D33*0.4*0.3</f>
        <v>3.42</v>
      </c>
      <c r="L33" s="67">
        <v>22.95</v>
      </c>
      <c r="M33" s="67">
        <f t="shared" si="3"/>
        <v>78.48899999999999</v>
      </c>
      <c r="N33" s="169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</row>
    <row r="34" spans="1:256" ht="42" x14ac:dyDescent="0.25">
      <c r="A34" s="41">
        <v>16</v>
      </c>
      <c r="B34" s="42" t="s">
        <v>80</v>
      </c>
      <c r="C34" s="43" t="s">
        <v>62</v>
      </c>
      <c r="D34" s="127">
        <f>10*2.85</f>
        <v>28.5</v>
      </c>
      <c r="E34" s="203">
        <v>85</v>
      </c>
      <c r="F34" s="45">
        <v>36</v>
      </c>
      <c r="G34" s="111">
        <f t="shared" si="0"/>
        <v>1026</v>
      </c>
      <c r="H34" s="230">
        <f>E34*D34</f>
        <v>2422.5</v>
      </c>
      <c r="I34" s="50" t="s">
        <v>73</v>
      </c>
      <c r="J34" s="47" t="s">
        <v>0</v>
      </c>
      <c r="K34" s="47">
        <f>D34*0.4*1.05</f>
        <v>11.97</v>
      </c>
      <c r="L34" s="45">
        <v>13.5</v>
      </c>
      <c r="M34" s="67">
        <f t="shared" si="3"/>
        <v>161.595</v>
      </c>
      <c r="N34" s="169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</row>
    <row r="35" spans="1:256" ht="25.5" x14ac:dyDescent="0.25">
      <c r="A35" s="41"/>
      <c r="B35" s="42"/>
      <c r="C35" s="43"/>
      <c r="D35" s="127"/>
      <c r="E35" s="203"/>
      <c r="F35" s="45"/>
      <c r="G35" s="111">
        <f t="shared" si="0"/>
        <v>0</v>
      </c>
      <c r="H35" s="230"/>
      <c r="I35" s="50" t="s">
        <v>133</v>
      </c>
      <c r="J35" s="47" t="s">
        <v>2</v>
      </c>
      <c r="K35" s="126">
        <f>D34*0.4*0.3</f>
        <v>3.42</v>
      </c>
      <c r="L35" s="45">
        <v>61.33</v>
      </c>
      <c r="M35" s="67">
        <f t="shared" si="3"/>
        <v>209.74859999999998</v>
      </c>
      <c r="N35" s="169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pans="1:256" ht="25.5" x14ac:dyDescent="0.25">
      <c r="A36" s="41">
        <v>17</v>
      </c>
      <c r="B36" s="42" t="s">
        <v>94</v>
      </c>
      <c r="C36" s="43" t="s">
        <v>62</v>
      </c>
      <c r="D36" s="127">
        <f>10*2.85</f>
        <v>28.5</v>
      </c>
      <c r="E36" s="136">
        <v>130</v>
      </c>
      <c r="F36" s="67">
        <v>42</v>
      </c>
      <c r="G36" s="111">
        <f t="shared" si="0"/>
        <v>1197</v>
      </c>
      <c r="H36" s="230">
        <f>E36*D36</f>
        <v>3705</v>
      </c>
      <c r="I36" s="113" t="s">
        <v>74</v>
      </c>
      <c r="J36" s="67" t="s">
        <v>2</v>
      </c>
      <c r="K36" s="67">
        <f>D36*0.4*1*2</f>
        <v>22.8</v>
      </c>
      <c r="L36" s="67">
        <v>19.329999999999998</v>
      </c>
      <c r="M36" s="67">
        <f t="shared" si="3"/>
        <v>440.72399999999999</v>
      </c>
      <c r="N36" s="170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</row>
    <row r="37" spans="1:256" ht="42" x14ac:dyDescent="0.25">
      <c r="A37" s="41">
        <v>18</v>
      </c>
      <c r="B37" s="42" t="s">
        <v>81</v>
      </c>
      <c r="C37" s="43" t="s">
        <v>62</v>
      </c>
      <c r="D37" s="127">
        <f>10*2.85</f>
        <v>28.5</v>
      </c>
      <c r="E37" s="136">
        <v>12</v>
      </c>
      <c r="F37" s="67">
        <v>5</v>
      </c>
      <c r="G37" s="111">
        <f t="shared" si="0"/>
        <v>142.5</v>
      </c>
      <c r="H37" s="230">
        <f>E37*D37</f>
        <v>342</v>
      </c>
      <c r="I37" s="112" t="s">
        <v>8</v>
      </c>
      <c r="J37" s="67" t="s">
        <v>3</v>
      </c>
      <c r="K37" s="47">
        <f>D37*0.4*0.3</f>
        <v>3.42</v>
      </c>
      <c r="L37" s="67">
        <v>22.95</v>
      </c>
      <c r="M37" s="67">
        <f t="shared" si="3"/>
        <v>78.48899999999999</v>
      </c>
      <c r="N37" s="170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pans="1:256" ht="42" x14ac:dyDescent="0.25">
      <c r="A38" s="41">
        <v>19</v>
      </c>
      <c r="B38" s="42" t="s">
        <v>82</v>
      </c>
      <c r="C38" s="43" t="s">
        <v>62</v>
      </c>
      <c r="D38" s="127">
        <f>10*2.85</f>
        <v>28.5</v>
      </c>
      <c r="E38" s="136">
        <v>65</v>
      </c>
      <c r="F38" s="67">
        <v>30</v>
      </c>
      <c r="G38" s="111">
        <f t="shared" si="0"/>
        <v>855</v>
      </c>
      <c r="H38" s="230">
        <f>E38*D38</f>
        <v>1852.5</v>
      </c>
      <c r="I38" s="112" t="s">
        <v>134</v>
      </c>
      <c r="J38" s="67" t="s">
        <v>3</v>
      </c>
      <c r="K38" s="47">
        <f>D38*0.4*0.3</f>
        <v>3.42</v>
      </c>
      <c r="L38" s="107">
        <v>120</v>
      </c>
      <c r="M38" s="107">
        <f>K38*L38</f>
        <v>410.4</v>
      </c>
      <c r="N38" s="171" t="s">
        <v>103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pans="1:256" ht="25.5" x14ac:dyDescent="0.25">
      <c r="A39" s="51"/>
      <c r="B39" s="52" t="s">
        <v>27</v>
      </c>
      <c r="C39" s="52"/>
      <c r="D39" s="88"/>
      <c r="E39" s="204"/>
      <c r="F39" s="88"/>
      <c r="G39" s="89">
        <f>SUM(G17:G38)</f>
        <v>128127.89599999999</v>
      </c>
      <c r="H39" s="231">
        <f>SUM(H16:H38)</f>
        <v>200920.86</v>
      </c>
      <c r="I39" s="114"/>
      <c r="J39" s="88"/>
      <c r="K39" s="87"/>
      <c r="L39" s="88"/>
      <c r="M39" s="89">
        <f>SUM(M16:M38)</f>
        <v>58453.749490000009</v>
      </c>
      <c r="N39" s="17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pans="1:256" ht="25.5" x14ac:dyDescent="0.25">
      <c r="A40" s="57"/>
      <c r="B40" s="58" t="s">
        <v>28</v>
      </c>
      <c r="C40" s="58"/>
      <c r="D40" s="91"/>
      <c r="E40" s="205"/>
      <c r="F40" s="91"/>
      <c r="G40" s="91"/>
      <c r="H40" s="232"/>
      <c r="I40" s="115"/>
      <c r="J40" s="91"/>
      <c r="K40" s="90"/>
      <c r="L40" s="91"/>
      <c r="M40" s="91"/>
      <c r="N40" s="249">
        <f>M39+H39</f>
        <v>259374.60949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pans="1:256" ht="25.5" x14ac:dyDescent="0.25">
      <c r="A41" s="35"/>
      <c r="B41" s="36" t="s">
        <v>96</v>
      </c>
      <c r="C41" s="36"/>
      <c r="D41" s="143"/>
      <c r="E41" s="206"/>
      <c r="F41" s="37"/>
      <c r="G41" s="37"/>
      <c r="H41" s="233"/>
      <c r="I41" s="39"/>
      <c r="J41" s="38"/>
      <c r="K41" s="40"/>
      <c r="L41" s="37"/>
      <c r="M41" s="37"/>
      <c r="N41" s="175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pans="1:256" ht="42" x14ac:dyDescent="0.25">
      <c r="A42" s="41">
        <v>1</v>
      </c>
      <c r="B42" s="42" t="s">
        <v>49</v>
      </c>
      <c r="C42" s="43" t="s">
        <v>0</v>
      </c>
      <c r="D42" s="68">
        <f>60.77+60.16</f>
        <v>120.93</v>
      </c>
      <c r="E42" s="203">
        <v>12</v>
      </c>
      <c r="F42" s="45">
        <v>8.3000000000000007</v>
      </c>
      <c r="G42" s="45">
        <f>D42*F42</f>
        <v>1003.7190000000002</v>
      </c>
      <c r="H42" s="234">
        <f>E42*D42</f>
        <v>1451.16</v>
      </c>
      <c r="I42" s="50" t="s">
        <v>8</v>
      </c>
      <c r="J42" s="47" t="s">
        <v>3</v>
      </c>
      <c r="K42" s="67">
        <f>D42*0.3</f>
        <v>36.279000000000003</v>
      </c>
      <c r="L42" s="67">
        <v>22.95</v>
      </c>
      <c r="M42" s="67">
        <f t="shared" ref="M42:M54" si="4">L42*K42</f>
        <v>832.60305000000005</v>
      </c>
      <c r="N42" s="17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pans="1:256" ht="25.5" x14ac:dyDescent="0.25">
      <c r="A43" s="41">
        <v>2</v>
      </c>
      <c r="B43" s="42" t="s">
        <v>50</v>
      </c>
      <c r="C43" s="43" t="s">
        <v>0</v>
      </c>
      <c r="D43" s="68">
        <f>60.77+60.16</f>
        <v>120.93</v>
      </c>
      <c r="E43" s="203">
        <v>450</v>
      </c>
      <c r="F43" s="45">
        <v>250</v>
      </c>
      <c r="G43" s="45">
        <f t="shared" ref="G43:G54" si="5">D43*F43</f>
        <v>30232.5</v>
      </c>
      <c r="H43" s="234">
        <f>E43*D43</f>
        <v>54418.5</v>
      </c>
      <c r="I43" s="50" t="s">
        <v>89</v>
      </c>
      <c r="J43" s="47" t="s">
        <v>2</v>
      </c>
      <c r="K43" s="67">
        <f>D43*7</f>
        <v>846.51</v>
      </c>
      <c r="L43" s="67">
        <v>12.78</v>
      </c>
      <c r="M43" s="67">
        <f t="shared" si="4"/>
        <v>10818.397799999999</v>
      </c>
      <c r="N43" s="176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pans="1:256" ht="42" x14ac:dyDescent="0.25">
      <c r="A44" s="41"/>
      <c r="B44" s="42"/>
      <c r="C44" s="43"/>
      <c r="D44" s="68"/>
      <c r="E44" s="203"/>
      <c r="F44" s="45"/>
      <c r="G44" s="45">
        <f t="shared" si="5"/>
        <v>0</v>
      </c>
      <c r="H44" s="234"/>
      <c r="I44" s="50" t="s">
        <v>51</v>
      </c>
      <c r="J44" s="47" t="s">
        <v>0</v>
      </c>
      <c r="K44" s="67">
        <f>60.67*1.1</f>
        <v>66.737000000000009</v>
      </c>
      <c r="L44" s="107">
        <v>0</v>
      </c>
      <c r="M44" s="107">
        <f t="shared" si="4"/>
        <v>0</v>
      </c>
      <c r="N44" s="171" t="s">
        <v>103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ht="42" x14ac:dyDescent="0.25">
      <c r="A45" s="41"/>
      <c r="B45" s="42"/>
      <c r="C45" s="43"/>
      <c r="D45" s="68"/>
      <c r="E45" s="203"/>
      <c r="F45" s="45"/>
      <c r="G45" s="45">
        <f t="shared" si="5"/>
        <v>0</v>
      </c>
      <c r="H45" s="234"/>
      <c r="I45" s="50" t="s">
        <v>52</v>
      </c>
      <c r="J45" s="47" t="s">
        <v>0</v>
      </c>
      <c r="K45" s="67">
        <f>60.16*1.1</f>
        <v>66.176000000000002</v>
      </c>
      <c r="L45" s="137">
        <v>0</v>
      </c>
      <c r="M45" s="137">
        <f t="shared" si="4"/>
        <v>0</v>
      </c>
      <c r="N45" s="171" t="s">
        <v>103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ht="25.5" x14ac:dyDescent="0.25">
      <c r="A46" s="41"/>
      <c r="B46" s="42"/>
      <c r="C46" s="43"/>
      <c r="D46" s="68"/>
      <c r="E46" s="203"/>
      <c r="F46" s="45"/>
      <c r="G46" s="45">
        <f t="shared" si="5"/>
        <v>0</v>
      </c>
      <c r="H46" s="234"/>
      <c r="I46" s="50" t="s">
        <v>64</v>
      </c>
      <c r="J46" s="47" t="s">
        <v>2</v>
      </c>
      <c r="K46" s="67">
        <f>D43*0.15</f>
        <v>18.139500000000002</v>
      </c>
      <c r="L46" s="67">
        <v>74.73</v>
      </c>
      <c r="M46" s="67">
        <f t="shared" si="4"/>
        <v>1355.5648350000001</v>
      </c>
      <c r="N46" s="177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pans="1:256" ht="42" x14ac:dyDescent="0.25">
      <c r="A47" s="41">
        <v>3</v>
      </c>
      <c r="B47" s="42" t="s">
        <v>113</v>
      </c>
      <c r="C47" s="43" t="s">
        <v>0</v>
      </c>
      <c r="D47" s="68">
        <f>60.77+60.16</f>
        <v>120.93</v>
      </c>
      <c r="E47" s="203">
        <v>30</v>
      </c>
      <c r="F47" s="45">
        <v>12</v>
      </c>
      <c r="G47" s="45">
        <f t="shared" si="5"/>
        <v>1451.16</v>
      </c>
      <c r="H47" s="234">
        <f>E47*D47</f>
        <v>3627.9</v>
      </c>
      <c r="I47" s="50" t="s">
        <v>115</v>
      </c>
      <c r="J47" s="47" t="s">
        <v>7</v>
      </c>
      <c r="K47" s="67">
        <f>40*1.1</f>
        <v>44</v>
      </c>
      <c r="L47" s="67">
        <v>115.27</v>
      </c>
      <c r="M47" s="67">
        <f t="shared" si="4"/>
        <v>5071.88</v>
      </c>
      <c r="N47" s="177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ht="25.5" x14ac:dyDescent="0.25">
      <c r="A48" s="41"/>
      <c r="B48" s="42"/>
      <c r="C48" s="43"/>
      <c r="D48" s="68"/>
      <c r="E48" s="203"/>
      <c r="F48" s="45"/>
      <c r="G48" s="45">
        <f t="shared" si="5"/>
        <v>0</v>
      </c>
      <c r="H48" s="234"/>
      <c r="I48" s="50" t="s">
        <v>114</v>
      </c>
      <c r="J48" s="47" t="s">
        <v>7</v>
      </c>
      <c r="K48" s="67">
        <v>5</v>
      </c>
      <c r="L48" s="67">
        <v>45</v>
      </c>
      <c r="M48" s="67">
        <f t="shared" si="4"/>
        <v>225</v>
      </c>
      <c r="N48" s="177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ht="42" x14ac:dyDescent="0.25">
      <c r="A49" s="41">
        <v>4</v>
      </c>
      <c r="B49" s="42" t="s">
        <v>90</v>
      </c>
      <c r="C49" s="43" t="s">
        <v>5</v>
      </c>
      <c r="D49" s="68">
        <v>45.14</v>
      </c>
      <c r="E49" s="203">
        <v>280</v>
      </c>
      <c r="F49" s="45">
        <v>75</v>
      </c>
      <c r="G49" s="45">
        <f t="shared" si="5"/>
        <v>3385.5</v>
      </c>
      <c r="H49" s="234">
        <f>E49*D49</f>
        <v>12639.2</v>
      </c>
      <c r="I49" s="50" t="s">
        <v>89</v>
      </c>
      <c r="J49" s="47" t="s">
        <v>2</v>
      </c>
      <c r="K49" s="67">
        <f>D49*0.06*5</f>
        <v>13.542000000000002</v>
      </c>
      <c r="L49" s="67">
        <v>12.78</v>
      </c>
      <c r="M49" s="67">
        <f t="shared" si="4"/>
        <v>173.06676000000002</v>
      </c>
      <c r="N49" s="177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pans="1:256" ht="57" customHeight="1" x14ac:dyDescent="0.25">
      <c r="A50" s="41"/>
      <c r="B50" s="42"/>
      <c r="C50" s="43"/>
      <c r="D50" s="68"/>
      <c r="E50" s="203"/>
      <c r="F50" s="45"/>
      <c r="G50" s="45">
        <f t="shared" si="5"/>
        <v>0</v>
      </c>
      <c r="H50" s="234"/>
      <c r="I50" s="50" t="s">
        <v>51</v>
      </c>
      <c r="J50" s="47" t="s">
        <v>0</v>
      </c>
      <c r="K50" s="67">
        <f>(D49/7.2)*0.36*1.1</f>
        <v>2.4826999999999999</v>
      </c>
      <c r="L50" s="107">
        <v>0</v>
      </c>
      <c r="M50" s="107">
        <f t="shared" si="4"/>
        <v>0</v>
      </c>
      <c r="N50" s="171" t="s">
        <v>103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ht="22.5" x14ac:dyDescent="0.25">
      <c r="A51" s="41"/>
      <c r="B51" s="42"/>
      <c r="C51" s="43"/>
      <c r="D51" s="68"/>
      <c r="E51" s="203"/>
      <c r="F51" s="45"/>
      <c r="G51" s="45">
        <f t="shared" si="5"/>
        <v>0</v>
      </c>
      <c r="H51" s="234"/>
      <c r="I51" s="50" t="s">
        <v>64</v>
      </c>
      <c r="J51" s="47" t="s">
        <v>2</v>
      </c>
      <c r="K51" s="67">
        <f>D49*0.06*0.15</f>
        <v>0.40626000000000001</v>
      </c>
      <c r="L51" s="67">
        <v>74.73</v>
      </c>
      <c r="M51" s="67">
        <f>L51*K51</f>
        <v>30.359809800000001</v>
      </c>
      <c r="N51" s="17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pans="1:256" ht="60.75" customHeight="1" x14ac:dyDescent="0.25">
      <c r="A52" s="41">
        <v>5</v>
      </c>
      <c r="B52" s="42" t="s">
        <v>84</v>
      </c>
      <c r="C52" s="43" t="s">
        <v>5</v>
      </c>
      <c r="D52" s="68">
        <v>90.66</v>
      </c>
      <c r="E52" s="203">
        <v>120</v>
      </c>
      <c r="F52" s="45">
        <v>50</v>
      </c>
      <c r="G52" s="45">
        <f t="shared" si="5"/>
        <v>4533</v>
      </c>
      <c r="H52" s="234">
        <f>E52*D52</f>
        <v>10879.199999999999</v>
      </c>
      <c r="I52" s="50" t="s">
        <v>86</v>
      </c>
      <c r="J52" s="47" t="s">
        <v>87</v>
      </c>
      <c r="K52" s="67">
        <f>D52*45</f>
        <v>4079.7</v>
      </c>
      <c r="L52" s="67">
        <v>0.5</v>
      </c>
      <c r="M52" s="67">
        <f t="shared" si="4"/>
        <v>2039.85</v>
      </c>
      <c r="N52" s="177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pans="1:256" ht="42" x14ac:dyDescent="0.25">
      <c r="A53" s="41"/>
      <c r="B53" s="42"/>
      <c r="C53" s="43"/>
      <c r="D53" s="68"/>
      <c r="E53" s="203"/>
      <c r="F53" s="45"/>
      <c r="G53" s="45">
        <f t="shared" si="5"/>
        <v>0</v>
      </c>
      <c r="H53" s="234"/>
      <c r="I53" s="50" t="s">
        <v>88</v>
      </c>
      <c r="J53" s="47" t="s">
        <v>87</v>
      </c>
      <c r="K53" s="67">
        <f>D52*15</f>
        <v>1359.8999999999999</v>
      </c>
      <c r="L53" s="67">
        <v>0.5</v>
      </c>
      <c r="M53" s="67">
        <f t="shared" si="4"/>
        <v>679.94999999999993</v>
      </c>
      <c r="N53" s="177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pans="1:256" ht="42" x14ac:dyDescent="0.25">
      <c r="A54" s="41"/>
      <c r="B54" s="42"/>
      <c r="C54" s="43"/>
      <c r="D54" s="68"/>
      <c r="E54" s="203"/>
      <c r="F54" s="45"/>
      <c r="G54" s="45">
        <f t="shared" si="5"/>
        <v>0</v>
      </c>
      <c r="H54" s="234"/>
      <c r="I54" s="50" t="s">
        <v>85</v>
      </c>
      <c r="J54" s="47" t="s">
        <v>0</v>
      </c>
      <c r="K54" s="67">
        <f>(D52/7.2)*0.36*1.1</f>
        <v>4.9863</v>
      </c>
      <c r="L54" s="107">
        <v>0</v>
      </c>
      <c r="M54" s="107">
        <f t="shared" si="4"/>
        <v>0</v>
      </c>
      <c r="N54" s="171" t="s">
        <v>103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pans="1:256" ht="25.5" x14ac:dyDescent="0.25">
      <c r="A55" s="51"/>
      <c r="B55" s="52" t="s">
        <v>27</v>
      </c>
      <c r="C55" s="52"/>
      <c r="D55" s="88"/>
      <c r="E55" s="204"/>
      <c r="F55" s="88"/>
      <c r="G55" s="89">
        <f>SUM(G42:G54)</f>
        <v>40605.879000000001</v>
      </c>
      <c r="H55" s="231">
        <f>SUM(H42:H54)</f>
        <v>83015.960000000006</v>
      </c>
      <c r="I55" s="114"/>
      <c r="J55" s="88"/>
      <c r="K55" s="87"/>
      <c r="L55" s="88"/>
      <c r="M55" s="89">
        <f>SUM(M42:M54)</f>
        <v>21226.6722548</v>
      </c>
      <c r="N55" s="17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</row>
    <row r="56" spans="1:256" ht="25.5" x14ac:dyDescent="0.25">
      <c r="A56" s="57"/>
      <c r="B56" s="58" t="s">
        <v>28</v>
      </c>
      <c r="C56" s="58"/>
      <c r="D56" s="91"/>
      <c r="E56" s="205"/>
      <c r="F56" s="91"/>
      <c r="G56" s="91"/>
      <c r="H56" s="232"/>
      <c r="I56" s="115"/>
      <c r="J56" s="91"/>
      <c r="K56" s="90"/>
      <c r="L56" s="91"/>
      <c r="M56" s="91"/>
      <c r="N56" s="249">
        <f>M55+H55</f>
        <v>104242.6322548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pans="1:256" ht="22.5" x14ac:dyDescent="0.25">
      <c r="A57" s="139"/>
      <c r="B57" s="36" t="s">
        <v>53</v>
      </c>
      <c r="C57" s="140"/>
      <c r="D57" s="143"/>
      <c r="E57" s="207"/>
      <c r="F57" s="141"/>
      <c r="G57" s="141"/>
      <c r="H57" s="233"/>
      <c r="I57" s="142"/>
      <c r="J57" s="38"/>
      <c r="K57" s="143"/>
      <c r="L57" s="143"/>
      <c r="M57" s="143"/>
      <c r="N57" s="178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  <c r="IV57" s="49"/>
    </row>
    <row r="58" spans="1:256" ht="42" x14ac:dyDescent="0.25">
      <c r="A58" s="41">
        <v>1</v>
      </c>
      <c r="B58" s="42" t="s">
        <v>98</v>
      </c>
      <c r="C58" s="109" t="s">
        <v>0</v>
      </c>
      <c r="D58" s="127">
        <v>9.9700000000000006</v>
      </c>
      <c r="E58" s="202">
        <v>40</v>
      </c>
      <c r="F58" s="111">
        <v>78.3</v>
      </c>
      <c r="G58" s="111">
        <f>D58*F58</f>
        <v>780.65100000000007</v>
      </c>
      <c r="H58" s="230">
        <f>E58*D58</f>
        <v>398.8</v>
      </c>
      <c r="I58" s="112" t="s">
        <v>99</v>
      </c>
      <c r="J58" s="67" t="s">
        <v>3</v>
      </c>
      <c r="K58" s="67">
        <f>D58*0.45</f>
        <v>4.4865000000000004</v>
      </c>
      <c r="L58" s="67">
        <v>56</v>
      </c>
      <c r="M58" s="67">
        <f>L58*K58</f>
        <v>251.24400000000003</v>
      </c>
      <c r="N58" s="168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pans="1:256" ht="42" x14ac:dyDescent="0.25">
      <c r="A59" s="41">
        <v>2</v>
      </c>
      <c r="B59" s="42" t="s">
        <v>46</v>
      </c>
      <c r="C59" s="129" t="s">
        <v>0</v>
      </c>
      <c r="D59" s="127">
        <v>9.9700000000000006</v>
      </c>
      <c r="E59" s="136">
        <v>180</v>
      </c>
      <c r="F59" s="67">
        <v>160</v>
      </c>
      <c r="G59" s="111">
        <f t="shared" ref="G59:G104" si="6">D59*F59</f>
        <v>1595.2</v>
      </c>
      <c r="H59" s="230">
        <f>E59*D59</f>
        <v>1794.6000000000001</v>
      </c>
      <c r="I59" s="112" t="s">
        <v>47</v>
      </c>
      <c r="J59" s="67" t="s">
        <v>2</v>
      </c>
      <c r="K59" s="67">
        <f>D59*1*20</f>
        <v>199.4</v>
      </c>
      <c r="L59" s="67">
        <v>4.5999999999999996</v>
      </c>
      <c r="M59" s="67">
        <f>L59*K59</f>
        <v>917.24</v>
      </c>
      <c r="N59" s="168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</row>
    <row r="60" spans="1:256" ht="25.5" x14ac:dyDescent="0.25">
      <c r="A60" s="41"/>
      <c r="B60" s="42"/>
      <c r="C60" s="130"/>
      <c r="D60" s="68"/>
      <c r="E60" s="136"/>
      <c r="F60" s="67"/>
      <c r="G60" s="111">
        <f t="shared" si="6"/>
        <v>0</v>
      </c>
      <c r="H60" s="230"/>
      <c r="I60" s="113" t="s">
        <v>48</v>
      </c>
      <c r="J60" s="67" t="s">
        <v>5</v>
      </c>
      <c r="K60" s="67">
        <f>D59*1.2</f>
        <v>11.964</v>
      </c>
      <c r="L60" s="67">
        <v>4</v>
      </c>
      <c r="M60" s="67">
        <f>L60*K60</f>
        <v>47.856000000000002</v>
      </c>
      <c r="N60" s="168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</row>
    <row r="61" spans="1:256" ht="22.5" x14ac:dyDescent="0.25">
      <c r="A61" s="146"/>
      <c r="B61" s="145" t="s">
        <v>97</v>
      </c>
      <c r="C61" s="147"/>
      <c r="D61" s="67"/>
      <c r="E61" s="208"/>
      <c r="F61" s="123"/>
      <c r="G61" s="111">
        <f t="shared" si="6"/>
        <v>0</v>
      </c>
      <c r="H61" s="234"/>
      <c r="I61" s="66"/>
      <c r="J61" s="47"/>
      <c r="K61" s="67"/>
      <c r="L61" s="67"/>
      <c r="M61" s="67"/>
      <c r="N61" s="17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</row>
    <row r="62" spans="1:256" ht="42" x14ac:dyDescent="0.25">
      <c r="A62" s="62">
        <v>1</v>
      </c>
      <c r="B62" s="69" t="s">
        <v>61</v>
      </c>
      <c r="C62" s="64" t="s">
        <v>0</v>
      </c>
      <c r="D62" s="68">
        <v>8.83</v>
      </c>
      <c r="E62" s="208">
        <v>220</v>
      </c>
      <c r="F62" s="123">
        <v>180</v>
      </c>
      <c r="G62" s="111">
        <f t="shared" si="6"/>
        <v>1589.4</v>
      </c>
      <c r="H62" s="235">
        <f>E62*D62</f>
        <v>1942.6</v>
      </c>
      <c r="I62" s="66" t="s">
        <v>29</v>
      </c>
      <c r="J62" s="44" t="s">
        <v>0</v>
      </c>
      <c r="K62" s="67">
        <f>D62*1.05</f>
        <v>9.2714999999999996</v>
      </c>
      <c r="L62" s="67">
        <v>48.2</v>
      </c>
      <c r="M62" s="68">
        <f t="shared" ref="M62:M77" si="7">L62*K62</f>
        <v>446.88630000000001</v>
      </c>
      <c r="N62" s="180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  <c r="IU62" s="49"/>
      <c r="IV62" s="49"/>
    </row>
    <row r="63" spans="1:256" ht="22.5" x14ac:dyDescent="0.25">
      <c r="A63" s="62"/>
      <c r="B63" s="69"/>
      <c r="C63" s="64"/>
      <c r="D63" s="68"/>
      <c r="E63" s="116"/>
      <c r="F63" s="116"/>
      <c r="G63" s="111">
        <f t="shared" si="6"/>
        <v>0</v>
      </c>
      <c r="H63" s="235"/>
      <c r="I63" s="66" t="s">
        <v>30</v>
      </c>
      <c r="J63" s="47" t="s">
        <v>5</v>
      </c>
      <c r="K63" s="67">
        <f>3.9*D62</f>
        <v>34.436999999999998</v>
      </c>
      <c r="L63" s="67">
        <v>21.61</v>
      </c>
      <c r="M63" s="68">
        <f t="shared" si="7"/>
        <v>744.18356999999992</v>
      </c>
      <c r="N63" s="180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</row>
    <row r="64" spans="1:256" ht="22.5" x14ac:dyDescent="0.25">
      <c r="A64" s="62"/>
      <c r="B64" s="69"/>
      <c r="C64" s="64"/>
      <c r="D64" s="68"/>
      <c r="E64" s="116"/>
      <c r="F64" s="116"/>
      <c r="G64" s="111">
        <f t="shared" si="6"/>
        <v>0</v>
      </c>
      <c r="H64" s="235"/>
      <c r="I64" s="66" t="s">
        <v>31</v>
      </c>
      <c r="J64" s="47" t="s">
        <v>5</v>
      </c>
      <c r="K64" s="67">
        <f>13*1.1</f>
        <v>14.3</v>
      </c>
      <c r="L64" s="67">
        <v>14.22</v>
      </c>
      <c r="M64" s="68">
        <f t="shared" si="7"/>
        <v>203.34600000000003</v>
      </c>
      <c r="N64" s="180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</row>
    <row r="65" spans="1:256" ht="22.5" x14ac:dyDescent="0.25">
      <c r="A65" s="62"/>
      <c r="B65" s="69"/>
      <c r="C65" s="64"/>
      <c r="D65" s="68"/>
      <c r="E65" s="116"/>
      <c r="F65" s="116"/>
      <c r="G65" s="111">
        <f t="shared" si="6"/>
        <v>0</v>
      </c>
      <c r="H65" s="235"/>
      <c r="I65" s="70" t="s">
        <v>32</v>
      </c>
      <c r="J65" s="71" t="s">
        <v>7</v>
      </c>
      <c r="K65" s="67">
        <f>9*D62</f>
        <v>79.47</v>
      </c>
      <c r="L65" s="124">
        <v>3.25</v>
      </c>
      <c r="M65" s="68">
        <f t="shared" si="7"/>
        <v>258.27749999999997</v>
      </c>
      <c r="N65" s="180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</row>
    <row r="66" spans="1:256" ht="22.5" x14ac:dyDescent="0.25">
      <c r="A66" s="62"/>
      <c r="B66" s="69"/>
      <c r="C66" s="64"/>
      <c r="D66" s="68"/>
      <c r="E66" s="116"/>
      <c r="F66" s="116"/>
      <c r="G66" s="111">
        <f t="shared" si="6"/>
        <v>0</v>
      </c>
      <c r="H66" s="235"/>
      <c r="I66" s="92" t="s">
        <v>33</v>
      </c>
      <c r="J66" s="71" t="s">
        <v>7</v>
      </c>
      <c r="K66" s="67">
        <f>23*D62</f>
        <v>203.09</v>
      </c>
      <c r="L66" s="124">
        <v>0.19</v>
      </c>
      <c r="M66" s="68">
        <f t="shared" si="7"/>
        <v>38.5871</v>
      </c>
      <c r="N66" s="180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</row>
    <row r="67" spans="1:256" ht="22.5" x14ac:dyDescent="0.25">
      <c r="A67" s="62"/>
      <c r="B67" s="69"/>
      <c r="C67" s="64"/>
      <c r="D67" s="68"/>
      <c r="E67" s="116"/>
      <c r="F67" s="116"/>
      <c r="G67" s="111">
        <f t="shared" si="6"/>
        <v>0</v>
      </c>
      <c r="H67" s="235"/>
      <c r="I67" s="66" t="s">
        <v>35</v>
      </c>
      <c r="J67" s="44" t="s">
        <v>7</v>
      </c>
      <c r="K67" s="67">
        <f>20*D62</f>
        <v>176.6</v>
      </c>
      <c r="L67" s="67">
        <v>0.45</v>
      </c>
      <c r="M67" s="68">
        <f t="shared" si="7"/>
        <v>79.47</v>
      </c>
      <c r="N67" s="180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</row>
    <row r="68" spans="1:256" ht="22.5" x14ac:dyDescent="0.25">
      <c r="A68" s="62"/>
      <c r="B68" s="69"/>
      <c r="C68" s="64"/>
      <c r="D68" s="68"/>
      <c r="E68" s="116"/>
      <c r="F68" s="65"/>
      <c r="G68" s="111">
        <f t="shared" si="6"/>
        <v>0</v>
      </c>
      <c r="H68" s="235"/>
      <c r="I68" s="66" t="s">
        <v>36</v>
      </c>
      <c r="J68" s="47" t="s">
        <v>5</v>
      </c>
      <c r="K68" s="67">
        <f>D62*1.1</f>
        <v>9.713000000000001</v>
      </c>
      <c r="L68" s="67">
        <v>1.2</v>
      </c>
      <c r="M68" s="68">
        <f t="shared" si="7"/>
        <v>11.655600000000002</v>
      </c>
      <c r="N68" s="180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  <c r="IU68" s="49"/>
      <c r="IV68" s="49"/>
    </row>
    <row r="69" spans="1:256" ht="22.5" x14ac:dyDescent="0.25">
      <c r="A69" s="62"/>
      <c r="B69" s="69"/>
      <c r="C69" s="64"/>
      <c r="D69" s="68"/>
      <c r="E69" s="116"/>
      <c r="F69" s="116"/>
      <c r="G69" s="111">
        <f t="shared" si="6"/>
        <v>0</v>
      </c>
      <c r="H69" s="235"/>
      <c r="I69" s="66" t="s">
        <v>63</v>
      </c>
      <c r="J69" s="47" t="s">
        <v>2</v>
      </c>
      <c r="K69" s="67">
        <f>D62*0.4</f>
        <v>3.532</v>
      </c>
      <c r="L69" s="67">
        <v>30.96</v>
      </c>
      <c r="M69" s="68">
        <f t="shared" si="7"/>
        <v>109.35072000000001</v>
      </c>
      <c r="N69" s="180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  <c r="IU69" s="49"/>
      <c r="IV69" s="49"/>
    </row>
    <row r="70" spans="1:256" ht="42" x14ac:dyDescent="0.25">
      <c r="A70" s="62">
        <v>2</v>
      </c>
      <c r="B70" s="69" t="s">
        <v>105</v>
      </c>
      <c r="C70" s="64" t="s">
        <v>0</v>
      </c>
      <c r="D70" s="68">
        <f>9.97+8.83</f>
        <v>18.8</v>
      </c>
      <c r="E70" s="116">
        <v>15</v>
      </c>
      <c r="F70" s="65">
        <v>8.3000000000000007</v>
      </c>
      <c r="G70" s="111">
        <f t="shared" si="6"/>
        <v>156.04000000000002</v>
      </c>
      <c r="H70" s="235">
        <f>E70*D70</f>
        <v>282</v>
      </c>
      <c r="I70" s="50" t="s">
        <v>8</v>
      </c>
      <c r="J70" s="47" t="s">
        <v>3</v>
      </c>
      <c r="K70" s="47">
        <f>0.3*D70</f>
        <v>5.64</v>
      </c>
      <c r="L70" s="67">
        <v>22.95</v>
      </c>
      <c r="M70" s="68">
        <f t="shared" si="7"/>
        <v>129.43799999999999</v>
      </c>
      <c r="N70" s="180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  <c r="IU70" s="49"/>
      <c r="IV70" s="49"/>
    </row>
    <row r="71" spans="1:256" ht="22.5" x14ac:dyDescent="0.25">
      <c r="A71" s="62">
        <v>3</v>
      </c>
      <c r="B71" s="69" t="s">
        <v>100</v>
      </c>
      <c r="C71" s="64" t="s">
        <v>0</v>
      </c>
      <c r="D71" s="68">
        <f>9.97+8.83</f>
        <v>18.8</v>
      </c>
      <c r="E71" s="116">
        <v>90</v>
      </c>
      <c r="F71" s="65">
        <v>65</v>
      </c>
      <c r="G71" s="111">
        <f t="shared" si="6"/>
        <v>1222</v>
      </c>
      <c r="H71" s="235">
        <f>E71*D71</f>
        <v>1692</v>
      </c>
      <c r="I71" s="70" t="s">
        <v>23</v>
      </c>
      <c r="J71" s="71" t="s">
        <v>2</v>
      </c>
      <c r="K71" s="67">
        <f>1.2*2*D71</f>
        <v>45.12</v>
      </c>
      <c r="L71" s="67">
        <v>8.2100000000000009</v>
      </c>
      <c r="M71" s="68">
        <f t="shared" si="7"/>
        <v>370.43520000000001</v>
      </c>
      <c r="N71" s="180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  <c r="IU71" s="49"/>
      <c r="IV71" s="49"/>
    </row>
    <row r="72" spans="1:256" ht="42" x14ac:dyDescent="0.25">
      <c r="A72" s="62">
        <v>4</v>
      </c>
      <c r="B72" s="69" t="s">
        <v>101</v>
      </c>
      <c r="C72" s="64" t="s">
        <v>0</v>
      </c>
      <c r="D72" s="68">
        <f>9.97+8.83</f>
        <v>18.8</v>
      </c>
      <c r="E72" s="116">
        <v>15</v>
      </c>
      <c r="F72" s="65">
        <v>8.3000000000000007</v>
      </c>
      <c r="G72" s="111">
        <f t="shared" si="6"/>
        <v>156.04000000000002</v>
      </c>
      <c r="H72" s="235">
        <f>E72*D72</f>
        <v>282</v>
      </c>
      <c r="I72" s="50" t="s">
        <v>8</v>
      </c>
      <c r="J72" s="47" t="s">
        <v>3</v>
      </c>
      <c r="K72" s="67">
        <f>D72*0.3</f>
        <v>5.64</v>
      </c>
      <c r="L72" s="67">
        <v>22.95</v>
      </c>
      <c r="M72" s="67">
        <f t="shared" si="7"/>
        <v>129.43799999999999</v>
      </c>
      <c r="N72" s="180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  <c r="IU72" s="49"/>
      <c r="IV72" s="49"/>
    </row>
    <row r="73" spans="1:256" ht="42" x14ac:dyDescent="0.25">
      <c r="A73" s="62">
        <v>5</v>
      </c>
      <c r="B73" s="69" t="s">
        <v>102</v>
      </c>
      <c r="C73" s="64" t="s">
        <v>0</v>
      </c>
      <c r="D73" s="68">
        <f>9.97+8.83</f>
        <v>18.8</v>
      </c>
      <c r="E73" s="116">
        <v>90</v>
      </c>
      <c r="F73" s="65">
        <v>70</v>
      </c>
      <c r="G73" s="111">
        <f t="shared" si="6"/>
        <v>1316</v>
      </c>
      <c r="H73" s="235">
        <f>E73*D73</f>
        <v>1692</v>
      </c>
      <c r="I73" s="50" t="s">
        <v>73</v>
      </c>
      <c r="J73" s="47" t="s">
        <v>0</v>
      </c>
      <c r="K73" s="47">
        <f>D73*1.05</f>
        <v>19.740000000000002</v>
      </c>
      <c r="L73" s="45">
        <v>13.5</v>
      </c>
      <c r="M73" s="67">
        <f t="shared" si="7"/>
        <v>266.49</v>
      </c>
      <c r="N73" s="180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  <c r="IU73" s="49"/>
      <c r="IV73" s="49"/>
    </row>
    <row r="74" spans="1:256" ht="22.5" x14ac:dyDescent="0.25">
      <c r="A74" s="62"/>
      <c r="B74" s="69"/>
      <c r="C74" s="64"/>
      <c r="D74" s="68"/>
      <c r="E74" s="116"/>
      <c r="F74" s="65"/>
      <c r="G74" s="111">
        <f t="shared" si="6"/>
        <v>0</v>
      </c>
      <c r="H74" s="235"/>
      <c r="I74" s="50" t="s">
        <v>133</v>
      </c>
      <c r="J74" s="47" t="s">
        <v>2</v>
      </c>
      <c r="K74" s="126">
        <f>D73*0.3</f>
        <v>5.64</v>
      </c>
      <c r="L74" s="45">
        <v>61.33</v>
      </c>
      <c r="M74" s="67">
        <f t="shared" si="7"/>
        <v>345.90119999999996</v>
      </c>
      <c r="N74" s="180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</row>
    <row r="75" spans="1:256" ht="25.5" x14ac:dyDescent="0.25">
      <c r="A75" s="41">
        <v>7</v>
      </c>
      <c r="B75" s="42" t="s">
        <v>104</v>
      </c>
      <c r="C75" s="43" t="s">
        <v>0</v>
      </c>
      <c r="D75" s="68">
        <f>9.97+8.83</f>
        <v>18.8</v>
      </c>
      <c r="E75" s="136">
        <v>140</v>
      </c>
      <c r="F75" s="67">
        <v>90</v>
      </c>
      <c r="G75" s="111">
        <f t="shared" si="6"/>
        <v>1692</v>
      </c>
      <c r="H75" s="230">
        <f>E75*D75</f>
        <v>2632</v>
      </c>
      <c r="I75" s="113" t="s">
        <v>74</v>
      </c>
      <c r="J75" s="67" t="s">
        <v>2</v>
      </c>
      <c r="K75" s="67">
        <f>D75*0.6*2</f>
        <v>22.56</v>
      </c>
      <c r="L75" s="67">
        <v>19.329999999999998</v>
      </c>
      <c r="M75" s="67">
        <f t="shared" si="7"/>
        <v>436.08479999999992</v>
      </c>
      <c r="N75" s="170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</row>
    <row r="76" spans="1:256" ht="42" x14ac:dyDescent="0.25">
      <c r="A76" s="62">
        <v>6</v>
      </c>
      <c r="B76" s="69" t="s">
        <v>59</v>
      </c>
      <c r="C76" s="64" t="s">
        <v>0</v>
      </c>
      <c r="D76" s="68">
        <f>9.97+8.83</f>
        <v>18.8</v>
      </c>
      <c r="E76" s="116">
        <v>15</v>
      </c>
      <c r="F76" s="65">
        <v>8.3000000000000007</v>
      </c>
      <c r="G76" s="111">
        <f t="shared" si="6"/>
        <v>156.04000000000002</v>
      </c>
      <c r="H76" s="235">
        <f>E76*D76</f>
        <v>282</v>
      </c>
      <c r="I76" s="46" t="s">
        <v>8</v>
      </c>
      <c r="J76" s="47" t="s">
        <v>3</v>
      </c>
      <c r="K76" s="47">
        <f>0.3*D76</f>
        <v>5.64</v>
      </c>
      <c r="L76" s="67">
        <v>22.95</v>
      </c>
      <c r="M76" s="68">
        <f t="shared" si="7"/>
        <v>129.43799999999999</v>
      </c>
      <c r="N76" s="180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  <c r="IU76" s="49"/>
      <c r="IV76" s="49"/>
    </row>
    <row r="77" spans="1:256" ht="42" x14ac:dyDescent="0.25">
      <c r="A77" s="62">
        <v>7</v>
      </c>
      <c r="B77" s="69" t="s">
        <v>37</v>
      </c>
      <c r="C77" s="64" t="s">
        <v>0</v>
      </c>
      <c r="D77" s="68">
        <f>9.97+8.83</f>
        <v>18.8</v>
      </c>
      <c r="E77" s="116">
        <v>65</v>
      </c>
      <c r="F77" s="65">
        <v>60</v>
      </c>
      <c r="G77" s="111">
        <f t="shared" si="6"/>
        <v>1128</v>
      </c>
      <c r="H77" s="235">
        <f>E77*D77</f>
        <v>1222</v>
      </c>
      <c r="I77" s="112" t="s">
        <v>134</v>
      </c>
      <c r="J77" s="67" t="s">
        <v>3</v>
      </c>
      <c r="K77" s="67">
        <f>0.15*D77*2</f>
        <v>5.64</v>
      </c>
      <c r="L77" s="107">
        <v>120</v>
      </c>
      <c r="M77" s="107">
        <f t="shared" si="7"/>
        <v>676.8</v>
      </c>
      <c r="N77" s="171" t="s">
        <v>103</v>
      </c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  <c r="IU77" s="49"/>
      <c r="IV77" s="49"/>
    </row>
    <row r="78" spans="1:256" ht="42" x14ac:dyDescent="0.25">
      <c r="A78" s="144"/>
      <c r="B78" s="145" t="s">
        <v>60</v>
      </c>
      <c r="C78" s="145"/>
      <c r="D78" s="67"/>
      <c r="E78" s="203"/>
      <c r="F78" s="45"/>
      <c r="G78" s="111">
        <f t="shared" si="6"/>
        <v>0</v>
      </c>
      <c r="H78" s="234"/>
      <c r="I78" s="145"/>
      <c r="J78" s="47"/>
      <c r="K78" s="134"/>
      <c r="L78" s="45"/>
      <c r="M78" s="45"/>
      <c r="N78" s="16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</row>
    <row r="79" spans="1:256" ht="63" x14ac:dyDescent="0.25">
      <c r="A79" s="62">
        <v>8</v>
      </c>
      <c r="B79" s="63" t="s">
        <v>55</v>
      </c>
      <c r="C79" s="64" t="s">
        <v>62</v>
      </c>
      <c r="D79" s="68">
        <f>1.3*2</f>
        <v>2.6</v>
      </c>
      <c r="E79" s="116">
        <v>360</v>
      </c>
      <c r="F79" s="65">
        <v>150</v>
      </c>
      <c r="G79" s="111">
        <f t="shared" si="6"/>
        <v>390</v>
      </c>
      <c r="H79" s="235">
        <f>E79*D79</f>
        <v>936</v>
      </c>
      <c r="I79" s="66" t="s">
        <v>29</v>
      </c>
      <c r="J79" s="44" t="s">
        <v>0</v>
      </c>
      <c r="K79" s="67">
        <f>0.25*2.6*1.2</f>
        <v>0.78</v>
      </c>
      <c r="L79" s="67">
        <v>48.2</v>
      </c>
      <c r="M79" s="68">
        <f>L79*K79</f>
        <v>37.596000000000004</v>
      </c>
      <c r="N79" s="169"/>
      <c r="O79" s="3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  <c r="IU79" s="49"/>
      <c r="IV79" s="49"/>
    </row>
    <row r="80" spans="1:256" ht="25.5" x14ac:dyDescent="0.25">
      <c r="A80" s="62"/>
      <c r="B80" s="69"/>
      <c r="C80" s="64"/>
      <c r="D80" s="68"/>
      <c r="E80" s="116"/>
      <c r="F80" s="65"/>
      <c r="G80" s="111">
        <f t="shared" si="6"/>
        <v>0</v>
      </c>
      <c r="H80" s="235"/>
      <c r="I80" s="66" t="s">
        <v>31</v>
      </c>
      <c r="J80" s="47" t="s">
        <v>5</v>
      </c>
      <c r="K80" s="67">
        <f>D79*2*1.1</f>
        <v>5.7200000000000006</v>
      </c>
      <c r="L80" s="67">
        <v>14.22</v>
      </c>
      <c r="M80" s="68">
        <f t="shared" ref="M80:M94" si="8">L80*K80</f>
        <v>81.338400000000007</v>
      </c>
      <c r="N80" s="169"/>
      <c r="O80" s="3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  <c r="IU80" s="49"/>
      <c r="IV80" s="49"/>
    </row>
    <row r="81" spans="1:256" ht="25.5" x14ac:dyDescent="0.25">
      <c r="A81" s="62"/>
      <c r="B81" s="69"/>
      <c r="C81" s="64"/>
      <c r="D81" s="68"/>
      <c r="E81" s="116"/>
      <c r="F81" s="65"/>
      <c r="G81" s="111">
        <f t="shared" si="6"/>
        <v>0</v>
      </c>
      <c r="H81" s="235"/>
      <c r="I81" s="92" t="s">
        <v>33</v>
      </c>
      <c r="J81" s="71" t="s">
        <v>7</v>
      </c>
      <c r="K81" s="67">
        <f>D79*20</f>
        <v>52</v>
      </c>
      <c r="L81" s="124">
        <v>0.19</v>
      </c>
      <c r="M81" s="68">
        <f t="shared" si="8"/>
        <v>9.8800000000000008</v>
      </c>
      <c r="N81" s="181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  <c r="IU81" s="49"/>
      <c r="IV81" s="49"/>
    </row>
    <row r="82" spans="1:256" ht="25.5" x14ac:dyDescent="0.25">
      <c r="A82" s="62"/>
      <c r="B82" s="69"/>
      <c r="C82" s="64"/>
      <c r="D82" s="68"/>
      <c r="E82" s="116"/>
      <c r="F82" s="65"/>
      <c r="G82" s="111">
        <f t="shared" si="6"/>
        <v>0</v>
      </c>
      <c r="H82" s="235"/>
      <c r="I82" s="73" t="s">
        <v>34</v>
      </c>
      <c r="J82" s="71" t="s">
        <v>7</v>
      </c>
      <c r="K82" s="67">
        <f>D79*7</f>
        <v>18.2</v>
      </c>
      <c r="L82" s="124">
        <v>2.7</v>
      </c>
      <c r="M82" s="68">
        <f t="shared" si="8"/>
        <v>49.14</v>
      </c>
      <c r="N82" s="181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  <c r="IU82" s="49"/>
      <c r="IV82" s="49"/>
    </row>
    <row r="83" spans="1:256" ht="22.5" x14ac:dyDescent="0.25">
      <c r="A83" s="62"/>
      <c r="B83" s="69"/>
      <c r="C83" s="64"/>
      <c r="D83" s="68"/>
      <c r="E83" s="116"/>
      <c r="F83" s="65"/>
      <c r="G83" s="111">
        <f t="shared" si="6"/>
        <v>0</v>
      </c>
      <c r="H83" s="235"/>
      <c r="I83" s="66" t="s">
        <v>36</v>
      </c>
      <c r="J83" s="47" t="s">
        <v>5</v>
      </c>
      <c r="K83" s="67">
        <f>D79*1.1</f>
        <v>2.8600000000000003</v>
      </c>
      <c r="L83" s="67">
        <v>1.2</v>
      </c>
      <c r="M83" s="68">
        <f t="shared" si="8"/>
        <v>3.4320000000000004</v>
      </c>
      <c r="N83" s="180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  <c r="IU83" s="49"/>
      <c r="IV83" s="49"/>
    </row>
    <row r="84" spans="1:256" ht="22.5" x14ac:dyDescent="0.25">
      <c r="A84" s="62"/>
      <c r="B84" s="69"/>
      <c r="C84" s="64"/>
      <c r="D84" s="68"/>
      <c r="E84" s="116"/>
      <c r="F84" s="65"/>
      <c r="G84" s="111">
        <f t="shared" si="6"/>
        <v>0</v>
      </c>
      <c r="H84" s="235"/>
      <c r="I84" s="66" t="s">
        <v>63</v>
      </c>
      <c r="J84" s="47" t="s">
        <v>2</v>
      </c>
      <c r="K84" s="67">
        <f>0.35*D79</f>
        <v>0.90999999999999992</v>
      </c>
      <c r="L84" s="67">
        <v>30.96</v>
      </c>
      <c r="M84" s="68">
        <f t="shared" si="8"/>
        <v>28.173599999999997</v>
      </c>
      <c r="N84" s="180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</row>
    <row r="85" spans="1:256" ht="22.5" x14ac:dyDescent="0.25">
      <c r="A85" s="62"/>
      <c r="B85" s="69"/>
      <c r="C85" s="64"/>
      <c r="D85" s="68"/>
      <c r="E85" s="116"/>
      <c r="F85" s="65"/>
      <c r="G85" s="111">
        <f t="shared" si="6"/>
        <v>0</v>
      </c>
      <c r="H85" s="235"/>
      <c r="I85" s="66" t="s">
        <v>69</v>
      </c>
      <c r="J85" s="47" t="s">
        <v>62</v>
      </c>
      <c r="K85" s="67">
        <f>D85*1.05</f>
        <v>0</v>
      </c>
      <c r="L85" s="67">
        <v>4.2</v>
      </c>
      <c r="M85" s="68">
        <f t="shared" si="8"/>
        <v>0</v>
      </c>
      <c r="N85" s="180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  <c r="IU85" s="49"/>
      <c r="IV85" s="49"/>
    </row>
    <row r="86" spans="1:256" ht="42" x14ac:dyDescent="0.25">
      <c r="A86" s="62">
        <v>10</v>
      </c>
      <c r="B86" s="69" t="s">
        <v>56</v>
      </c>
      <c r="C86" s="64" t="s">
        <v>62</v>
      </c>
      <c r="D86" s="68">
        <f>2.6*3</f>
        <v>7.8000000000000007</v>
      </c>
      <c r="E86" s="116">
        <v>15</v>
      </c>
      <c r="F86" s="65">
        <v>5</v>
      </c>
      <c r="G86" s="111">
        <f t="shared" si="6"/>
        <v>39</v>
      </c>
      <c r="H86" s="235">
        <f>E86*D86</f>
        <v>117.00000000000001</v>
      </c>
      <c r="I86" s="50" t="s">
        <v>8</v>
      </c>
      <c r="J86" s="47" t="s">
        <v>3</v>
      </c>
      <c r="K86" s="47">
        <f>D86*0.2*0.3</f>
        <v>0.46800000000000008</v>
      </c>
      <c r="L86" s="67">
        <v>22.95</v>
      </c>
      <c r="M86" s="68">
        <f t="shared" si="8"/>
        <v>10.740600000000002</v>
      </c>
      <c r="N86" s="180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  <c r="IU86" s="49"/>
      <c r="IV86" s="49"/>
    </row>
    <row r="87" spans="1:256" ht="22.5" x14ac:dyDescent="0.25">
      <c r="A87" s="62">
        <v>11</v>
      </c>
      <c r="B87" s="69" t="s">
        <v>91</v>
      </c>
      <c r="C87" s="64" t="s">
        <v>62</v>
      </c>
      <c r="D87" s="68">
        <f>2.6*3</f>
        <v>7.8000000000000007</v>
      </c>
      <c r="E87" s="116">
        <v>90</v>
      </c>
      <c r="F87" s="65">
        <v>40</v>
      </c>
      <c r="G87" s="111">
        <f t="shared" si="6"/>
        <v>312</v>
      </c>
      <c r="H87" s="235">
        <f>E87*D87</f>
        <v>702.00000000000011</v>
      </c>
      <c r="I87" s="70" t="s">
        <v>23</v>
      </c>
      <c r="J87" s="71" t="s">
        <v>2</v>
      </c>
      <c r="K87" s="67">
        <f>D87*0.2*1.2*2</f>
        <v>3.7440000000000007</v>
      </c>
      <c r="L87" s="67">
        <v>8.2100000000000009</v>
      </c>
      <c r="M87" s="68">
        <f t="shared" si="8"/>
        <v>30.738240000000008</v>
      </c>
      <c r="N87" s="180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49"/>
      <c r="IT87" s="49"/>
      <c r="IU87" s="49"/>
      <c r="IV87" s="49"/>
    </row>
    <row r="88" spans="1:256" ht="42" x14ac:dyDescent="0.25">
      <c r="A88" s="62">
        <v>12</v>
      </c>
      <c r="B88" s="42" t="s">
        <v>92</v>
      </c>
      <c r="C88" s="43" t="s">
        <v>62</v>
      </c>
      <c r="D88" s="68">
        <f>2.6*3</f>
        <v>7.8000000000000007</v>
      </c>
      <c r="E88" s="203">
        <v>15</v>
      </c>
      <c r="F88" s="45">
        <v>5</v>
      </c>
      <c r="G88" s="111">
        <f t="shared" si="6"/>
        <v>39</v>
      </c>
      <c r="H88" s="230">
        <f>E88*D88</f>
        <v>117.00000000000001</v>
      </c>
      <c r="I88" s="112" t="s">
        <v>8</v>
      </c>
      <c r="J88" s="67" t="s">
        <v>3</v>
      </c>
      <c r="K88" s="47">
        <f>D88*0.2*0.3</f>
        <v>0.46800000000000008</v>
      </c>
      <c r="L88" s="67">
        <v>22.95</v>
      </c>
      <c r="M88" s="67">
        <f t="shared" si="8"/>
        <v>10.740600000000002</v>
      </c>
      <c r="N88" s="169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</row>
    <row r="89" spans="1:256" ht="42" x14ac:dyDescent="0.25">
      <c r="A89" s="62">
        <v>13</v>
      </c>
      <c r="B89" s="42" t="s">
        <v>93</v>
      </c>
      <c r="C89" s="43" t="s">
        <v>62</v>
      </c>
      <c r="D89" s="68">
        <f>2.6*3</f>
        <v>7.8000000000000007</v>
      </c>
      <c r="E89" s="203">
        <v>85</v>
      </c>
      <c r="F89" s="45">
        <v>40</v>
      </c>
      <c r="G89" s="111">
        <f t="shared" si="6"/>
        <v>312</v>
      </c>
      <c r="H89" s="230">
        <f>E89*D89</f>
        <v>663.00000000000011</v>
      </c>
      <c r="I89" s="50" t="s">
        <v>73</v>
      </c>
      <c r="J89" s="47" t="s">
        <v>0</v>
      </c>
      <c r="K89" s="47">
        <f>D89*0.2*1.05</f>
        <v>1.6380000000000003</v>
      </c>
      <c r="L89" s="45">
        <v>13.5</v>
      </c>
      <c r="M89" s="67">
        <f t="shared" si="8"/>
        <v>22.113000000000003</v>
      </c>
      <c r="N89" s="169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</row>
    <row r="90" spans="1:256" ht="25.5" x14ac:dyDescent="0.25">
      <c r="A90" s="62">
        <v>14</v>
      </c>
      <c r="B90" s="42"/>
      <c r="C90" s="43"/>
      <c r="D90" s="127"/>
      <c r="E90" s="203"/>
      <c r="F90" s="45"/>
      <c r="G90" s="111">
        <f t="shared" si="6"/>
        <v>0</v>
      </c>
      <c r="H90" s="230"/>
      <c r="I90" s="50" t="s">
        <v>133</v>
      </c>
      <c r="J90" s="47" t="s">
        <v>2</v>
      </c>
      <c r="K90" s="126">
        <f>D89*0.2*0.3</f>
        <v>0.46800000000000008</v>
      </c>
      <c r="L90" s="45">
        <v>61.33</v>
      </c>
      <c r="M90" s="67">
        <f t="shared" si="8"/>
        <v>28.702440000000003</v>
      </c>
      <c r="N90" s="169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</row>
    <row r="91" spans="1:256" ht="25.5" x14ac:dyDescent="0.25">
      <c r="A91" s="62">
        <v>15</v>
      </c>
      <c r="B91" s="42" t="s">
        <v>95</v>
      </c>
      <c r="C91" s="43" t="s">
        <v>62</v>
      </c>
      <c r="D91" s="68">
        <f>2.6*3</f>
        <v>7.8000000000000007</v>
      </c>
      <c r="E91" s="136">
        <v>130</v>
      </c>
      <c r="F91" s="67">
        <v>48</v>
      </c>
      <c r="G91" s="111">
        <f t="shared" si="6"/>
        <v>374.40000000000003</v>
      </c>
      <c r="H91" s="230">
        <f>E91*D91</f>
        <v>1014.0000000000001</v>
      </c>
      <c r="I91" s="112" t="s">
        <v>74</v>
      </c>
      <c r="J91" s="67" t="s">
        <v>2</v>
      </c>
      <c r="K91" s="67">
        <f>D91*0.2*1*2</f>
        <v>3.1200000000000006</v>
      </c>
      <c r="L91" s="67">
        <v>19.329999999999998</v>
      </c>
      <c r="M91" s="67">
        <f t="shared" si="8"/>
        <v>60.309600000000003</v>
      </c>
      <c r="N91" s="170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</row>
    <row r="92" spans="1:256" ht="42" x14ac:dyDescent="0.25">
      <c r="A92" s="62">
        <v>16</v>
      </c>
      <c r="B92" s="69" t="s">
        <v>57</v>
      </c>
      <c r="C92" s="43" t="s">
        <v>62</v>
      </c>
      <c r="D92" s="68">
        <f>2.6*3</f>
        <v>7.8000000000000007</v>
      </c>
      <c r="E92" s="116">
        <v>15</v>
      </c>
      <c r="F92" s="65">
        <v>5</v>
      </c>
      <c r="G92" s="111">
        <f t="shared" si="6"/>
        <v>39</v>
      </c>
      <c r="H92" s="235">
        <f>E92*D92</f>
        <v>117.00000000000001</v>
      </c>
      <c r="I92" s="46" t="s">
        <v>8</v>
      </c>
      <c r="J92" s="47" t="s">
        <v>3</v>
      </c>
      <c r="K92" s="47">
        <f>D92*0.2*0.3</f>
        <v>0.46800000000000008</v>
      </c>
      <c r="L92" s="67">
        <v>22.95</v>
      </c>
      <c r="M92" s="68">
        <f t="shared" si="8"/>
        <v>10.740600000000002</v>
      </c>
      <c r="N92" s="180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  <c r="IU92" s="49"/>
      <c r="IV92" s="49"/>
    </row>
    <row r="93" spans="1:256" ht="42" x14ac:dyDescent="0.25">
      <c r="A93" s="62">
        <v>17</v>
      </c>
      <c r="B93" s="69" t="s">
        <v>58</v>
      </c>
      <c r="C93" s="43" t="s">
        <v>62</v>
      </c>
      <c r="D93" s="68">
        <f>2.6*3</f>
        <v>7.8000000000000007</v>
      </c>
      <c r="E93" s="116">
        <v>65</v>
      </c>
      <c r="F93" s="65">
        <v>30</v>
      </c>
      <c r="G93" s="111">
        <f t="shared" si="6"/>
        <v>234.00000000000003</v>
      </c>
      <c r="H93" s="235">
        <f>E93*D93</f>
        <v>507.00000000000006</v>
      </c>
      <c r="I93" s="112" t="s">
        <v>134</v>
      </c>
      <c r="J93" s="67" t="s">
        <v>3</v>
      </c>
      <c r="K93" s="67">
        <f>D93*0.2*0.3</f>
        <v>0.46800000000000008</v>
      </c>
      <c r="L93" s="107">
        <v>120</v>
      </c>
      <c r="M93" s="107">
        <f t="shared" si="8"/>
        <v>56.160000000000011</v>
      </c>
      <c r="N93" s="171" t="s">
        <v>103</v>
      </c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  <c r="IU93" s="49"/>
      <c r="IV93" s="49"/>
    </row>
    <row r="94" spans="1:256" s="150" customFormat="1" ht="42" x14ac:dyDescent="0.25">
      <c r="A94" s="62">
        <v>6</v>
      </c>
      <c r="B94" s="148" t="s">
        <v>106</v>
      </c>
      <c r="C94" s="64" t="s">
        <v>5</v>
      </c>
      <c r="D94" s="68">
        <v>124.02</v>
      </c>
      <c r="E94" s="116">
        <v>105</v>
      </c>
      <c r="F94" s="65">
        <v>60</v>
      </c>
      <c r="G94" s="111">
        <f t="shared" si="6"/>
        <v>7441.2</v>
      </c>
      <c r="H94" s="235">
        <f>E94*D94</f>
        <v>13022.1</v>
      </c>
      <c r="I94" s="112" t="s">
        <v>70</v>
      </c>
      <c r="J94" s="67" t="s">
        <v>5</v>
      </c>
      <c r="K94" s="67">
        <f>D94*1.03</f>
        <v>127.7406</v>
      </c>
      <c r="L94" s="107">
        <v>0</v>
      </c>
      <c r="M94" s="107">
        <f t="shared" si="8"/>
        <v>0</v>
      </c>
      <c r="N94" s="171" t="s">
        <v>103</v>
      </c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  <c r="EK94" s="149"/>
      <c r="EL94" s="149"/>
      <c r="EM94" s="149"/>
      <c r="EN94" s="149"/>
      <c r="EO94" s="149"/>
      <c r="EP94" s="149"/>
      <c r="EQ94" s="149"/>
      <c r="ER94" s="149"/>
      <c r="ES94" s="149"/>
      <c r="ET94" s="149"/>
      <c r="EU94" s="149"/>
      <c r="EV94" s="149"/>
      <c r="EW94" s="149"/>
      <c r="EX94" s="149"/>
      <c r="EY94" s="149"/>
      <c r="EZ94" s="149"/>
      <c r="FA94" s="149"/>
      <c r="FB94" s="149"/>
      <c r="FC94" s="149"/>
      <c r="FD94" s="149"/>
      <c r="FE94" s="149"/>
      <c r="FF94" s="149"/>
      <c r="FG94" s="149"/>
      <c r="FH94" s="149"/>
      <c r="FI94" s="149"/>
      <c r="FJ94" s="149"/>
      <c r="FK94" s="149"/>
      <c r="FL94" s="149"/>
      <c r="FM94" s="149"/>
      <c r="FN94" s="149"/>
      <c r="FO94" s="149"/>
      <c r="FP94" s="149"/>
      <c r="FQ94" s="149"/>
      <c r="FR94" s="149"/>
      <c r="FS94" s="149"/>
      <c r="FT94" s="149"/>
      <c r="FU94" s="149"/>
      <c r="FV94" s="149"/>
      <c r="FW94" s="149"/>
      <c r="FX94" s="149"/>
      <c r="FY94" s="149"/>
      <c r="FZ94" s="149"/>
      <c r="GA94" s="149"/>
      <c r="GB94" s="149"/>
      <c r="GC94" s="149"/>
      <c r="GD94" s="149"/>
      <c r="GE94" s="149"/>
      <c r="GF94" s="149"/>
      <c r="GG94" s="149"/>
      <c r="GH94" s="149"/>
      <c r="GI94" s="149"/>
      <c r="GJ94" s="149"/>
      <c r="GK94" s="149"/>
      <c r="GL94" s="149"/>
      <c r="GM94" s="149"/>
      <c r="GN94" s="149"/>
      <c r="GO94" s="149"/>
      <c r="GP94" s="149"/>
      <c r="GQ94" s="149"/>
      <c r="GR94" s="149"/>
      <c r="GS94" s="149"/>
      <c r="GT94" s="149"/>
      <c r="GU94" s="149"/>
      <c r="GV94" s="149"/>
      <c r="GW94" s="149"/>
      <c r="GX94" s="149"/>
      <c r="GY94" s="149"/>
      <c r="GZ94" s="149"/>
      <c r="HA94" s="149"/>
      <c r="HB94" s="149"/>
      <c r="HC94" s="149"/>
      <c r="HD94" s="149"/>
      <c r="HE94" s="149"/>
      <c r="HF94" s="149"/>
      <c r="HG94" s="149"/>
      <c r="HH94" s="149"/>
      <c r="HI94" s="149"/>
      <c r="HJ94" s="149"/>
      <c r="HK94" s="149"/>
      <c r="HL94" s="149"/>
      <c r="HM94" s="149"/>
      <c r="HN94" s="149"/>
      <c r="HO94" s="149"/>
      <c r="HP94" s="149"/>
      <c r="HQ94" s="149"/>
      <c r="HR94" s="149"/>
      <c r="HS94" s="149"/>
      <c r="HT94" s="149"/>
      <c r="HU94" s="149"/>
      <c r="HV94" s="149"/>
      <c r="HW94" s="149"/>
      <c r="HX94" s="149"/>
      <c r="HY94" s="149"/>
      <c r="HZ94" s="149"/>
      <c r="IA94" s="149"/>
      <c r="IB94" s="149"/>
      <c r="IC94" s="149"/>
      <c r="ID94" s="149"/>
      <c r="IE94" s="149"/>
      <c r="IF94" s="149"/>
      <c r="IG94" s="149"/>
      <c r="IH94" s="149"/>
      <c r="II94" s="149"/>
      <c r="IJ94" s="149"/>
      <c r="IK94" s="149"/>
      <c r="IL94" s="149"/>
      <c r="IM94" s="149"/>
      <c r="IN94" s="149"/>
      <c r="IO94" s="149"/>
      <c r="IP94" s="149"/>
      <c r="IQ94" s="149"/>
      <c r="IR94" s="149"/>
      <c r="IS94" s="149"/>
      <c r="IT94" s="149"/>
      <c r="IU94" s="149"/>
      <c r="IV94" s="149"/>
    </row>
    <row r="95" spans="1:256" ht="42" x14ac:dyDescent="0.25">
      <c r="A95" s="62"/>
      <c r="B95" s="145" t="s">
        <v>54</v>
      </c>
      <c r="C95" s="64"/>
      <c r="D95" s="68"/>
      <c r="E95" s="116"/>
      <c r="F95" s="65"/>
      <c r="G95" s="111">
        <f t="shared" si="6"/>
        <v>0</v>
      </c>
      <c r="H95" s="235"/>
      <c r="I95" s="73"/>
      <c r="J95" s="74"/>
      <c r="K95" s="67"/>
      <c r="L95" s="72"/>
      <c r="M95" s="68"/>
      <c r="N95" s="180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  <c r="IS95" s="49"/>
      <c r="IT95" s="49"/>
      <c r="IU95" s="49"/>
      <c r="IV95" s="49"/>
    </row>
    <row r="96" spans="1:256" ht="42" x14ac:dyDescent="0.25">
      <c r="A96" s="62">
        <v>1</v>
      </c>
      <c r="B96" s="69" t="s">
        <v>38</v>
      </c>
      <c r="C96" s="64" t="s">
        <v>0</v>
      </c>
      <c r="D96" s="68">
        <f>31.73+47.15</f>
        <v>78.88</v>
      </c>
      <c r="E96" s="116">
        <v>125</v>
      </c>
      <c r="F96" s="65">
        <v>125</v>
      </c>
      <c r="G96" s="111">
        <f t="shared" si="6"/>
        <v>9860</v>
      </c>
      <c r="H96" s="235">
        <f>E96*D96</f>
        <v>9860</v>
      </c>
      <c r="I96" s="92" t="s">
        <v>65</v>
      </c>
      <c r="J96" s="74" t="s">
        <v>0</v>
      </c>
      <c r="K96" s="67">
        <f>D96*1.1</f>
        <v>86.768000000000001</v>
      </c>
      <c r="L96" s="107">
        <v>0</v>
      </c>
      <c r="M96" s="107">
        <f t="shared" ref="M96:M104" si="9">L96*K96</f>
        <v>0</v>
      </c>
      <c r="N96" s="171" t="s">
        <v>103</v>
      </c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  <c r="IQ96" s="49"/>
      <c r="IR96" s="49"/>
      <c r="IS96" s="49"/>
      <c r="IT96" s="49"/>
      <c r="IU96" s="49"/>
      <c r="IV96" s="49"/>
    </row>
    <row r="97" spans="1:256" ht="22.5" x14ac:dyDescent="0.25">
      <c r="A97" s="62"/>
      <c r="B97" s="69"/>
      <c r="C97" s="64"/>
      <c r="D97" s="68"/>
      <c r="E97" s="116"/>
      <c r="F97" s="65"/>
      <c r="G97" s="111">
        <f t="shared" si="6"/>
        <v>0</v>
      </c>
      <c r="H97" s="235"/>
      <c r="I97" s="73" t="s">
        <v>39</v>
      </c>
      <c r="J97" s="71" t="s">
        <v>7</v>
      </c>
      <c r="K97" s="67">
        <f>D96*2.1</f>
        <v>165.648</v>
      </c>
      <c r="L97" s="72">
        <v>13.42</v>
      </c>
      <c r="M97" s="68">
        <f t="shared" si="9"/>
        <v>2222.9961600000001</v>
      </c>
      <c r="N97" s="182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  <c r="IQ97" s="49"/>
      <c r="IR97" s="49"/>
      <c r="IS97" s="49"/>
      <c r="IT97" s="49"/>
      <c r="IU97" s="49"/>
      <c r="IV97" s="49"/>
    </row>
    <row r="98" spans="1:256" ht="25.5" x14ac:dyDescent="0.25">
      <c r="A98" s="62"/>
      <c r="B98" s="75"/>
      <c r="C98" s="64"/>
      <c r="D98" s="68"/>
      <c r="E98" s="116"/>
      <c r="F98" s="65"/>
      <c r="G98" s="111">
        <f t="shared" si="6"/>
        <v>0</v>
      </c>
      <c r="H98" s="235"/>
      <c r="I98" s="76" t="s">
        <v>40</v>
      </c>
      <c r="J98" s="44" t="s">
        <v>7</v>
      </c>
      <c r="K98" s="67">
        <f>0.31*D96</f>
        <v>24.4528</v>
      </c>
      <c r="L98" s="67">
        <v>78.900000000000006</v>
      </c>
      <c r="M98" s="68">
        <f t="shared" si="9"/>
        <v>1929.3259200000002</v>
      </c>
      <c r="N98" s="183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  <c r="IS98" s="49"/>
      <c r="IT98" s="49"/>
      <c r="IU98" s="49"/>
      <c r="IV98" s="49"/>
    </row>
    <row r="99" spans="1:256" ht="25.5" x14ac:dyDescent="0.25">
      <c r="A99" s="62"/>
      <c r="B99" s="77"/>
      <c r="C99" s="44"/>
      <c r="D99" s="68"/>
      <c r="E99" s="81"/>
      <c r="F99" s="48"/>
      <c r="G99" s="111">
        <f t="shared" si="6"/>
        <v>0</v>
      </c>
      <c r="H99" s="235"/>
      <c r="I99" s="76" t="s">
        <v>41</v>
      </c>
      <c r="J99" s="44" t="s">
        <v>7</v>
      </c>
      <c r="K99" s="67">
        <f>1.2*D96</f>
        <v>94.655999999999992</v>
      </c>
      <c r="L99" s="67">
        <v>28</v>
      </c>
      <c r="M99" s="68">
        <f t="shared" si="9"/>
        <v>2650.3679999999999</v>
      </c>
      <c r="N99" s="183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49"/>
      <c r="IU99" s="49"/>
      <c r="IV99" s="49"/>
    </row>
    <row r="100" spans="1:256" ht="25.5" x14ac:dyDescent="0.25">
      <c r="A100" s="62"/>
      <c r="B100" s="108"/>
      <c r="C100" s="44"/>
      <c r="D100" s="68"/>
      <c r="E100" s="81"/>
      <c r="F100" s="48"/>
      <c r="G100" s="111">
        <f t="shared" si="6"/>
        <v>0</v>
      </c>
      <c r="H100" s="235"/>
      <c r="I100" s="76" t="s">
        <v>45</v>
      </c>
      <c r="J100" s="44" t="s">
        <v>7</v>
      </c>
      <c r="K100" s="67">
        <f>D96*0.32</f>
        <v>25.241599999999998</v>
      </c>
      <c r="L100" s="67">
        <v>46</v>
      </c>
      <c r="M100" s="68">
        <f t="shared" si="9"/>
        <v>1161.1135999999999</v>
      </c>
      <c r="N100" s="183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  <c r="IN100" s="49"/>
      <c r="IO100" s="49"/>
      <c r="IP100" s="49"/>
      <c r="IQ100" s="49"/>
      <c r="IR100" s="49"/>
      <c r="IS100" s="49"/>
      <c r="IT100" s="49"/>
      <c r="IU100" s="49"/>
      <c r="IV100" s="49"/>
    </row>
    <row r="101" spans="1:256" ht="25.5" x14ac:dyDescent="0.25">
      <c r="A101" s="78"/>
      <c r="B101" s="79"/>
      <c r="C101" s="80"/>
      <c r="D101" s="158"/>
      <c r="E101" s="81"/>
      <c r="F101" s="81"/>
      <c r="G101" s="111">
        <f t="shared" si="6"/>
        <v>0</v>
      </c>
      <c r="H101" s="235"/>
      <c r="I101" s="76" t="s">
        <v>42</v>
      </c>
      <c r="J101" s="44" t="s">
        <v>7</v>
      </c>
      <c r="K101" s="67">
        <f>D96</f>
        <v>78.88</v>
      </c>
      <c r="L101" s="67">
        <v>3.25</v>
      </c>
      <c r="M101" s="68">
        <f t="shared" si="9"/>
        <v>256.36</v>
      </c>
      <c r="N101" s="16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</row>
    <row r="102" spans="1:256" ht="25.5" x14ac:dyDescent="0.25">
      <c r="A102" s="78"/>
      <c r="B102" s="79"/>
      <c r="C102" s="80"/>
      <c r="D102" s="158"/>
      <c r="E102" s="81"/>
      <c r="F102" s="81"/>
      <c r="G102" s="111">
        <f t="shared" si="6"/>
        <v>0</v>
      </c>
      <c r="H102" s="235"/>
      <c r="I102" s="76" t="s">
        <v>43</v>
      </c>
      <c r="J102" s="44" t="s">
        <v>7</v>
      </c>
      <c r="K102" s="67">
        <f>D96</f>
        <v>78.88</v>
      </c>
      <c r="L102" s="67">
        <v>3.25</v>
      </c>
      <c r="M102" s="68">
        <f t="shared" si="9"/>
        <v>256.36</v>
      </c>
      <c r="N102" s="16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</row>
    <row r="103" spans="1:256" s="85" customFormat="1" ht="25.5" x14ac:dyDescent="0.25">
      <c r="A103" s="82"/>
      <c r="B103" s="83"/>
      <c r="C103" s="84"/>
      <c r="D103" s="68"/>
      <c r="E103" s="81"/>
      <c r="F103" s="48"/>
      <c r="G103" s="111">
        <f t="shared" si="6"/>
        <v>0</v>
      </c>
      <c r="H103" s="235"/>
      <c r="I103" s="76" t="s">
        <v>44</v>
      </c>
      <c r="J103" s="44" t="s">
        <v>7</v>
      </c>
      <c r="K103" s="67">
        <f>D96</f>
        <v>78.88</v>
      </c>
      <c r="L103" s="67">
        <v>3.25</v>
      </c>
      <c r="M103" s="68">
        <f t="shared" si="9"/>
        <v>256.36</v>
      </c>
      <c r="N103" s="163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5" customFormat="1" ht="25.5" x14ac:dyDescent="0.25">
      <c r="A104" s="82"/>
      <c r="B104" s="42"/>
      <c r="C104" s="44"/>
      <c r="D104" s="68"/>
      <c r="E104" s="81"/>
      <c r="F104" s="48"/>
      <c r="G104" s="111">
        <f t="shared" si="6"/>
        <v>0</v>
      </c>
      <c r="H104" s="235"/>
      <c r="I104" s="73" t="s">
        <v>34</v>
      </c>
      <c r="J104" s="47" t="s">
        <v>7</v>
      </c>
      <c r="K104" s="67">
        <f>D96</f>
        <v>78.88</v>
      </c>
      <c r="L104" s="67">
        <v>2.7</v>
      </c>
      <c r="M104" s="68">
        <f t="shared" si="9"/>
        <v>212.976</v>
      </c>
      <c r="N104" s="163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ht="25.5" x14ac:dyDescent="0.25">
      <c r="A105" s="51"/>
      <c r="B105" s="52" t="s">
        <v>27</v>
      </c>
      <c r="C105" s="52"/>
      <c r="D105" s="88"/>
      <c r="E105" s="209"/>
      <c r="F105" s="53"/>
      <c r="G105" s="54">
        <f>SUM(G58:G104)</f>
        <v>28831.971000000001</v>
      </c>
      <c r="H105" s="236">
        <f>SUM(H58:H104)</f>
        <v>39275.1</v>
      </c>
      <c r="I105" s="55"/>
      <c r="J105" s="56"/>
      <c r="K105" s="87"/>
      <c r="L105" s="88"/>
      <c r="M105" s="89">
        <f>SUM(M58:M104)</f>
        <v>14977.786750000003</v>
      </c>
      <c r="N105" s="18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</row>
    <row r="106" spans="1:256" ht="25.5" x14ac:dyDescent="0.25">
      <c r="A106" s="57"/>
      <c r="B106" s="58" t="s">
        <v>28</v>
      </c>
      <c r="C106" s="58"/>
      <c r="D106" s="91"/>
      <c r="E106" s="210"/>
      <c r="F106" s="59"/>
      <c r="G106" s="59"/>
      <c r="H106" s="237"/>
      <c r="I106" s="60"/>
      <c r="J106" s="61"/>
      <c r="K106" s="90"/>
      <c r="L106" s="91"/>
      <c r="M106" s="91"/>
      <c r="N106" s="248">
        <f>M105+H105</f>
        <v>54252.886750000005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</row>
    <row r="107" spans="1:256" ht="42" x14ac:dyDescent="0.25">
      <c r="A107" s="164"/>
      <c r="B107" s="125" t="s">
        <v>117</v>
      </c>
      <c r="C107" s="110"/>
      <c r="D107" s="159"/>
      <c r="E107" s="200"/>
      <c r="F107" s="110"/>
      <c r="G107" s="110"/>
      <c r="H107" s="228"/>
      <c r="I107" s="39"/>
      <c r="J107" s="38"/>
      <c r="K107" s="40"/>
      <c r="L107" s="37"/>
      <c r="M107" s="38"/>
      <c r="N107" s="165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</row>
    <row r="108" spans="1:256" ht="80.25" customHeight="1" x14ac:dyDescent="0.25">
      <c r="A108" s="82">
        <v>2</v>
      </c>
      <c r="B108" s="108" t="s">
        <v>119</v>
      </c>
      <c r="C108" s="44" t="s">
        <v>62</v>
      </c>
      <c r="D108" s="44">
        <f>2.4</f>
        <v>2.4</v>
      </c>
      <c r="E108" s="81">
        <v>260</v>
      </c>
      <c r="F108" s="48">
        <v>50</v>
      </c>
      <c r="G108" s="48">
        <f>D108*F108</f>
        <v>120</v>
      </c>
      <c r="H108" s="235">
        <f>E108*D108</f>
        <v>624</v>
      </c>
      <c r="I108" s="76" t="s">
        <v>118</v>
      </c>
      <c r="J108" s="44" t="s">
        <v>7</v>
      </c>
      <c r="K108" s="67">
        <v>0</v>
      </c>
      <c r="L108" s="107">
        <v>0</v>
      </c>
      <c r="M108" s="107">
        <f t="shared" ref="M108:M115" si="10">L108*K108</f>
        <v>0</v>
      </c>
      <c r="N108" s="171" t="s">
        <v>103</v>
      </c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  <c r="IU108" s="49"/>
      <c r="IV108" s="49"/>
    </row>
    <row r="109" spans="1:256" ht="25.5" x14ac:dyDescent="0.25">
      <c r="A109" s="82"/>
      <c r="B109" s="108"/>
      <c r="C109" s="44"/>
      <c r="D109" s="44"/>
      <c r="E109" s="81"/>
      <c r="F109" s="48"/>
      <c r="G109" s="48">
        <f t="shared" ref="G109:G119" si="11">D109*F109</f>
        <v>0</v>
      </c>
      <c r="H109" s="235"/>
      <c r="I109" s="76" t="s">
        <v>132</v>
      </c>
      <c r="J109" s="44" t="s">
        <v>2</v>
      </c>
      <c r="K109" s="44">
        <f>D108*0.25*15</f>
        <v>9</v>
      </c>
      <c r="L109" s="67">
        <v>4.2</v>
      </c>
      <c r="M109" s="68">
        <f t="shared" si="10"/>
        <v>37.800000000000004</v>
      </c>
      <c r="N109" s="181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  <c r="IS109" s="49"/>
      <c r="IT109" s="49"/>
      <c r="IU109" s="49"/>
      <c r="IV109" s="49"/>
    </row>
    <row r="110" spans="1:256" ht="42" x14ac:dyDescent="0.25">
      <c r="A110" s="82">
        <v>3</v>
      </c>
      <c r="B110" s="108" t="s">
        <v>120</v>
      </c>
      <c r="C110" s="44" t="s">
        <v>62</v>
      </c>
      <c r="D110" s="44">
        <f>16</f>
        <v>16</v>
      </c>
      <c r="E110" s="81">
        <v>220</v>
      </c>
      <c r="F110" s="48">
        <v>50</v>
      </c>
      <c r="G110" s="48">
        <f t="shared" si="11"/>
        <v>800</v>
      </c>
      <c r="H110" s="235">
        <f>E110*D110</f>
        <v>3520</v>
      </c>
      <c r="I110" s="76" t="s">
        <v>118</v>
      </c>
      <c r="J110" s="44" t="s">
        <v>7</v>
      </c>
      <c r="K110" s="67">
        <v>0</v>
      </c>
      <c r="L110" s="107">
        <v>0</v>
      </c>
      <c r="M110" s="107">
        <f t="shared" si="10"/>
        <v>0</v>
      </c>
      <c r="N110" s="171" t="s">
        <v>103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  <c r="IQ110" s="49"/>
      <c r="IR110" s="49"/>
      <c r="IS110" s="49"/>
      <c r="IT110" s="49"/>
      <c r="IU110" s="49"/>
      <c r="IV110" s="49"/>
    </row>
    <row r="111" spans="1:256" ht="25.5" x14ac:dyDescent="0.25">
      <c r="A111" s="82"/>
      <c r="B111" s="108"/>
      <c r="C111" s="44"/>
      <c r="D111" s="44"/>
      <c r="E111" s="81"/>
      <c r="F111" s="48"/>
      <c r="G111" s="48">
        <f t="shared" si="11"/>
        <v>0</v>
      </c>
      <c r="H111" s="235"/>
      <c r="I111" s="76" t="s">
        <v>132</v>
      </c>
      <c r="J111" s="44" t="s">
        <v>2</v>
      </c>
      <c r="K111" s="44">
        <f>D110*0.25*15</f>
        <v>60</v>
      </c>
      <c r="L111" s="67">
        <v>4.2</v>
      </c>
      <c r="M111" s="68">
        <f t="shared" si="10"/>
        <v>252</v>
      </c>
      <c r="N111" s="181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  <c r="IQ111" s="49"/>
      <c r="IR111" s="49"/>
      <c r="IS111" s="49"/>
      <c r="IT111" s="49"/>
      <c r="IU111" s="49"/>
      <c r="IV111" s="49"/>
    </row>
    <row r="112" spans="1:256" ht="42" x14ac:dyDescent="0.25">
      <c r="A112" s="82">
        <v>4</v>
      </c>
      <c r="B112" s="108" t="s">
        <v>128</v>
      </c>
      <c r="C112" s="44" t="s">
        <v>62</v>
      </c>
      <c r="D112" s="44">
        <f>16</f>
        <v>16</v>
      </c>
      <c r="E112" s="81">
        <v>15</v>
      </c>
      <c r="F112" s="48">
        <v>5</v>
      </c>
      <c r="G112" s="48">
        <f t="shared" si="11"/>
        <v>80</v>
      </c>
      <c r="H112" s="235">
        <f>E112*D112</f>
        <v>240</v>
      </c>
      <c r="I112" s="50" t="s">
        <v>8</v>
      </c>
      <c r="J112" s="47" t="s">
        <v>3</v>
      </c>
      <c r="K112" s="47">
        <f>D112*0.1*0.3</f>
        <v>0.48</v>
      </c>
      <c r="L112" s="67">
        <v>22.95</v>
      </c>
      <c r="M112" s="68">
        <f t="shared" si="10"/>
        <v>11.016</v>
      </c>
      <c r="N112" s="181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  <c r="IH112" s="49"/>
      <c r="II112" s="49"/>
      <c r="IJ112" s="49"/>
      <c r="IK112" s="49"/>
      <c r="IL112" s="49"/>
      <c r="IM112" s="49"/>
      <c r="IN112" s="49"/>
      <c r="IO112" s="49"/>
      <c r="IP112" s="49"/>
      <c r="IQ112" s="49"/>
      <c r="IR112" s="49"/>
      <c r="IS112" s="49"/>
      <c r="IT112" s="49"/>
      <c r="IU112" s="49"/>
      <c r="IV112" s="49"/>
    </row>
    <row r="113" spans="1:256" ht="42" x14ac:dyDescent="0.25">
      <c r="A113" s="82">
        <v>4</v>
      </c>
      <c r="B113" s="108" t="s">
        <v>127</v>
      </c>
      <c r="C113" s="44" t="s">
        <v>62</v>
      </c>
      <c r="D113" s="44">
        <f>16</f>
        <v>16</v>
      </c>
      <c r="E113" s="81">
        <v>160</v>
      </c>
      <c r="F113" s="48">
        <v>50</v>
      </c>
      <c r="G113" s="48">
        <f t="shared" si="11"/>
        <v>800</v>
      </c>
      <c r="H113" s="235">
        <f>E113*D113</f>
        <v>2560</v>
      </c>
      <c r="I113" s="112" t="s">
        <v>47</v>
      </c>
      <c r="J113" s="67" t="s">
        <v>2</v>
      </c>
      <c r="K113" s="67">
        <f>D113*0.1*20</f>
        <v>32</v>
      </c>
      <c r="L113" s="67">
        <v>4.5999999999999996</v>
      </c>
      <c r="M113" s="67">
        <f t="shared" si="10"/>
        <v>147.19999999999999</v>
      </c>
      <c r="N113" s="181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  <c r="IQ113" s="49"/>
      <c r="IR113" s="49"/>
      <c r="IS113" s="49"/>
      <c r="IT113" s="49"/>
      <c r="IU113" s="49"/>
      <c r="IV113" s="49"/>
    </row>
    <row r="114" spans="1:256" ht="25.5" x14ac:dyDescent="0.25">
      <c r="A114" s="82">
        <v>4</v>
      </c>
      <c r="B114" s="108" t="s">
        <v>122</v>
      </c>
      <c r="C114" s="44" t="s">
        <v>121</v>
      </c>
      <c r="D114" s="44">
        <f>1</f>
        <v>1</v>
      </c>
      <c r="E114" s="81">
        <v>390</v>
      </c>
      <c r="F114" s="48">
        <v>0</v>
      </c>
      <c r="G114" s="48">
        <f t="shared" si="11"/>
        <v>0</v>
      </c>
      <c r="H114" s="235">
        <f>E114*D114</f>
        <v>390</v>
      </c>
      <c r="I114" s="76" t="s">
        <v>123</v>
      </c>
      <c r="J114" s="44" t="s">
        <v>2</v>
      </c>
      <c r="K114" s="44">
        <v>6.09</v>
      </c>
      <c r="L114" s="67">
        <v>3.05</v>
      </c>
      <c r="M114" s="68">
        <f t="shared" si="10"/>
        <v>18.574499999999997</v>
      </c>
      <c r="N114" s="181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  <c r="IF114" s="49"/>
      <c r="IG114" s="49"/>
      <c r="IH114" s="49"/>
      <c r="II114" s="49"/>
      <c r="IJ114" s="49"/>
      <c r="IK114" s="49"/>
      <c r="IL114" s="49"/>
      <c r="IM114" s="49"/>
      <c r="IN114" s="49"/>
      <c r="IO114" s="49"/>
      <c r="IP114" s="49"/>
      <c r="IQ114" s="49"/>
      <c r="IR114" s="49"/>
      <c r="IS114" s="49"/>
      <c r="IT114" s="49"/>
      <c r="IU114" s="49"/>
      <c r="IV114" s="49"/>
    </row>
    <row r="115" spans="1:256" ht="25.5" x14ac:dyDescent="0.25">
      <c r="A115" s="82"/>
      <c r="B115" s="108"/>
      <c r="C115" s="44"/>
      <c r="D115" s="44"/>
      <c r="E115" s="81"/>
      <c r="F115" s="48"/>
      <c r="G115" s="48">
        <f t="shared" si="11"/>
        <v>0</v>
      </c>
      <c r="H115" s="235"/>
      <c r="I115" s="76" t="s">
        <v>124</v>
      </c>
      <c r="J115" s="44" t="s">
        <v>2</v>
      </c>
      <c r="K115" s="44">
        <v>15</v>
      </c>
      <c r="L115" s="67">
        <v>0.8</v>
      </c>
      <c r="M115" s="68">
        <f t="shared" si="10"/>
        <v>12</v>
      </c>
      <c r="N115" s="181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49"/>
      <c r="HV115" s="49"/>
      <c r="HW115" s="49"/>
      <c r="HX115" s="49"/>
      <c r="HY115" s="49"/>
      <c r="HZ115" s="49"/>
      <c r="IA115" s="49"/>
      <c r="IB115" s="49"/>
      <c r="IC115" s="49"/>
      <c r="ID115" s="49"/>
      <c r="IE115" s="49"/>
      <c r="IF115" s="49"/>
      <c r="IG115" s="49"/>
      <c r="IH115" s="49"/>
      <c r="II115" s="49"/>
      <c r="IJ115" s="49"/>
      <c r="IK115" s="49"/>
      <c r="IL115" s="49"/>
      <c r="IM115" s="49"/>
      <c r="IN115" s="49"/>
      <c r="IO115" s="49"/>
      <c r="IP115" s="49"/>
      <c r="IQ115" s="49"/>
      <c r="IR115" s="49"/>
      <c r="IS115" s="49"/>
      <c r="IT115" s="49"/>
      <c r="IU115" s="49"/>
      <c r="IV115" s="49"/>
    </row>
    <row r="116" spans="1:256" ht="66" x14ac:dyDescent="0.25">
      <c r="A116" s="152">
        <v>5</v>
      </c>
      <c r="B116" s="153" t="s">
        <v>125</v>
      </c>
      <c r="C116" s="154" t="s">
        <v>121</v>
      </c>
      <c r="D116" s="154">
        <f>14*1</f>
        <v>14</v>
      </c>
      <c r="E116" s="211"/>
      <c r="F116" s="155"/>
      <c r="G116" s="48">
        <f t="shared" si="11"/>
        <v>0</v>
      </c>
      <c r="H116" s="238"/>
      <c r="I116" s="156"/>
      <c r="J116" s="154"/>
      <c r="K116" s="154"/>
      <c r="L116" s="157"/>
      <c r="M116" s="157"/>
      <c r="N116" s="185" t="s">
        <v>126</v>
      </c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  <c r="IQ116" s="49"/>
      <c r="IR116" s="49"/>
      <c r="IS116" s="49"/>
      <c r="IT116" s="49"/>
      <c r="IU116" s="49"/>
      <c r="IV116" s="49"/>
    </row>
    <row r="117" spans="1:256" ht="66" x14ac:dyDescent="0.25">
      <c r="A117" s="152">
        <v>6</v>
      </c>
      <c r="B117" s="153" t="s">
        <v>131</v>
      </c>
      <c r="C117" s="154" t="s">
        <v>121</v>
      </c>
      <c r="D117" s="154">
        <v>1</v>
      </c>
      <c r="E117" s="211"/>
      <c r="F117" s="155"/>
      <c r="G117" s="48">
        <f t="shared" si="11"/>
        <v>0</v>
      </c>
      <c r="H117" s="238"/>
      <c r="I117" s="156"/>
      <c r="J117" s="154"/>
      <c r="K117" s="154"/>
      <c r="L117" s="157"/>
      <c r="M117" s="157"/>
      <c r="N117" s="185" t="s">
        <v>126</v>
      </c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  <c r="IS117" s="49"/>
      <c r="IT117" s="49"/>
      <c r="IU117" s="49"/>
      <c r="IV117" s="49"/>
    </row>
    <row r="118" spans="1:256" ht="42" x14ac:dyDescent="0.25">
      <c r="A118" s="82">
        <v>1</v>
      </c>
      <c r="B118" s="108" t="s">
        <v>66</v>
      </c>
      <c r="C118" s="44" t="s">
        <v>67</v>
      </c>
      <c r="D118" s="68">
        <v>9</v>
      </c>
      <c r="E118" s="81">
        <v>500</v>
      </c>
      <c r="F118" s="48">
        <v>0</v>
      </c>
      <c r="G118" s="48">
        <f t="shared" si="11"/>
        <v>0</v>
      </c>
      <c r="H118" s="235">
        <f>E118*D118</f>
        <v>4500</v>
      </c>
      <c r="I118" s="76"/>
      <c r="J118" s="44"/>
      <c r="K118" s="67"/>
      <c r="L118" s="67"/>
      <c r="M118" s="68"/>
      <c r="N118" s="183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  <c r="IQ118" s="49"/>
      <c r="IR118" s="49"/>
      <c r="IS118" s="49"/>
      <c r="IT118" s="49"/>
      <c r="IU118" s="49"/>
      <c r="IV118" s="49"/>
    </row>
    <row r="119" spans="1:256" ht="25.5" x14ac:dyDescent="0.25">
      <c r="A119" s="82">
        <v>2</v>
      </c>
      <c r="B119" s="108" t="s">
        <v>111</v>
      </c>
      <c r="C119" s="44" t="s">
        <v>112</v>
      </c>
      <c r="D119" s="68">
        <v>4</v>
      </c>
      <c r="E119" s="81">
        <v>1800</v>
      </c>
      <c r="F119" s="48">
        <v>1200</v>
      </c>
      <c r="G119" s="48">
        <f t="shared" si="11"/>
        <v>4800</v>
      </c>
      <c r="H119" s="235">
        <f>E119*D119</f>
        <v>7200</v>
      </c>
      <c r="I119" s="76" t="s">
        <v>116</v>
      </c>
      <c r="J119" s="44" t="s">
        <v>7</v>
      </c>
      <c r="K119" s="67">
        <v>300</v>
      </c>
      <c r="L119" s="67">
        <v>6.8</v>
      </c>
      <c r="M119" s="68">
        <f>L119*K119</f>
        <v>2040</v>
      </c>
      <c r="N119" s="181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  <c r="IQ119" s="49"/>
      <c r="IR119" s="49"/>
      <c r="IS119" s="49"/>
      <c r="IT119" s="49"/>
      <c r="IU119" s="49"/>
      <c r="IV119" s="49"/>
    </row>
    <row r="120" spans="1:256" ht="25.5" x14ac:dyDescent="0.25">
      <c r="A120" s="51"/>
      <c r="B120" s="52" t="s">
        <v>27</v>
      </c>
      <c r="C120" s="52"/>
      <c r="D120" s="53"/>
      <c r="E120" s="209"/>
      <c r="F120" s="53"/>
      <c r="G120" s="54">
        <f>SUM(G108:G119)</f>
        <v>6600</v>
      </c>
      <c r="H120" s="236">
        <f>SUM(H108:H119)</f>
        <v>19034</v>
      </c>
      <c r="I120" s="55"/>
      <c r="J120" s="56"/>
      <c r="K120" s="87"/>
      <c r="L120" s="88"/>
      <c r="M120" s="89">
        <f>SUM(M108:M119)</f>
        <v>2518.5905000000002</v>
      </c>
      <c r="N120" s="18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</row>
    <row r="121" spans="1:256" ht="25.5" x14ac:dyDescent="0.25">
      <c r="A121" s="57"/>
      <c r="B121" s="58" t="s">
        <v>28</v>
      </c>
      <c r="C121" s="58"/>
      <c r="D121" s="59"/>
      <c r="E121" s="210"/>
      <c r="F121" s="59"/>
      <c r="G121" s="59"/>
      <c r="H121" s="237"/>
      <c r="I121" s="60"/>
      <c r="J121" s="61"/>
      <c r="K121" s="90"/>
      <c r="L121" s="91"/>
      <c r="M121" s="91"/>
      <c r="N121" s="248">
        <f>M120+H120</f>
        <v>21552.590499999998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</row>
    <row r="122" spans="1:256" ht="25.5" x14ac:dyDescent="0.15">
      <c r="A122" s="186"/>
      <c r="B122" s="117"/>
      <c r="C122" s="117"/>
      <c r="D122" s="118"/>
      <c r="E122" s="212"/>
      <c r="F122" s="118"/>
      <c r="G122" s="118"/>
      <c r="H122" s="239"/>
      <c r="I122" s="119"/>
      <c r="J122" s="120"/>
      <c r="K122" s="121"/>
      <c r="L122" s="122"/>
      <c r="M122" s="122"/>
      <c r="N122" s="187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</row>
    <row r="123" spans="1:256" ht="22.5" x14ac:dyDescent="0.25">
      <c r="A123" s="188"/>
      <c r="B123" s="97" t="s">
        <v>143</v>
      </c>
      <c r="C123" s="94"/>
      <c r="D123" s="94"/>
      <c r="E123" s="213"/>
      <c r="F123" s="94"/>
      <c r="G123" s="94">
        <f>G120+G105+G55+G39</f>
        <v>204165.74599999998</v>
      </c>
      <c r="H123" s="240">
        <f>H120+H105+H55+H39</f>
        <v>342245.92</v>
      </c>
      <c r="I123" s="97" t="s">
        <v>146</v>
      </c>
      <c r="J123" s="94"/>
      <c r="K123" s="94"/>
      <c r="L123" s="94"/>
      <c r="M123" s="95">
        <f>M120+M105+M55+M39</f>
        <v>97176.798994800018</v>
      </c>
      <c r="N123" s="189"/>
    </row>
    <row r="124" spans="1:256" ht="49.5" customHeight="1" x14ac:dyDescent="0.25">
      <c r="A124" s="188"/>
      <c r="B124" s="93" t="s">
        <v>144</v>
      </c>
      <c r="C124" s="247" t="s">
        <v>4</v>
      </c>
      <c r="D124" s="247">
        <v>3</v>
      </c>
      <c r="E124" s="213" t="s">
        <v>155</v>
      </c>
      <c r="F124" s="94"/>
      <c r="G124" s="94"/>
      <c r="H124" s="241">
        <f>H123*D124%</f>
        <v>10267.3776</v>
      </c>
      <c r="I124" s="93" t="s">
        <v>149</v>
      </c>
      <c r="J124" s="247" t="s">
        <v>4</v>
      </c>
      <c r="K124" s="247">
        <v>5</v>
      </c>
      <c r="L124" s="94"/>
      <c r="M124" s="247">
        <f>M123*K124%</f>
        <v>4858.8399497400014</v>
      </c>
      <c r="N124" s="189"/>
    </row>
    <row r="125" spans="1:256" ht="22.5" x14ac:dyDescent="0.25">
      <c r="A125" s="188"/>
      <c r="B125" s="97"/>
      <c r="C125" s="94"/>
      <c r="D125" s="94"/>
      <c r="E125" s="213"/>
      <c r="F125" s="94"/>
      <c r="G125" s="94"/>
      <c r="H125" s="241"/>
      <c r="I125" s="97" t="s">
        <v>28</v>
      </c>
      <c r="J125" s="94"/>
      <c r="K125" s="94"/>
      <c r="L125" s="94"/>
      <c r="M125" s="94">
        <f>M123+M124</f>
        <v>102035.63894454001</v>
      </c>
      <c r="N125" s="189"/>
    </row>
    <row r="126" spans="1:256" ht="22.5" x14ac:dyDescent="0.25">
      <c r="A126" s="188"/>
      <c r="B126" s="93"/>
      <c r="C126" s="94"/>
      <c r="D126" s="94"/>
      <c r="E126" s="213"/>
      <c r="F126" s="94"/>
      <c r="G126" s="94"/>
      <c r="H126" s="241"/>
      <c r="I126" s="93" t="s">
        <v>150</v>
      </c>
      <c r="J126" s="247" t="s">
        <v>4</v>
      </c>
      <c r="K126" s="247">
        <v>10</v>
      </c>
      <c r="L126" s="94"/>
      <c r="M126" s="94">
        <f>M125*K126%</f>
        <v>10203.563894454002</v>
      </c>
      <c r="N126" s="189"/>
    </row>
    <row r="127" spans="1:256" ht="42" customHeight="1" thickBot="1" x14ac:dyDescent="0.3">
      <c r="A127" s="190"/>
      <c r="B127" s="191" t="s">
        <v>145</v>
      </c>
      <c r="C127" s="192"/>
      <c r="D127" s="192"/>
      <c r="E127" s="214"/>
      <c r="F127" s="192"/>
      <c r="G127" s="193">
        <f>1.2*G123</f>
        <v>244998.89519999997</v>
      </c>
      <c r="H127" s="242">
        <f>H123+H124</f>
        <v>352513.29759999999</v>
      </c>
      <c r="I127" s="191" t="s">
        <v>147</v>
      </c>
      <c r="J127" s="192"/>
      <c r="K127" s="192"/>
      <c r="L127" s="192"/>
      <c r="M127" s="250">
        <f>M125+M126</f>
        <v>112239.20283899401</v>
      </c>
      <c r="N127" s="194"/>
    </row>
    <row r="128" spans="1:256" x14ac:dyDescent="0.15">
      <c r="A128" s="11"/>
      <c r="B128" s="98"/>
      <c r="C128" s="99"/>
      <c r="D128" s="100"/>
      <c r="E128" s="215"/>
      <c r="F128" s="101"/>
      <c r="G128" s="101"/>
      <c r="H128" s="243"/>
      <c r="I128" s="11"/>
      <c r="J128" s="99"/>
      <c r="K128" s="102"/>
      <c r="L128" s="100"/>
      <c r="M128" s="99"/>
      <c r="N128" s="11"/>
    </row>
    <row r="129" spans="1:14" ht="22.5" x14ac:dyDescent="0.15">
      <c r="A129" s="103"/>
      <c r="B129" s="105"/>
      <c r="C129" s="104"/>
      <c r="D129" s="104"/>
      <c r="E129" s="216"/>
      <c r="F129" s="104"/>
      <c r="G129" s="104"/>
      <c r="H129" s="244"/>
      <c r="I129" s="96"/>
      <c r="J129" s="104"/>
      <c r="K129" s="476"/>
      <c r="L129" s="476"/>
      <c r="M129" s="104"/>
      <c r="N129" s="11"/>
    </row>
    <row r="130" spans="1:14" ht="25.5" x14ac:dyDescent="0.3">
      <c r="A130" s="103"/>
      <c r="B130" s="96"/>
      <c r="C130" s="104"/>
      <c r="D130" s="104"/>
      <c r="E130" s="216"/>
      <c r="F130" s="104"/>
      <c r="G130" s="104"/>
      <c r="H130" s="244"/>
      <c r="I130" s="96"/>
      <c r="J130" s="104"/>
      <c r="K130" s="104"/>
      <c r="L130" s="104"/>
      <c r="M130" s="104"/>
      <c r="N130" s="10"/>
    </row>
    <row r="131" spans="1:14" ht="25.5" x14ac:dyDescent="0.3">
      <c r="A131" s="103"/>
      <c r="B131" s="105" t="s">
        <v>140</v>
      </c>
      <c r="C131" s="104"/>
      <c r="D131" s="104"/>
      <c r="E131" s="216"/>
      <c r="F131" s="104"/>
      <c r="G131" s="104"/>
      <c r="H131" s="244"/>
      <c r="I131" s="96"/>
      <c r="J131" s="104"/>
      <c r="K131" s="477" t="s">
        <v>139</v>
      </c>
      <c r="L131" s="477"/>
      <c r="M131" s="104"/>
      <c r="N131" s="10"/>
    </row>
    <row r="132" spans="1:14" ht="25.5" x14ac:dyDescent="0.3">
      <c r="A132" s="103"/>
      <c r="B132" s="96"/>
      <c r="C132" s="104"/>
      <c r="D132" s="104"/>
      <c r="E132" s="216"/>
      <c r="F132" s="104"/>
      <c r="G132" s="104"/>
      <c r="H132" s="244"/>
      <c r="I132" s="96"/>
      <c r="J132" s="104"/>
      <c r="K132" s="104"/>
      <c r="L132" s="104"/>
      <c r="M132" s="104"/>
      <c r="N132" s="10"/>
    </row>
    <row r="133" spans="1:14" ht="25.5" x14ac:dyDescent="0.3">
      <c r="A133" s="103"/>
      <c r="B133" s="96" t="s">
        <v>141</v>
      </c>
      <c r="C133" s="104"/>
      <c r="D133" s="104"/>
      <c r="E133" s="216"/>
      <c r="F133" s="104"/>
      <c r="G133" s="104"/>
      <c r="H133" s="244"/>
      <c r="I133" s="96"/>
      <c r="J133" s="104"/>
      <c r="K133" s="478" t="s">
        <v>142</v>
      </c>
      <c r="L133" s="478"/>
      <c r="M133" s="478"/>
      <c r="N133" s="10"/>
    </row>
    <row r="134" spans="1:14" ht="25.5" x14ac:dyDescent="0.3">
      <c r="B134" s="6"/>
      <c r="C134" s="7"/>
      <c r="D134" s="8"/>
      <c r="E134" s="217"/>
      <c r="F134" s="9"/>
      <c r="G134" s="9"/>
      <c r="H134" s="245"/>
      <c r="I134" s="10"/>
      <c r="J134" s="7"/>
      <c r="K134" s="7"/>
      <c r="L134" s="8"/>
      <c r="M134" s="7"/>
      <c r="N134" s="10"/>
    </row>
  </sheetData>
  <autoFilter ref="A15:IV121" xr:uid="{00000000-0009-0000-0000-000002000000}"/>
  <mergeCells count="21">
    <mergeCell ref="E13:E14"/>
    <mergeCell ref="H13:H14"/>
    <mergeCell ref="N13:N14"/>
    <mergeCell ref="B13:B14"/>
    <mergeCell ref="C13:C14"/>
    <mergeCell ref="K129:L129"/>
    <mergeCell ref="K131:L131"/>
    <mergeCell ref="K133:M133"/>
    <mergeCell ref="A1:M1"/>
    <mergeCell ref="A2:I2"/>
    <mergeCell ref="A4:M4"/>
    <mergeCell ref="A5:N5"/>
    <mergeCell ref="M7:N7"/>
    <mergeCell ref="F12:G12"/>
    <mergeCell ref="M8:N8"/>
    <mergeCell ref="A13:A14"/>
    <mergeCell ref="M10:N10"/>
    <mergeCell ref="M11:N11"/>
    <mergeCell ref="M12:N12"/>
    <mergeCell ref="I13:M13"/>
    <mergeCell ref="D13:D14"/>
  </mergeCells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Лестн клетка 1-5 эт</vt:lpstr>
      <vt:lpstr>МОПы 3-5</vt:lpstr>
      <vt:lpstr>смета 10 этаж</vt:lpstr>
      <vt:lpstr>Лестн клетка 1-5 эт!Область_печати</vt:lpstr>
      <vt:lpstr>смета 10 этаж!Область_печати</vt:lpstr>
    </vt:vector>
  </TitlesOfParts>
  <Company>Жемчужина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Лутова</dc:creator>
  <cp:lastModifiedBy>Dmytro</cp:lastModifiedBy>
  <cp:lastPrinted>2019-04-22T15:30:10Z</cp:lastPrinted>
  <dcterms:created xsi:type="dcterms:W3CDTF">2005-05-31T13:18:33Z</dcterms:created>
  <dcterms:modified xsi:type="dcterms:W3CDTF">2019-06-07T20:44:00Z</dcterms:modified>
</cp:coreProperties>
</file>