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Объекты\Планируемые\2019\SAGA Development\Чикаго - Отделка\"/>
    </mc:Choice>
  </mc:AlternateContent>
  <xr:revisionPtr revIDLastSave="0" documentId="8_{EB9187A1-F3D2-2B49-A4E1-EEF9E2F6DCB8}" xr6:coauthVersionLast="43" xr6:coauthVersionMax="43" xr10:uidLastSave="{00000000-0000-0000-0000-000000000000}"/>
  <bookViews>
    <workbookView xWindow="0" yWindow="0" windowWidth="19530" windowHeight="3930" xr2:uid="{00000000-000D-0000-FFFF-FFFF00000000}"/>
  </bookViews>
  <sheets>
    <sheet name="Лестн клетка 1-5 эт" sheetId="29" r:id="rId1"/>
    <sheet name="МОПы 3-5" sheetId="30" r:id="rId2"/>
    <sheet name="смета 10 этаж" sheetId="21" state="hidden" r:id="rId3"/>
  </sheets>
  <externalReferences>
    <externalReference r:id="rId4"/>
  </externalReferences>
  <definedNames>
    <definedName name="_xlnm._FilterDatabase" localSheetId="0" hidden="1">'Лестн клетка 1-5 эт'!$A$12:$HU$140</definedName>
    <definedName name="_xlnm._FilterDatabase" localSheetId="2" hidden="1">'смета 10 этаж'!$15:$121</definedName>
    <definedName name="_xlnm.Print_Area" localSheetId="0">'Лестн клетка 1-5 эт'!$A$1:$I$140</definedName>
    <definedName name="_xlnm.Print_Area" localSheetId="2">'смета 10 этаж'!$A$1:$Y$134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4" i="30" l="1"/>
  <c r="K65" i="30"/>
  <c r="K66" i="30"/>
  <c r="K67" i="30"/>
  <c r="K63" i="30"/>
  <c r="K55" i="30"/>
  <c r="K56" i="30"/>
  <c r="K57" i="30"/>
  <c r="K58" i="30"/>
  <c r="K39" i="30"/>
  <c r="K11" i="30"/>
  <c r="K12" i="30"/>
  <c r="K17" i="30"/>
  <c r="K18" i="30"/>
  <c r="K20" i="30"/>
  <c r="K22" i="30"/>
  <c r="K24" i="30"/>
  <c r="K25" i="30"/>
  <c r="K26" i="30"/>
  <c r="K32" i="30"/>
  <c r="K33" i="30"/>
  <c r="K34" i="30"/>
  <c r="K35" i="30"/>
  <c r="K36" i="30"/>
  <c r="D6" i="29"/>
  <c r="F6" i="29"/>
  <c r="F7" i="29"/>
  <c r="F11" i="29"/>
  <c r="D14" i="29"/>
  <c r="F14" i="29"/>
  <c r="D21" i="29"/>
  <c r="F21" i="29"/>
  <c r="D22" i="29"/>
  <c r="F22" i="29"/>
  <c r="D25" i="29"/>
  <c r="F25" i="29"/>
  <c r="D28" i="29"/>
  <c r="F28" i="29"/>
  <c r="F29" i="29"/>
  <c r="F30" i="29"/>
  <c r="F31" i="29"/>
  <c r="D32" i="29"/>
  <c r="F32" i="29"/>
  <c r="F33" i="29"/>
  <c r="F34" i="29"/>
  <c r="F35" i="29"/>
  <c r="D38" i="29"/>
  <c r="F38" i="29"/>
  <c r="D39" i="29"/>
  <c r="F39" i="29"/>
  <c r="F40" i="29"/>
  <c r="F44" i="29"/>
  <c r="D46" i="29"/>
  <c r="F46" i="29"/>
  <c r="D49" i="29"/>
  <c r="F49" i="29"/>
  <c r="D50" i="29"/>
  <c r="F50" i="29"/>
  <c r="F53" i="29"/>
  <c r="F55" i="29"/>
  <c r="F56" i="29"/>
  <c r="F58" i="29"/>
  <c r="F59" i="29"/>
  <c r="F60" i="29"/>
  <c r="F61" i="29"/>
  <c r="F63" i="29"/>
  <c r="F64" i="29"/>
  <c r="F65" i="29"/>
  <c r="F67" i="29"/>
  <c r="F70" i="29"/>
  <c r="F78" i="29"/>
  <c r="F79" i="29"/>
  <c r="F80" i="29"/>
  <c r="F81" i="29"/>
  <c r="F82" i="29"/>
  <c r="F83" i="29"/>
  <c r="F84" i="29"/>
  <c r="F85" i="29"/>
  <c r="F86" i="29"/>
  <c r="F87" i="29"/>
  <c r="D88" i="29"/>
  <c r="F88" i="29"/>
  <c r="F89" i="29"/>
  <c r="F90" i="29"/>
  <c r="F91" i="29"/>
  <c r="F92" i="29"/>
  <c r="F93" i="29"/>
  <c r="F94" i="29"/>
  <c r="F95" i="29"/>
  <c r="D96" i="29"/>
  <c r="F96" i="29"/>
  <c r="D97" i="29"/>
  <c r="F97" i="29"/>
  <c r="D98" i="29"/>
  <c r="F98" i="29"/>
  <c r="D99" i="29"/>
  <c r="F99" i="29"/>
  <c r="F100" i="29"/>
  <c r="D101" i="29"/>
  <c r="F101" i="29"/>
  <c r="D102" i="29"/>
  <c r="F102" i="29"/>
  <c r="D103" i="29"/>
  <c r="F103" i="29"/>
  <c r="F104" i="29"/>
  <c r="F105" i="29"/>
  <c r="D106" i="29"/>
  <c r="F106" i="29"/>
  <c r="F107" i="29"/>
  <c r="F108" i="29"/>
  <c r="F109" i="29"/>
  <c r="F110" i="29"/>
  <c r="F111" i="29"/>
  <c r="F112" i="29"/>
  <c r="D113" i="29"/>
  <c r="F113" i="29"/>
  <c r="D114" i="29"/>
  <c r="F114" i="29"/>
  <c r="D115" i="29"/>
  <c r="F115" i="29"/>
  <c r="D116" i="29"/>
  <c r="F116" i="29"/>
  <c r="F117" i="29"/>
  <c r="D118" i="29"/>
  <c r="F118" i="29"/>
  <c r="D119" i="29"/>
  <c r="F119" i="29"/>
  <c r="D120" i="29"/>
  <c r="F120" i="29"/>
  <c r="F121" i="29"/>
  <c r="F122" i="29"/>
  <c r="F123" i="29"/>
  <c r="F125" i="29"/>
  <c r="F138" i="29"/>
  <c r="F126" i="29"/>
  <c r="F127" i="29"/>
  <c r="F128" i="29"/>
  <c r="F129" i="29"/>
  <c r="F130" i="29"/>
  <c r="F131" i="29"/>
  <c r="F132" i="29"/>
  <c r="F133" i="29"/>
  <c r="F134" i="29"/>
  <c r="F135" i="29"/>
  <c r="F136" i="29"/>
  <c r="E40" i="30"/>
  <c r="K40" i="30"/>
  <c r="E41" i="30"/>
  <c r="K41" i="30"/>
  <c r="E42" i="30"/>
  <c r="K42" i="30"/>
  <c r="E43" i="30"/>
  <c r="K43" i="30"/>
  <c r="E44" i="30"/>
  <c r="K44" i="30"/>
  <c r="E45" i="30"/>
  <c r="K45" i="30"/>
  <c r="E46" i="30"/>
  <c r="K46" i="30"/>
  <c r="E47" i="30"/>
  <c r="K47" i="30"/>
  <c r="E48" i="30"/>
  <c r="K48" i="30"/>
  <c r="E49" i="30"/>
  <c r="K49" i="30"/>
  <c r="E50" i="30"/>
  <c r="K50" i="30"/>
  <c r="E51" i="30"/>
  <c r="K51" i="30"/>
  <c r="E52" i="30"/>
  <c r="K52" i="30"/>
  <c r="E53" i="30"/>
  <c r="K53" i="30"/>
  <c r="E54" i="30"/>
  <c r="K54" i="30"/>
  <c r="E69" i="30"/>
  <c r="K69" i="30"/>
  <c r="E60" i="30"/>
  <c r="K60" i="30"/>
  <c r="E31" i="30"/>
  <c r="K31" i="30"/>
  <c r="E30" i="30"/>
  <c r="K30" i="30"/>
  <c r="E29" i="30"/>
  <c r="K29" i="30"/>
  <c r="E28" i="30"/>
  <c r="K28" i="30"/>
  <c r="E27" i="30"/>
  <c r="K27" i="30"/>
  <c r="E23" i="30"/>
  <c r="K23" i="30"/>
  <c r="E21" i="30"/>
  <c r="K21" i="30"/>
  <c r="E19" i="30"/>
  <c r="K19" i="30"/>
  <c r="E16" i="30"/>
  <c r="K16" i="30"/>
  <c r="E15" i="30"/>
  <c r="K15" i="30"/>
  <c r="E14" i="30"/>
  <c r="K14" i="30"/>
  <c r="E13" i="30"/>
  <c r="K13" i="30"/>
  <c r="E10" i="30"/>
  <c r="K10" i="30"/>
  <c r="E9" i="30"/>
  <c r="K9" i="30"/>
  <c r="E7" i="30"/>
  <c r="K7" i="30"/>
  <c r="E59" i="30"/>
  <c r="E68" i="30"/>
  <c r="E8" i="30"/>
  <c r="I31" i="29"/>
  <c r="K8" i="30"/>
  <c r="K37" i="30"/>
  <c r="K68" i="30"/>
  <c r="K70" i="30"/>
  <c r="K59" i="30"/>
  <c r="K61" i="30"/>
  <c r="I43" i="29"/>
  <c r="I22" i="29"/>
  <c r="I23" i="29"/>
  <c r="I72" i="29"/>
  <c r="I85" i="29"/>
  <c r="I84" i="29"/>
  <c r="I83" i="29"/>
  <c r="I82" i="29"/>
  <c r="I81" i="29"/>
  <c r="I80" i="29"/>
  <c r="I79" i="29"/>
  <c r="I78" i="29"/>
  <c r="K71" i="30"/>
  <c r="I100" i="29"/>
  <c r="I115" i="29"/>
  <c r="I117" i="29"/>
  <c r="I94" i="29"/>
  <c r="I98" i="29"/>
  <c r="I120" i="29"/>
  <c r="I103" i="29"/>
  <c r="I96" i="29"/>
  <c r="I101" i="29"/>
  <c r="I113" i="29"/>
  <c r="I99" i="29"/>
  <c r="I97" i="29"/>
  <c r="I102" i="29"/>
  <c r="I114" i="29"/>
  <c r="I34" i="29"/>
  <c r="I119" i="29"/>
  <c r="I107" i="29"/>
  <c r="I108" i="29"/>
  <c r="I116" i="29"/>
  <c r="I118" i="29"/>
  <c r="I95" i="29"/>
  <c r="I88" i="29"/>
  <c r="I91" i="29"/>
  <c r="I106" i="29"/>
  <c r="I92" i="29"/>
  <c r="I112" i="29"/>
  <c r="I89" i="29"/>
  <c r="I93" i="29"/>
  <c r="I90" i="29"/>
  <c r="I109" i="29"/>
  <c r="I111" i="29"/>
  <c r="I110" i="29"/>
  <c r="I123" i="29"/>
  <c r="I61" i="29"/>
  <c r="I57" i="29"/>
  <c r="I60" i="29"/>
  <c r="I59" i="29"/>
  <c r="I62" i="29"/>
  <c r="I58" i="29"/>
  <c r="I63" i="29"/>
  <c r="I55" i="29"/>
  <c r="I56" i="29"/>
  <c r="D47" i="29"/>
  <c r="D26" i="29"/>
  <c r="I50" i="29"/>
  <c r="I38" i="29"/>
  <c r="I42" i="29"/>
  <c r="I41" i="29"/>
  <c r="I40" i="29"/>
  <c r="I39" i="29"/>
  <c r="I44" i="29"/>
  <c r="I35" i="29"/>
  <c r="I29" i="29"/>
  <c r="I32" i="29"/>
  <c r="I51" i="29"/>
  <c r="I49" i="29"/>
  <c r="I21" i="29"/>
  <c r="I30" i="29"/>
  <c r="I19" i="29"/>
  <c r="I14" i="29"/>
  <c r="I18" i="29"/>
  <c r="I46" i="29"/>
  <c r="I26" i="29"/>
  <c r="I28" i="29"/>
  <c r="I48" i="29"/>
  <c r="I52" i="29"/>
  <c r="I47" i="29"/>
  <c r="I33" i="29"/>
  <c r="I25" i="29"/>
  <c r="I27" i="29"/>
  <c r="I15" i="29"/>
  <c r="I20" i="29"/>
  <c r="I16" i="29"/>
  <c r="I17" i="29"/>
  <c r="I76" i="29"/>
  <c r="I70" i="29"/>
  <c r="I74" i="29"/>
  <c r="I71" i="29"/>
  <c r="I73" i="29"/>
  <c r="I75" i="29"/>
  <c r="I77" i="29"/>
  <c r="F139" i="29"/>
  <c r="G109" i="21"/>
  <c r="G111" i="21"/>
  <c r="G115" i="21"/>
  <c r="G117" i="21"/>
  <c r="G118" i="21"/>
  <c r="G119" i="21"/>
  <c r="G59" i="21"/>
  <c r="G60" i="21"/>
  <c r="G61" i="21"/>
  <c r="G62" i="21"/>
  <c r="G63" i="21"/>
  <c r="G64" i="21"/>
  <c r="G65" i="21"/>
  <c r="G66" i="21"/>
  <c r="G67" i="21"/>
  <c r="G68" i="21"/>
  <c r="G69" i="21"/>
  <c r="G74" i="21"/>
  <c r="G78" i="21"/>
  <c r="G80" i="21"/>
  <c r="G81" i="21"/>
  <c r="G82" i="21"/>
  <c r="G83" i="21"/>
  <c r="G84" i="21"/>
  <c r="G85" i="21"/>
  <c r="G90" i="21"/>
  <c r="G94" i="21"/>
  <c r="G95" i="21"/>
  <c r="G97" i="21"/>
  <c r="G98" i="21"/>
  <c r="G99" i="21"/>
  <c r="G100" i="21"/>
  <c r="G101" i="21"/>
  <c r="G102" i="21"/>
  <c r="G103" i="21"/>
  <c r="G104" i="21"/>
  <c r="G58" i="21"/>
  <c r="G44" i="21"/>
  <c r="G45" i="21"/>
  <c r="G46" i="21"/>
  <c r="G48" i="21"/>
  <c r="G49" i="21"/>
  <c r="G50" i="21"/>
  <c r="G51" i="21"/>
  <c r="G52" i="21"/>
  <c r="G53" i="21"/>
  <c r="G54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5" i="21"/>
  <c r="G17" i="21"/>
  <c r="K79" i="21"/>
  <c r="M79" i="21"/>
  <c r="K64" i="21"/>
  <c r="M64" i="21"/>
  <c r="D116" i="21"/>
  <c r="G116" i="21"/>
  <c r="D114" i="21"/>
  <c r="G114" i="21"/>
  <c r="H114" i="21"/>
  <c r="D113" i="21"/>
  <c r="H113" i="21"/>
  <c r="D112" i="21"/>
  <c r="G112" i="21"/>
  <c r="D110" i="21"/>
  <c r="K111" i="21"/>
  <c r="M111" i="21"/>
  <c r="D108" i="21"/>
  <c r="G108" i="21"/>
  <c r="D96" i="21"/>
  <c r="G96" i="21"/>
  <c r="D93" i="21"/>
  <c r="G93" i="21"/>
  <c r="D92" i="21"/>
  <c r="H92" i="21"/>
  <c r="D91" i="21"/>
  <c r="G91" i="21"/>
  <c r="D89" i="21"/>
  <c r="G89" i="21"/>
  <c r="D88" i="21"/>
  <c r="D87" i="21"/>
  <c r="K87" i="21"/>
  <c r="M87" i="21"/>
  <c r="D86" i="21"/>
  <c r="G86" i="21"/>
  <c r="H86" i="21"/>
  <c r="D79" i="21"/>
  <c r="G79" i="21"/>
  <c r="D77" i="21"/>
  <c r="K77" i="21"/>
  <c r="M77" i="21"/>
  <c r="D76" i="21"/>
  <c r="G76" i="21"/>
  <c r="K76" i="21"/>
  <c r="M76" i="21"/>
  <c r="D75" i="21"/>
  <c r="G75" i="21"/>
  <c r="K75" i="21"/>
  <c r="M75" i="21"/>
  <c r="D73" i="21"/>
  <c r="K73" i="21"/>
  <c r="M73" i="21"/>
  <c r="D72" i="21"/>
  <c r="K72" i="21"/>
  <c r="M72" i="21"/>
  <c r="D71" i="21"/>
  <c r="G71" i="21"/>
  <c r="K71" i="21"/>
  <c r="M71" i="21"/>
  <c r="D70" i="21"/>
  <c r="G70" i="21"/>
  <c r="K70" i="21"/>
  <c r="M70" i="21"/>
  <c r="M48" i="21"/>
  <c r="K47" i="21"/>
  <c r="M47" i="21"/>
  <c r="D47" i="21"/>
  <c r="G47" i="21"/>
  <c r="K45" i="21"/>
  <c r="M45" i="21"/>
  <c r="K44" i="21"/>
  <c r="M44" i="21"/>
  <c r="D43" i="21"/>
  <c r="K43" i="21"/>
  <c r="M43" i="21"/>
  <c r="D42" i="21"/>
  <c r="H42" i="21"/>
  <c r="D38" i="21"/>
  <c r="K38" i="21"/>
  <c r="M38" i="21"/>
  <c r="D37" i="21"/>
  <c r="G37" i="21"/>
  <c r="D36" i="21"/>
  <c r="K36" i="21"/>
  <c r="D34" i="21"/>
  <c r="H34" i="21"/>
  <c r="D33" i="21"/>
  <c r="H33" i="21"/>
  <c r="D32" i="21"/>
  <c r="H32" i="21"/>
  <c r="D31" i="21"/>
  <c r="G31" i="21"/>
  <c r="M119" i="21"/>
  <c r="H119" i="21"/>
  <c r="H118" i="21"/>
  <c r="M115" i="21"/>
  <c r="M114" i="21"/>
  <c r="M110" i="21"/>
  <c r="M108" i="21"/>
  <c r="K94" i="21"/>
  <c r="M94" i="21"/>
  <c r="H94" i="21"/>
  <c r="K85" i="21"/>
  <c r="M85" i="21"/>
  <c r="K69" i="21"/>
  <c r="M69" i="21"/>
  <c r="K68" i="21"/>
  <c r="M68" i="21"/>
  <c r="K67" i="21"/>
  <c r="M67" i="21"/>
  <c r="K66" i="21"/>
  <c r="M66" i="21"/>
  <c r="K65" i="21"/>
  <c r="M65" i="21"/>
  <c r="K63" i="21"/>
  <c r="M63" i="21"/>
  <c r="K62" i="21"/>
  <c r="M62" i="21"/>
  <c r="H62" i="21"/>
  <c r="K60" i="21"/>
  <c r="M60" i="21"/>
  <c r="K59" i="21"/>
  <c r="M59" i="21"/>
  <c r="H59" i="21"/>
  <c r="K58" i="21"/>
  <c r="M58" i="21"/>
  <c r="H58" i="21"/>
  <c r="K54" i="21"/>
  <c r="M54" i="21"/>
  <c r="K53" i="21"/>
  <c r="M53" i="21"/>
  <c r="K52" i="21"/>
  <c r="M52" i="21"/>
  <c r="H52" i="21"/>
  <c r="K51" i="21"/>
  <c r="M51" i="21"/>
  <c r="K50" i="21"/>
  <c r="M50" i="21"/>
  <c r="K49" i="21"/>
  <c r="M49" i="21"/>
  <c r="H49" i="21"/>
  <c r="K29" i="21"/>
  <c r="M29" i="21"/>
  <c r="K28" i="21"/>
  <c r="M28" i="21"/>
  <c r="H28" i="21"/>
  <c r="K27" i="21"/>
  <c r="M27" i="21"/>
  <c r="K26" i="21"/>
  <c r="M26" i="21"/>
  <c r="H26" i="21"/>
  <c r="K25" i="21"/>
  <c r="M25" i="21"/>
  <c r="H25" i="21"/>
  <c r="K24" i="21"/>
  <c r="M24" i="21"/>
  <c r="H24" i="21"/>
  <c r="K23" i="21"/>
  <c r="M23" i="21"/>
  <c r="H23" i="21"/>
  <c r="K22" i="21"/>
  <c r="M22" i="21"/>
  <c r="K21" i="21"/>
  <c r="M21" i="21"/>
  <c r="H21" i="21"/>
  <c r="K20" i="21"/>
  <c r="M20" i="21"/>
  <c r="H20" i="21"/>
  <c r="K19" i="21"/>
  <c r="M19" i="21"/>
  <c r="H19" i="21"/>
  <c r="K18" i="21"/>
  <c r="M18" i="21"/>
  <c r="H18" i="21"/>
  <c r="H17" i="21"/>
  <c r="K81" i="21"/>
  <c r="M81" i="21"/>
  <c r="K46" i="21"/>
  <c r="M46" i="21"/>
  <c r="K32" i="21"/>
  <c r="M32" i="21"/>
  <c r="M36" i="21"/>
  <c r="H93" i="21"/>
  <c r="H110" i="21"/>
  <c r="H75" i="21"/>
  <c r="H76" i="21"/>
  <c r="K84" i="21"/>
  <c r="M84" i="21"/>
  <c r="H79" i="21"/>
  <c r="H72" i="21"/>
  <c r="H70" i="21"/>
  <c r="K34" i="21"/>
  <c r="M34" i="21"/>
  <c r="K74" i="21"/>
  <c r="M74" i="21"/>
  <c r="K103" i="21"/>
  <c r="M103" i="21"/>
  <c r="K97" i="21"/>
  <c r="M97" i="21"/>
  <c r="K86" i="21"/>
  <c r="M86" i="21"/>
  <c r="K33" i="21"/>
  <c r="M33" i="21"/>
  <c r="G110" i="21"/>
  <c r="H91" i="21"/>
  <c r="H87" i="21"/>
  <c r="K37" i="21"/>
  <c r="M37" i="21"/>
  <c r="H37" i="21"/>
  <c r="K91" i="21"/>
  <c r="M91" i="21"/>
  <c r="G92" i="21"/>
  <c r="H47" i="21"/>
  <c r="K93" i="21"/>
  <c r="M93" i="21"/>
  <c r="G73" i="21"/>
  <c r="G34" i="21"/>
  <c r="K92" i="21"/>
  <c r="M92" i="21"/>
  <c r="G72" i="21"/>
  <c r="G43" i="21"/>
  <c r="K35" i="21"/>
  <c r="M35" i="21"/>
  <c r="H108" i="21"/>
  <c r="H112" i="21"/>
  <c r="H77" i="21"/>
  <c r="H43" i="21"/>
  <c r="K112" i="21"/>
  <c r="M112" i="21"/>
  <c r="G87" i="21"/>
  <c r="G77" i="21"/>
  <c r="K99" i="21"/>
  <c r="M99" i="21"/>
  <c r="K96" i="21"/>
  <c r="M96" i="21"/>
  <c r="K31" i="21"/>
  <c r="M31" i="21"/>
  <c r="H36" i="21"/>
  <c r="H88" i="21"/>
  <c r="K88" i="21"/>
  <c r="M88" i="21"/>
  <c r="G33" i="21"/>
  <c r="K101" i="21"/>
  <c r="M101" i="21"/>
  <c r="K98" i="21"/>
  <c r="M98" i="21"/>
  <c r="K102" i="21"/>
  <c r="M102" i="21"/>
  <c r="K104" i="21"/>
  <c r="M104" i="21"/>
  <c r="G36" i="21"/>
  <c r="G32" i="21"/>
  <c r="K113" i="21"/>
  <c r="M113" i="21"/>
  <c r="G113" i="21"/>
  <c r="G120" i="21"/>
  <c r="H96" i="21"/>
  <c r="K100" i="21"/>
  <c r="M100" i="21"/>
  <c r="K42" i="21"/>
  <c r="M42" i="21"/>
  <c r="M55" i="21"/>
  <c r="H71" i="21"/>
  <c r="H31" i="21"/>
  <c r="G38" i="21"/>
  <c r="H38" i="21"/>
  <c r="G42" i="21"/>
  <c r="G55" i="21"/>
  <c r="G88" i="21"/>
  <c r="K80" i="21"/>
  <c r="M80" i="21"/>
  <c r="K83" i="21"/>
  <c r="M83" i="21"/>
  <c r="K89" i="21"/>
  <c r="M89" i="21"/>
  <c r="H73" i="21"/>
  <c r="H89" i="21"/>
  <c r="K82" i="21"/>
  <c r="M82" i="21"/>
  <c r="K90" i="21"/>
  <c r="M90" i="21"/>
  <c r="K109" i="21"/>
  <c r="M109" i="21"/>
  <c r="H55" i="21"/>
  <c r="M120" i="21"/>
  <c r="M39" i="21"/>
  <c r="H39" i="21"/>
  <c r="N56" i="21"/>
  <c r="M105" i="21"/>
  <c r="H120" i="21"/>
  <c r="N121" i="21"/>
  <c r="G105" i="21"/>
  <c r="G39" i="21"/>
  <c r="H105" i="21"/>
  <c r="N40" i="21"/>
  <c r="G123" i="21"/>
  <c r="G127" i="21"/>
  <c r="M123" i="21"/>
  <c r="M124" i="21"/>
  <c r="M125" i="21"/>
  <c r="H123" i="21"/>
  <c r="H124" i="21"/>
  <c r="H127" i="21"/>
  <c r="M11" i="21"/>
  <c r="M12" i="21"/>
  <c r="N106" i="21"/>
  <c r="M126" i="21"/>
  <c r="M127" i="21"/>
  <c r="M10" i="21"/>
  <c r="N9" i="21"/>
  <c r="M7" i="21"/>
  <c r="M8" i="21"/>
</calcChain>
</file>

<file path=xl/sharedStrings.xml><?xml version="1.0" encoding="utf-8"?>
<sst xmlns="http://schemas.openxmlformats.org/spreadsheetml/2006/main" count="845" uniqueCount="315">
  <si>
    <t>м2</t>
  </si>
  <si>
    <t>№ п/п</t>
  </si>
  <si>
    <t>кг</t>
  </si>
  <si>
    <t>л</t>
  </si>
  <si>
    <t>%</t>
  </si>
  <si>
    <t>м.п.</t>
  </si>
  <si>
    <t>грн.</t>
  </si>
  <si>
    <t>шт.</t>
  </si>
  <si>
    <t>Грунтовка СТ 17</t>
  </si>
  <si>
    <t>Найменування об"єкту: Ремонтні роботи</t>
  </si>
  <si>
    <t>Всього робота:</t>
  </si>
  <si>
    <t>Всього матеріал:</t>
  </si>
  <si>
    <t>Прибуток підприємства:</t>
  </si>
  <si>
    <t>Найменування робіт та витрат</t>
  </si>
  <si>
    <t>Од. вим.</t>
  </si>
  <si>
    <t>Кіл-сть</t>
  </si>
  <si>
    <t>Вартість од., грн.</t>
  </si>
  <si>
    <t>Вартість, грн.</t>
  </si>
  <si>
    <t>Матеріали (з НДС)</t>
  </si>
  <si>
    <t>Найменування матеріалів</t>
  </si>
  <si>
    <t>Примітка</t>
  </si>
  <si>
    <t>Грунтування стін перед стартовою шпаклівкою</t>
  </si>
  <si>
    <t>Нанесення стартової шпаклівки</t>
  </si>
  <si>
    <t>Шпаклівка Мультіфініш</t>
  </si>
  <si>
    <t>Фінішне шпаклювання стін</t>
  </si>
  <si>
    <t>Грунтування стін перед фарбуванням</t>
  </si>
  <si>
    <t>Фарбування стін латексною фарбою у 2 шари</t>
  </si>
  <si>
    <t>По розділу</t>
  </si>
  <si>
    <t>Всього</t>
  </si>
  <si>
    <t>Гіпсокартон вологостійкий 12,5 мм</t>
  </si>
  <si>
    <t>Профіль стельовий CD 60/27</t>
  </si>
  <si>
    <t>Профіль направляючий UD 28/27</t>
  </si>
  <si>
    <t>Подовжувач профілів 60/110</t>
  </si>
  <si>
    <t>Шуруп самонарізаючий TN 25</t>
  </si>
  <si>
    <t>Стельовий дюбель Bierbach</t>
  </si>
  <si>
    <t>Дюбель 6/40</t>
  </si>
  <si>
    <t>Стрічка армуюча</t>
  </si>
  <si>
    <t>Фарбування стелі водоемульсійною фарбою за 2 рази</t>
  </si>
  <si>
    <t>Улаштування підвісної стелі Армстронг</t>
  </si>
  <si>
    <t>Профіль поперечний 0,6 м</t>
  </si>
  <si>
    <t>Профіль головний 3,6 м</t>
  </si>
  <si>
    <t>Профіль поперечний 1,2 м</t>
  </si>
  <si>
    <t>Підвіс метелик</t>
  </si>
  <si>
    <t>Стержень з вушком</t>
  </si>
  <si>
    <t>Стержень з крючком</t>
  </si>
  <si>
    <t>Профіль пристінний 3 м</t>
  </si>
  <si>
    <t>Облаштування гіпсової штукатурки до 20 мм</t>
  </si>
  <si>
    <t>Штукатурка МР-75</t>
  </si>
  <si>
    <t>Маяк штукатурный 10 мм</t>
  </si>
  <si>
    <t>Грунтування підлоги перед укладанням плит</t>
  </si>
  <si>
    <t>Укладання керамогранітних плит</t>
  </si>
  <si>
    <t xml:space="preserve">Керамограніт Cerim/Timeless/Amani grey, Natural 600x600mm </t>
  </si>
  <si>
    <t>Керамограніт Just Grey/Super white, Natural 600x600mm</t>
  </si>
  <si>
    <t>Облаштування стелі</t>
  </si>
  <si>
    <t>Облаштування підвісної стелі AMF</t>
  </si>
  <si>
    <t>Улаштування ГК коробів для у рівень з плитами Knauf для ЛЕД підсвітки</t>
  </si>
  <si>
    <t>Грунтування  гк коробів перед шпаклюванням</t>
  </si>
  <si>
    <t>Грунтування гк коробів перед фарбуванням</t>
  </si>
  <si>
    <t>Фарбування гк коробів водоемульсійною фарбою за 2 рази</t>
  </si>
  <si>
    <t>Грунтування стелі  перед фарбуванням</t>
  </si>
  <si>
    <t>Облаштування ГК короба під ЛЕД підсвітку</t>
  </si>
  <si>
    <t>Улаштування однорівневої гіпсокартонної стелі</t>
  </si>
  <si>
    <t>п.м.</t>
  </si>
  <si>
    <t>Шпаклівка Уніфлот</t>
  </si>
  <si>
    <t>Фуга Церезит СЕ 40</t>
  </si>
  <si>
    <t>Плита AMF Thermatex 600х1200 мм з кромкою SK</t>
  </si>
  <si>
    <t>Розвантажувально-навантажувальні роботи</t>
  </si>
  <si>
    <t>т</t>
  </si>
  <si>
    <t>Найменування будівництва та його адреса: МЗК 6-9 поверхів житлового будинку за адресою: вул. Антоновича, 44 у м. Києві</t>
  </si>
  <si>
    <t>Перфорований кут</t>
  </si>
  <si>
    <t>Профіль алюмінієвий для ЛЕД стрічки</t>
  </si>
  <si>
    <t>Облаштування склохолста</t>
  </si>
  <si>
    <t>Грунтування стін перед облаштуванням склохолста</t>
  </si>
  <si>
    <t>Склохост</t>
  </si>
  <si>
    <t>Шпаклівка Ельф Д-60</t>
  </si>
  <si>
    <t>Оздоблення стін та відкосів</t>
  </si>
  <si>
    <t>СТІНИ</t>
  </si>
  <si>
    <t>Грунтування укосів перед стартовою шпаклівкою</t>
  </si>
  <si>
    <t>Нанесення стартової шпаклівки на укоси</t>
  </si>
  <si>
    <t>Грунтування укосів перед облаштуванням склохолста</t>
  </si>
  <si>
    <t>Облаштування склохолста на укосах</t>
  </si>
  <si>
    <t>Грунтування укосів перед фарбуванням</t>
  </si>
  <si>
    <t>Фарбування укосів латексною фарбою у 2 шари</t>
  </si>
  <si>
    <t xml:space="preserve">УКОСИ </t>
  </si>
  <si>
    <t>Улаштування плінтусу прихованої системи монтажу</t>
  </si>
  <si>
    <t>Плінтус прихованої системи монтажу</t>
  </si>
  <si>
    <t>Монтажний клей T-REX прозорий, Soudal, картридж 310 г</t>
  </si>
  <si>
    <t>г</t>
  </si>
  <si>
    <t>Силіконовий герметик  прозорий, Soudal 310 г</t>
  </si>
  <si>
    <t>Клей для керамограніта СМ 117</t>
  </si>
  <si>
    <t>Улаштування керамічного плінтусу 60 мм</t>
  </si>
  <si>
    <t>Стартове шпаклювання гк коробів</t>
  </si>
  <si>
    <t>Грунтування гк коробів перед облаштуванням склохолста</t>
  </si>
  <si>
    <t>Облаштування склохолста на гк короб</t>
  </si>
  <si>
    <t>Фінішне шпаклювання укосів</t>
  </si>
  <si>
    <t>Фінішне шпаклювання гк коробів</t>
  </si>
  <si>
    <t>Облицювання підлог</t>
  </si>
  <si>
    <t>Однорівнева гк стеля</t>
  </si>
  <si>
    <t>Нанесення бетонконтакту на стелі</t>
  </si>
  <si>
    <t>Бетонконтакт</t>
  </si>
  <si>
    <t xml:space="preserve">Стартове шпаклювання стелі </t>
  </si>
  <si>
    <t>Грунтування стелі перед облаштуванням склохоста</t>
  </si>
  <si>
    <t>Облаштування на стелях склохолста</t>
  </si>
  <si>
    <t>Матеріал Замовника</t>
  </si>
  <si>
    <t>Фінішне шпаклювання стель</t>
  </si>
  <si>
    <t>Грунтування стелі перед стартовим шпаклюванням</t>
  </si>
  <si>
    <t>Улаштування алюмінієвих ЛЕД профілів</t>
  </si>
  <si>
    <t xml:space="preserve">Улаштування декоративного  Т-подібного профілю </t>
  </si>
  <si>
    <t>Улаштування декоративного  профілю квадратної форми</t>
  </si>
  <si>
    <t>Декоративний Т-подібний профіль</t>
  </si>
  <si>
    <t>Декоративний квадратний профіль</t>
  </si>
  <si>
    <t>Вивоз мусора</t>
  </si>
  <si>
    <t>маш</t>
  </si>
  <si>
    <t>Улаштування захисного покриття підлоги</t>
  </si>
  <si>
    <t>Скотч</t>
  </si>
  <si>
    <t>ДВП 1220х2440 мм</t>
  </si>
  <si>
    <t>Мішки для сміття</t>
  </si>
  <si>
    <t>Роботи, які не враховані в дизайн-проекті</t>
  </si>
  <si>
    <t xml:space="preserve">Цегла </t>
  </si>
  <si>
    <t>Вирівнювання проему лоджиі цеглою під монтаж металопластикової конструкції</t>
  </si>
  <si>
    <t>Кладка цегли в нішах ВО, ВК, СПЗ, ЕМ</t>
  </si>
  <si>
    <t>шт</t>
  </si>
  <si>
    <t xml:space="preserve">Домонолічування отворів в підлогах </t>
  </si>
  <si>
    <t>Цемент М 500</t>
  </si>
  <si>
    <t>Песок</t>
  </si>
  <si>
    <t>Домонолічування ніш ВО, ВК, СПЗ, ЕМ</t>
  </si>
  <si>
    <t>Склад, вартість робіт 
та матеріал буде 
вказано після уточнення Т.З.</t>
  </si>
  <si>
    <t>Штукатурення стін під нішами ВО, ВК, СПЗ, ЕМ h=0,100 мм</t>
  </si>
  <si>
    <t>Грунтування стін під нішами ВО, ВК, СПЗ, ЕМ h=0,100 мм</t>
  </si>
  <si>
    <t>Демонтаж стін від дверей на 125 мм</t>
  </si>
  <si>
    <t>на виконання ремонтних робіт у місцях загального користування 10 поверху</t>
  </si>
  <si>
    <t>Влаштування дверних прорізів тамбура (вхід зі сходової клітини)</t>
  </si>
  <si>
    <t>Клей для цегли Kleyzer KTS</t>
  </si>
  <si>
    <t>Клей для склохолста Bostik</t>
  </si>
  <si>
    <t>Фарба Interior 7, Ral 9010</t>
  </si>
  <si>
    <t>Разом по кошторису</t>
  </si>
  <si>
    <t>Всього без ПДВ:</t>
  </si>
  <si>
    <t>ПДВ 20%:</t>
  </si>
  <si>
    <t>Кошторис 2</t>
  </si>
  <si>
    <t>"ПІДРЯДНИК"</t>
  </si>
  <si>
    <t>"ЗАМОВНИК"</t>
  </si>
  <si>
    <t>_________________</t>
  </si>
  <si>
    <t>___________________</t>
  </si>
  <si>
    <t>Всього робота</t>
  </si>
  <si>
    <t>Підсобні роботи</t>
  </si>
  <si>
    <t>РАЗОМ ПО РОБОТАМ</t>
  </si>
  <si>
    <t>Всого матеріалів</t>
  </si>
  <si>
    <t>РАЗОМ ПО МАТЕРІАЛАМ</t>
  </si>
  <si>
    <t>26.12.2018 року</t>
  </si>
  <si>
    <t>Заготовительно-складскі витрати, витратні матеріали та інструмент</t>
  </si>
  <si>
    <t xml:space="preserve">Транспортні витрати </t>
  </si>
  <si>
    <t>без пдв</t>
  </si>
  <si>
    <t>цена</t>
  </si>
  <si>
    <t>итого</t>
  </si>
  <si>
    <t>??</t>
  </si>
  <si>
    <t>уже расписаны</t>
  </si>
  <si>
    <t>ЗАМОВНИК</t>
  </si>
  <si>
    <t>дн</t>
  </si>
  <si>
    <t xml:space="preserve">Склополотно TOILE DE VERRE щільність 45 гр/м.кв. (50 м. кв.) SEMIN </t>
  </si>
  <si>
    <t>BOSTIK-70 WALL STANDARD КЛЕЙ для стеклохолста, 15л</t>
  </si>
  <si>
    <t>SEMIN SEM JOINT COMPOUND ШПАКЛіВКА ГОТОВА , 25кг</t>
  </si>
  <si>
    <t>Грунтовка SILTEK Universal Е-100</t>
  </si>
  <si>
    <t>Клей для керамограніта SILTEK Т-80</t>
  </si>
  <si>
    <t>Стрічка малярна 50 м</t>
  </si>
  <si>
    <t>Гіпсокартон вологостійкий 12,5 мм Knauf</t>
  </si>
  <si>
    <t>Всього по работам</t>
  </si>
  <si>
    <t>Всього по матеріалам</t>
  </si>
  <si>
    <t>Нанесення стартової шпаклівки, з шліфуванням</t>
  </si>
  <si>
    <t>Матеріали (без ПДВ)</t>
  </si>
  <si>
    <t>Фарбування стелі водоемульсійною фарбою за 2в 2 шари</t>
  </si>
  <si>
    <t xml:space="preserve">Грунтування стін перед нанесенням штукатурки </t>
  </si>
  <si>
    <t>Фінішне шпаклювання в 2 шари стель з шліфуванням</t>
  </si>
  <si>
    <t>Грунтування стель перед облаштуванням склохолста</t>
  </si>
  <si>
    <t>м3</t>
  </si>
  <si>
    <t xml:space="preserve">Суміш для кладки цегли Мастер </t>
  </si>
  <si>
    <t>Цегла (матер. Генпідрядника)</t>
  </si>
  <si>
    <t>Демонтажні роботи</t>
  </si>
  <si>
    <t>Облаштування пілонів</t>
  </si>
  <si>
    <t xml:space="preserve">Улаштування гіпсокартонних пілонів </t>
  </si>
  <si>
    <t>Профіль CD 60/27</t>
  </si>
  <si>
    <t>Плитка Керамогранітна Kerama Marazzi Тиберио глянець 1200х600х11 мм  (матер. Генпідрядника)</t>
  </si>
  <si>
    <t>Клей для керамограніту Ceresit СМ 12</t>
  </si>
  <si>
    <t>Оздоблення стін, відкосів та пілонів</t>
  </si>
  <si>
    <t>Облаштування стін</t>
  </si>
  <si>
    <t xml:space="preserve">Грунтування пілонів перед укладанням керамогранітної плитки </t>
  </si>
  <si>
    <t>Грунтування стін перед укладанням керамогранітної плитки</t>
  </si>
  <si>
    <t>Укладання керамогранітної плитки на стіни 400х800 мм</t>
  </si>
  <si>
    <t>Плитка Керамогранітна Marca Corona E 830 4D Plain deep blue matt 400х800х10 мм  (матер. Генпідрядника)</t>
  </si>
  <si>
    <t xml:space="preserve">Укладання керамічної плитки 1200х600 мм на пілони </t>
  </si>
  <si>
    <t>Укладання керамогранітної плитки на стіни 1200х600 мм</t>
  </si>
  <si>
    <t>Облаштування укосів</t>
  </si>
  <si>
    <t xml:space="preserve">Грунтування укосів перед укладанням керамогранітної плитки </t>
  </si>
  <si>
    <t>Укладання керамічної плитки 1200х600 мм на укоси</t>
  </si>
  <si>
    <t>Улаштування алюмінієвого профіля 13х2700 мм</t>
  </si>
  <si>
    <t>Декоративний алюмінієвий профіль анодіроване золото 13х2700 мм (матер. Генпідрядника)</t>
  </si>
  <si>
    <t>Грунтування стін перед улаштуванням "Косів" правої та лівої частини</t>
  </si>
  <si>
    <t xml:space="preserve">Улаштування косів  з прирізкою плитки правої та лівої частини </t>
  </si>
  <si>
    <t>Улаштування "КОСІВ"</t>
  </si>
  <si>
    <t>Штукатурка цементно-піщана Kreisel 501</t>
  </si>
  <si>
    <t>Грунтування підлоги перед укладанням керамогранітних плит на сходових площадках</t>
  </si>
  <si>
    <t>Улаштування кутиків на сходові марші</t>
  </si>
  <si>
    <t>Укладання керамогранітних плит на сходових площадках 600х600х11 мм</t>
  </si>
  <si>
    <t>Плитка Керамогранітна Kerama Marazzi Тиберио мат 600х600 мм (матер. Генпідрядника)</t>
  </si>
  <si>
    <t>Алюмінієвий профіль, прямыйBLB 5403-20-01115-K.27 (матер. Генпідрядника)</t>
  </si>
  <si>
    <t>Фарба інтер'єрна  (матер. Генпідрядника)</t>
  </si>
  <si>
    <t>Скло із золотим напорошінням 150х600 мм (матер. Генпідрядника)</t>
  </si>
  <si>
    <t>Плитка Керамогранітна Kerama Marazzi Про стоун сіра 150х600 мм (матер. Генпідрядника)</t>
  </si>
  <si>
    <t>Плитка Керамогранітна Kerama Marazzi світло сіра 150х600 мм (матер. Генпідрядника)</t>
  </si>
  <si>
    <t>Плитка Керамогранітна Kerama Marazzi Тиберио глянець 150х600 мм (матер. Генпідрядника)</t>
  </si>
  <si>
    <t>Виготовка низу сходових маршів</t>
  </si>
  <si>
    <t>Улаштування гіпсокартонної конструкції на поверхні низу сходових маршів</t>
  </si>
  <si>
    <t>Виготовка торців сходових маршів</t>
  </si>
  <si>
    <t>Грунтування на поверхні низу сходових маршів перед стартовим шпаклюванням</t>
  </si>
  <si>
    <t>Нанесення стартової шпаклівки, з шліфуванням на поверхні низу сходових маршів</t>
  </si>
  <si>
    <t>Грунтування на поверхні низу сходових маршів перед облаштуванням склохолста</t>
  </si>
  <si>
    <t>Облаштування склохолста на поверхні низу сходових маршів</t>
  </si>
  <si>
    <t>Фарбування поверхні низу сходових маршів водоемульсійною фарбою за 2в 2 шари</t>
  </si>
  <si>
    <t>Грунтування поверхні низу сходових маршів перед фарбуванням</t>
  </si>
  <si>
    <t>Фінішне шпаклювання в 2 шари з шліфуваннямповерхні низу сходових маршів</t>
  </si>
  <si>
    <t>Улаштування гіпсокартонної конструкції на торцах  сходових маршів</t>
  </si>
  <si>
    <t>Грунтування торців  сходових маршів перед стартовим шпаклюванням</t>
  </si>
  <si>
    <t>Нанесення стартової шпаклівки, з шліфуванням торців  сходових маршів</t>
  </si>
  <si>
    <t>Грунтування торців  сходових маршів перед облаштуванням склохолста</t>
  </si>
  <si>
    <t>Облаштування склохолста на торцах сходових маршів</t>
  </si>
  <si>
    <t>Фінішне шпаклювання в 2 шари торців  сходових маршів з шліфуванням</t>
  </si>
  <si>
    <t>Грунтування торців  сходових маршів перед фарбуванням</t>
  </si>
  <si>
    <t>Фарбування торців  сходових маршів водоемульсійною фарбою за 2в 2 шари</t>
  </si>
  <si>
    <t>Монтаж дзеркал</t>
  </si>
  <si>
    <t>Виготовлення та монтаж декоративного пано на стіни</t>
  </si>
  <si>
    <t>Электромонтажні роботи</t>
  </si>
  <si>
    <t>Улаштування вбудованих ЛЕД профілів</t>
  </si>
  <si>
    <t>Профіль алюмінієвий під ЛЕД (матер. Генпідрядника)</t>
  </si>
  <si>
    <t>Демонтаж цегляних перегородок для встановлення пожежостійкого вікна</t>
  </si>
  <si>
    <t>Металопрокат  (матер. Генпідрядника)</t>
  </si>
  <si>
    <t>Електроди 3</t>
  </si>
  <si>
    <t>Виготовлення та влаштування перемичок з металокрнструкції</t>
  </si>
  <si>
    <t xml:space="preserve">Облаштування цементно-піщанної штукатурки стін до 20 мм </t>
  </si>
  <si>
    <t>Укладання керамогранітних плит на сходових маршах 600х600 мм та підсхідцях</t>
  </si>
  <si>
    <t>Грунтування сходових маршів перед укладанням керамогранітних плит на сходових маршах та підсхідцях</t>
  </si>
  <si>
    <t>Роботи,
що виконують інші підрядні компанії</t>
  </si>
  <si>
    <t>Виготовлення та монтаж протипожежного вікна</t>
  </si>
  <si>
    <t>Виготовлення та монтаж перил, балясин</t>
  </si>
  <si>
    <t>Вартість од., грн. без ПДВ</t>
  </si>
  <si>
    <t>Улаштування штроб під монтаж ЛЕД профілів</t>
  </si>
  <si>
    <t>Вивіз сміття (машина 1,5 т)</t>
  </si>
  <si>
    <t>Монтаж-демонтаж будівельних риштувань</t>
  </si>
  <si>
    <t>Оренда будівельних риштувань</t>
  </si>
  <si>
    <t>діб</t>
  </si>
  <si>
    <t>Облицювання стін плиткою, із них:</t>
  </si>
  <si>
    <t>м.кв.</t>
  </si>
  <si>
    <t xml:space="preserve">Облицювання стін плиткою </t>
  </si>
  <si>
    <t>Облицювання дверних полотен плиткою</t>
  </si>
  <si>
    <t>Облицювання гіпсткартонних фальш-стін плиткою</t>
  </si>
  <si>
    <t xml:space="preserve">Монтаж алюмінієвих профілів </t>
  </si>
  <si>
    <t xml:space="preserve">Монтаж LED профілів </t>
  </si>
  <si>
    <t>керамограніт Kerama Marazzi,Тіберіо глянець, 1200х600х11 мм</t>
  </si>
  <si>
    <t>Плитка Marca Corona Е830 4D.Plain DEEP BLUE MATT, 800х400х10 мм</t>
  </si>
  <si>
    <t>Плитка Marca Corona D734 4D.Plain DEEP BLUE MATT, 800х400х10 мм</t>
  </si>
  <si>
    <t>Фарбоване скло RAL 9010</t>
  </si>
  <si>
    <t>Фарбоване скло RAL 5008</t>
  </si>
  <si>
    <t>Керамограніт Kerama Marazzi,  Про Стоун сірий обрізний 600х600 мм, 
17 шт лівосторонніх, 22 шт. правосторонніх,</t>
  </si>
  <si>
    <t>Керамограніт Kerama Marazzi,  Про Стоун сірий світлий обрізний 600х600 мм, 
22 шт лівосторонніх, 18 шт. правосторонніх,</t>
  </si>
  <si>
    <t>Керамограніт Kerama Marazzi , Монте Тіберіо, лапатований, обрізний 600х600 мм, 
62 шт лівосторонніх, 65 шт. правосторонніх,</t>
  </si>
  <si>
    <t>Плитка Marca Corona Е061 4D.
Plain DEEP BLUE MATT 20 Стена, 200х200х10 мм</t>
  </si>
  <si>
    <t>Плитка Marca Corona 4D.
DIAGONAL DEEP BLUE, 200х200х10 мм</t>
  </si>
  <si>
    <t>Плитка Marca Corona 4D.
DIAGONAL WHITE MATT 20, 200х200х10 мм</t>
  </si>
  <si>
    <t>Плитка Marca Corona Е061 4D.
Plain WHITE MATT 20 Стена, 200х200х10 мм</t>
  </si>
  <si>
    <t>LED профіль 22х200 мм</t>
  </si>
  <si>
    <t>клей Момент Монтаж універсальний для скла, дзеркал дверних полотен</t>
  </si>
  <si>
    <t>СТЕЛІ</t>
  </si>
  <si>
    <t>Влаштування стель з ГК</t>
  </si>
  <si>
    <t xml:space="preserve">Гіпсокартоний лист KNAUF 2500*1200*10 мм (у 2 шари) </t>
  </si>
  <si>
    <t>КНАУФ-профиль потолочный ПП 60/27</t>
  </si>
  <si>
    <t>КНАУФ-профиль ПН 28/27</t>
  </si>
  <si>
    <t>Удлинитель профилей 60/27</t>
  </si>
  <si>
    <t>Соединитель одноуровневый 60/27</t>
  </si>
  <si>
    <t>Подвес прямой 60/27</t>
  </si>
  <si>
    <t>Шуруп LN 3,5 х 9 мм</t>
  </si>
  <si>
    <t>Винт самонарезающий TN 25</t>
  </si>
  <si>
    <t>Дюбель анкерный</t>
  </si>
  <si>
    <t>Дюбель для крепления профилей ПН 28/27</t>
  </si>
  <si>
    <t>Шпаклевка КНАУФ-Фуген (для заделки швов)</t>
  </si>
  <si>
    <t>кг.</t>
  </si>
  <si>
    <t>Лента армирующая</t>
  </si>
  <si>
    <t>Грунтовка КНАУФ-Тифенгрунд</t>
  </si>
  <si>
    <t>Лента уплотнительная сечением 30х3,2 мм</t>
  </si>
  <si>
    <t>Лента разделительная</t>
  </si>
  <si>
    <t>Фарба акрилова RAL 5008</t>
  </si>
  <si>
    <t>Фарба акрилова RAL 9010</t>
  </si>
  <si>
    <t>Влаштування стель 
Armstrong Perla OPSL2 1800 (1500)х300 мм, RAL 9010
Armstrong Perla OPSL2 2500х300 мм, RAL 9010</t>
  </si>
  <si>
    <t>Матеріали Генпідрядника</t>
  </si>
  <si>
    <t>ПІДЛОГИ</t>
  </si>
  <si>
    <t>Облицювання підлог плиткою</t>
  </si>
  <si>
    <t>Керамограніт Kerama Marazzi , Монте Тіберіо, лапатований, 600х600 мм</t>
  </si>
  <si>
    <t>м. кв.</t>
  </si>
  <si>
    <t>Керамограніт Kerama Marazzi,  Про Стоун сірий темний обрізний 600х600 мм</t>
  </si>
  <si>
    <t>Керамограніт Kerama Marazzi,  Про Стоун сірий обрізний 600х600 мм</t>
  </si>
  <si>
    <t>Керамограніт Kerama Marazzi,  Про Стоун сірий світлий обрізний 600х600 мм</t>
  </si>
  <si>
    <r>
      <t xml:space="preserve">Алюмінієвий профіль, таврований BLB-5403-20-01115.27, анодований золото, 13х2700, </t>
    </r>
    <r>
      <rPr>
        <b/>
        <sz val="11"/>
        <color theme="1"/>
        <rFont val="Arial Narrow"/>
        <family val="2"/>
        <charset val="204"/>
      </rPr>
      <t xml:space="preserve">191 </t>
    </r>
    <r>
      <rPr>
        <sz val="11"/>
        <color theme="1"/>
        <rFont val="Arial Narrow"/>
        <family val="2"/>
        <charset val="204"/>
      </rPr>
      <t>шт.</t>
    </r>
  </si>
  <si>
    <r>
      <t xml:space="preserve">Алюмінієвий профіль універсальний, 31х10х2700 мм, анодований золото, 13х2700, </t>
    </r>
    <r>
      <rPr>
        <b/>
        <sz val="11"/>
        <color theme="1"/>
        <rFont val="Arial Narrow"/>
        <family val="2"/>
        <charset val="204"/>
      </rPr>
      <t>26</t>
    </r>
    <r>
      <rPr>
        <sz val="11"/>
        <color theme="1"/>
        <rFont val="Arial Narrow"/>
        <family val="2"/>
        <charset val="204"/>
      </rPr>
      <t xml:space="preserve"> шт.</t>
    </r>
  </si>
  <si>
    <t>Всього по розділу грн:</t>
  </si>
  <si>
    <t>Всього по комерційній пропозиції грн:</t>
  </si>
  <si>
    <t>Облицювання стін склом</t>
  </si>
  <si>
    <t>Облицювання стін елентами з плитки (декоративний ел. "КОСА")</t>
  </si>
  <si>
    <t>Грунт Siltek Uneversal E-100</t>
  </si>
  <si>
    <t>клей Siltek T-80  (для плитки на оштукатурену основу)</t>
  </si>
  <si>
    <t>клей Siltek T-80 (для плитки на ГК)</t>
  </si>
  <si>
    <t>клей Siltek T-80</t>
  </si>
  <si>
    <t>Всього, грн.
без ПДВ</t>
  </si>
  <si>
    <t>ТЕНДЕРНЕ ЗАВДАННЯ</t>
  </si>
  <si>
    <t>ЖК "Чикаго" за адресою: вул. Антоновича, 44 у м. Києві</t>
  </si>
  <si>
    <t>на виконання оздоблювальних робіт в МЗК на 3-5 поверхах</t>
  </si>
  <si>
    <t>на виконання оздоблювальних робіт на сходовій клітині СК-4 на 1-5 поверхах</t>
  </si>
  <si>
    <t xml:space="preserve">Ціна </t>
  </si>
  <si>
    <t xml:space="preserve">Вартість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</si>
</sst>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#,##0.00_₴"/>
    <numFmt numFmtId="165" formatCode="#,##0.00_р_."/>
    <numFmt numFmtId="166" formatCode="#,##0.0"/>
  </numFmts>
  <fonts count="6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20"/>
      <name val="Arial"/>
      <family val="2"/>
      <charset val="204"/>
    </font>
    <font>
      <i/>
      <sz val="10"/>
      <name val="Arial"/>
      <family val="2"/>
      <charset val="204"/>
    </font>
    <font>
      <b/>
      <i/>
      <sz val="20"/>
      <name val="Arial"/>
      <family val="2"/>
      <charset val="204"/>
    </font>
    <font>
      <i/>
      <sz val="20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8"/>
      <name val="Arial"/>
      <family val="2"/>
      <charset val="204"/>
    </font>
    <font>
      <i/>
      <sz val="18"/>
      <name val="Arial"/>
      <family val="2"/>
      <charset val="204"/>
    </font>
    <font>
      <i/>
      <sz val="18"/>
      <color indexed="16"/>
      <name val="Arial"/>
      <family val="2"/>
      <charset val="204"/>
    </font>
    <font>
      <b/>
      <i/>
      <sz val="14"/>
      <name val="Arial"/>
      <family val="2"/>
      <charset val="204"/>
    </font>
    <font>
      <i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name val="Arial"/>
      <family val="2"/>
      <charset val="204"/>
    </font>
    <font>
      <b/>
      <i/>
      <sz val="16"/>
      <name val="Arial"/>
      <family val="2"/>
      <charset val="204"/>
    </font>
    <font>
      <strike/>
      <sz val="18"/>
      <color indexed="8"/>
      <name val="Arial"/>
      <family val="2"/>
      <charset val="204"/>
    </font>
    <font>
      <b/>
      <i/>
      <strike/>
      <sz val="20"/>
      <name val="Arial"/>
      <family val="2"/>
      <charset val="204"/>
    </font>
    <font>
      <b/>
      <strike/>
      <sz val="18"/>
      <color indexed="8"/>
      <name val="Arial"/>
      <family val="2"/>
      <charset val="204"/>
    </font>
    <font>
      <i/>
      <strike/>
      <sz val="20"/>
      <name val="Arial"/>
      <family val="2"/>
      <charset val="204"/>
    </font>
    <font>
      <i/>
      <sz val="18"/>
      <color theme="1"/>
      <name val="Arial"/>
      <family val="2"/>
      <charset val="204"/>
    </font>
    <font>
      <i/>
      <sz val="18"/>
      <color rgb="FFFF0000"/>
      <name val="Arial"/>
      <family val="2"/>
      <charset val="204"/>
    </font>
    <font>
      <sz val="10"/>
      <color rgb="FFFF0000"/>
      <name val="Arial Cyr"/>
      <charset val="204"/>
    </font>
    <font>
      <sz val="10"/>
      <color rgb="FFFF0000"/>
      <name val="Arial"/>
      <family val="2"/>
      <charset val="204"/>
    </font>
    <font>
      <b/>
      <i/>
      <sz val="20"/>
      <color rgb="FFFF0000"/>
      <name val="Arial"/>
      <family val="2"/>
      <charset val="204"/>
    </font>
    <font>
      <i/>
      <sz val="20"/>
      <color rgb="FFFF0000"/>
      <name val="Arial"/>
      <family val="2"/>
      <charset val="204"/>
    </font>
    <font>
      <b/>
      <i/>
      <sz val="18"/>
      <color rgb="FFFF0000"/>
      <name val="Arial"/>
      <family val="2"/>
      <charset val="204"/>
    </font>
    <font>
      <sz val="18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20"/>
      <color rgb="FFFF0000"/>
      <name val="Arial"/>
      <family val="2"/>
      <charset val="204"/>
    </font>
    <font>
      <i/>
      <u/>
      <sz val="18"/>
      <color rgb="FFFF0000"/>
      <name val="Arial"/>
      <family val="2"/>
      <charset val="204"/>
    </font>
    <font>
      <b/>
      <i/>
      <strike/>
      <sz val="20"/>
      <color rgb="FFFF0000"/>
      <name val="Arial"/>
      <family val="2"/>
      <charset val="204"/>
    </font>
    <font>
      <i/>
      <strike/>
      <sz val="20"/>
      <color rgb="FFFF0000"/>
      <name val="Arial"/>
      <family val="2"/>
      <charset val="204"/>
    </font>
    <font>
      <i/>
      <strike/>
      <sz val="18"/>
      <color rgb="FFFF0000"/>
      <name val="Arial"/>
      <family val="2"/>
      <charset val="204"/>
    </font>
    <font>
      <b/>
      <i/>
      <strike/>
      <sz val="18"/>
      <color rgb="FFFF0000"/>
      <name val="Arial"/>
      <family val="2"/>
      <charset val="204"/>
    </font>
    <font>
      <b/>
      <strike/>
      <sz val="18"/>
      <color rgb="FFFF0000"/>
      <name val="Arial"/>
      <family val="2"/>
      <charset val="204"/>
    </font>
    <font>
      <strike/>
      <sz val="18"/>
      <color rgb="FFFF0000"/>
      <name val="Arial"/>
      <family val="2"/>
      <charset val="204"/>
    </font>
    <font>
      <i/>
      <strike/>
      <sz val="10"/>
      <color rgb="FFFF0000"/>
      <name val="Arial"/>
      <family val="2"/>
      <charset val="204"/>
    </font>
    <font>
      <strike/>
      <sz val="20"/>
      <color rgb="FFFF0000"/>
      <name val="Arial"/>
      <family val="2"/>
      <charset val="204"/>
    </font>
    <font>
      <strike/>
      <sz val="10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b/>
      <i/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Cyr"/>
      <charset val="204"/>
    </font>
    <font>
      <b/>
      <sz val="11"/>
      <color theme="1"/>
      <name val="Tahoma"/>
      <family val="2"/>
      <charset val="204"/>
    </font>
    <font>
      <b/>
      <sz val="12"/>
      <color theme="1"/>
      <name val="Arial Narrow"/>
      <family val="2"/>
      <charset val="204"/>
    </font>
    <font>
      <b/>
      <sz val="11"/>
      <name val="Arial Cyr"/>
      <charset val="204"/>
    </font>
    <font>
      <b/>
      <i/>
      <sz val="11"/>
      <name val="Arial"/>
      <family val="2"/>
      <charset val="204"/>
    </font>
    <font>
      <sz val="14"/>
      <name val="Arial Cyr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99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1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2" fontId="10" fillId="4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wrapText="1"/>
    </xf>
    <xf numFmtId="0" fontId="22" fillId="4" borderId="6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wrapText="1"/>
    </xf>
    <xf numFmtId="0" fontId="10" fillId="4" borderId="1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 vertical="center" wrapText="1"/>
    </xf>
    <xf numFmtId="2" fontId="23" fillId="4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wrapText="1"/>
    </xf>
    <xf numFmtId="0" fontId="13" fillId="0" borderId="1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0" fillId="4" borderId="0" xfId="0" applyFont="1" applyFill="1" applyBorder="1"/>
    <xf numFmtId="4" fontId="11" fillId="5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/>
    <xf numFmtId="4" fontId="10" fillId="2" borderId="1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wrapText="1"/>
    </xf>
    <xf numFmtId="0" fontId="13" fillId="0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left" vertical="top" wrapText="1"/>
    </xf>
    <xf numFmtId="4" fontId="9" fillId="5" borderId="1" xfId="0" applyNumberFormat="1" applyFont="1" applyFill="1" applyBorder="1" applyAlignment="1">
      <alignment horizontal="left" vertical="top" wrapText="1"/>
    </xf>
    <xf numFmtId="4" fontId="9" fillId="6" borderId="1" xfId="0" applyNumberFormat="1" applyFont="1" applyFill="1" applyBorder="1" applyAlignment="1">
      <alignment horizontal="center" vertical="top" wrapText="1"/>
    </xf>
    <xf numFmtId="2" fontId="23" fillId="4" borderId="6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2" fontId="10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center" wrapText="1"/>
    </xf>
    <xf numFmtId="4" fontId="11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wrapText="1"/>
    </xf>
    <xf numFmtId="0" fontId="24" fillId="0" borderId="0" xfId="0" applyFont="1" applyFill="1" applyBorder="1"/>
    <xf numFmtId="0" fontId="25" fillId="0" borderId="0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10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23" fillId="4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4" fontId="5" fillId="4" borderId="13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left" vertical="center"/>
    </xf>
    <xf numFmtId="4" fontId="12" fillId="0" borderId="13" xfId="0" applyNumberFormat="1" applyFont="1" applyFill="1" applyBorder="1" applyAlignment="1">
      <alignment horizontal="left" vertical="center"/>
    </xf>
    <xf numFmtId="4" fontId="17" fillId="0" borderId="13" xfId="0" applyNumberFormat="1" applyFont="1" applyFill="1" applyBorder="1" applyAlignment="1">
      <alignment horizontal="left" vertical="center"/>
    </xf>
    <xf numFmtId="4" fontId="5" fillId="5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2" fontId="5" fillId="7" borderId="13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164" fontId="15" fillId="2" borderId="16" xfId="0" applyNumberFormat="1" applyFont="1" applyFill="1" applyBorder="1" applyAlignment="1">
      <alignment vertical="center" wrapText="1"/>
    </xf>
    <xf numFmtId="164" fontId="14" fillId="2" borderId="16" xfId="0" applyNumberFormat="1" applyFont="1" applyFill="1" applyBorder="1" applyAlignment="1">
      <alignment horizontal="center" vertical="center" wrapText="1"/>
    </xf>
    <xf numFmtId="164" fontId="15" fillId="2" borderId="16" xfId="0" applyNumberFormat="1" applyFont="1" applyFill="1" applyBorder="1" applyAlignment="1">
      <alignment horizontal="center" vertical="center" wrapText="1"/>
    </xf>
    <xf numFmtId="164" fontId="14" fillId="2" borderId="17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4" fontId="23" fillId="6" borderId="1" xfId="0" applyNumberFormat="1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2" fontId="23" fillId="0" borderId="6" xfId="0" applyNumberFormat="1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2" fontId="23" fillId="6" borderId="1" xfId="0" applyNumberFormat="1" applyFont="1" applyFill="1" applyBorder="1" applyAlignment="1">
      <alignment horizontal="center" vertical="center" wrapText="1"/>
    </xf>
    <xf numFmtId="2" fontId="23" fillId="8" borderId="1" xfId="0" applyNumberFormat="1" applyFont="1" applyFill="1" applyBorder="1" applyAlignment="1">
      <alignment horizontal="center" vertical="center" wrapText="1"/>
    </xf>
    <xf numFmtId="2" fontId="23" fillId="7" borderId="1" xfId="0" applyNumberFormat="1" applyFont="1" applyFill="1" applyBorder="1" applyAlignment="1">
      <alignment horizontal="center" vertical="center" wrapText="1"/>
    </xf>
    <xf numFmtId="164" fontId="29" fillId="0" borderId="1" xfId="0" applyNumberFormat="1" applyFont="1" applyFill="1" applyBorder="1" applyAlignment="1">
      <alignment horizontal="center" vertical="center" wrapText="1"/>
    </xf>
    <xf numFmtId="164" fontId="29" fillId="2" borderId="16" xfId="0" applyNumberFormat="1" applyFont="1" applyFill="1" applyBorder="1" applyAlignment="1">
      <alignment horizontal="center" vertical="center" wrapText="1"/>
    </xf>
    <xf numFmtId="2" fontId="30" fillId="0" borderId="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 wrapText="1"/>
    </xf>
    <xf numFmtId="2" fontId="31" fillId="0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4" fontId="32" fillId="0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3" fillId="4" borderId="6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6" fillId="5" borderId="1" xfId="0" applyNumberFormat="1" applyFont="1" applyFill="1" applyBorder="1" applyAlignment="1">
      <alignment horizontal="center" vertical="center" wrapText="1"/>
    </xf>
    <xf numFmtId="4" fontId="35" fillId="6" borderId="1" xfId="0" applyNumberFormat="1" applyFont="1" applyFill="1" applyBorder="1" applyAlignment="1">
      <alignment horizontal="center" vertical="center" wrapText="1"/>
    </xf>
    <xf numFmtId="2" fontId="35" fillId="3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4" borderId="1" xfId="0" applyNumberFormat="1" applyFont="1" applyFill="1" applyBorder="1" applyAlignment="1">
      <alignment horizontal="center" vertical="center" wrapText="1"/>
    </xf>
    <xf numFmtId="2" fontId="36" fillId="5" borderId="1" xfId="0" applyNumberFormat="1" applyFont="1" applyFill="1" applyBorder="1" applyAlignment="1">
      <alignment horizontal="center" vertical="center" wrapText="1"/>
    </xf>
    <xf numFmtId="2" fontId="35" fillId="6" borderId="1" xfId="0" applyNumberFormat="1" applyFont="1" applyFill="1" applyBorder="1" applyAlignment="1">
      <alignment horizontal="center" vertical="center" wrapText="1"/>
    </xf>
    <xf numFmtId="2" fontId="35" fillId="8" borderId="1" xfId="0" applyNumberFormat="1" applyFont="1" applyFill="1" applyBorder="1" applyAlignment="1">
      <alignment horizontal="center" vertical="center" wrapText="1"/>
    </xf>
    <xf numFmtId="2" fontId="35" fillId="7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4" fontId="38" fillId="0" borderId="1" xfId="0" applyNumberFormat="1" applyFont="1" applyFill="1" applyBorder="1" applyAlignment="1">
      <alignment horizontal="center" vertical="center" wrapText="1"/>
    </xf>
    <xf numFmtId="164" fontId="37" fillId="2" borderId="16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2" fontId="19" fillId="6" borderId="13" xfId="0" applyNumberFormat="1" applyFont="1" applyFill="1" applyBorder="1" applyAlignment="1">
      <alignment horizontal="center" vertical="center"/>
    </xf>
    <xf numFmtId="4" fontId="19" fillId="6" borderId="13" xfId="0" applyNumberFormat="1" applyFont="1" applyFill="1" applyBorder="1" applyAlignment="1">
      <alignment horizontal="center" vertical="center"/>
    </xf>
    <xf numFmtId="164" fontId="20" fillId="2" borderId="16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" fontId="42" fillId="0" borderId="1" xfId="0" applyNumberFormat="1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vertical="center" wrapText="1"/>
    </xf>
    <xf numFmtId="4" fontId="42" fillId="3" borderId="19" xfId="0" applyNumberFormat="1" applyFont="1" applyFill="1" applyBorder="1" applyAlignment="1">
      <alignment vertical="center" wrapText="1"/>
    </xf>
    <xf numFmtId="0" fontId="42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center" vertical="center" wrapText="1"/>
    </xf>
    <xf numFmtId="4" fontId="7" fillId="4" borderId="28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top" wrapText="1"/>
    </xf>
    <xf numFmtId="0" fontId="4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4" fontId="7" fillId="5" borderId="19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42" fillId="5" borderId="1" xfId="0" applyNumberFormat="1" applyFont="1" applyFill="1" applyBorder="1" applyAlignment="1">
      <alignment horizontal="left" vertical="top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4" borderId="19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44" fillId="0" borderId="0" xfId="0" applyFont="1" applyFill="1" applyBorder="1" applyAlignment="1">
      <alignment wrapText="1"/>
    </xf>
    <xf numFmtId="0" fontId="44" fillId="0" borderId="5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42" fillId="7" borderId="15" xfId="0" applyFont="1" applyFill="1" applyBorder="1" applyAlignment="1">
      <alignment horizontal="center" vertical="center" wrapText="1"/>
    </xf>
    <xf numFmtId="0" fontId="42" fillId="7" borderId="16" xfId="0" applyFont="1" applyFill="1" applyBorder="1" applyAlignment="1">
      <alignment horizontal="center" vertical="center" wrapText="1"/>
    </xf>
    <xf numFmtId="4" fontId="7" fillId="7" borderId="30" xfId="0" applyNumberFormat="1" applyFont="1" applyFill="1" applyBorder="1" applyAlignment="1">
      <alignment horizontal="center" vertical="center" wrapText="1"/>
    </xf>
    <xf numFmtId="4" fontId="7" fillId="7" borderId="16" xfId="0" applyNumberFormat="1" applyFont="1" applyFill="1" applyBorder="1" applyAlignment="1">
      <alignment horizontal="center" vertical="center" wrapText="1"/>
    </xf>
    <xf numFmtId="0" fontId="42" fillId="7" borderId="16" xfId="0" applyFont="1" applyFill="1" applyBorder="1" applyAlignment="1">
      <alignment horizontal="center" vertical="top" wrapText="1"/>
    </xf>
    <xf numFmtId="0" fontId="7" fillId="7" borderId="1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44" fillId="0" borderId="31" xfId="0" applyFont="1" applyFill="1" applyBorder="1" applyAlignment="1">
      <alignment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4" fontId="7" fillId="4" borderId="2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4" fontId="42" fillId="0" borderId="1" xfId="0" applyNumberFormat="1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left" vertical="center" wrapText="1"/>
    </xf>
    <xf numFmtId="4" fontId="42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4" fontId="42" fillId="0" borderId="6" xfId="0" applyNumberFormat="1" applyFont="1" applyFill="1" applyBorder="1" applyAlignment="1">
      <alignment horizontal="center" vertical="center" wrapText="1"/>
    </xf>
    <xf numFmtId="0" fontId="44" fillId="0" borderId="3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46" fillId="0" borderId="32" xfId="0" applyFont="1" applyBorder="1" applyAlignment="1">
      <alignment horizontal="center" vertical="center"/>
    </xf>
    <xf numFmtId="165" fontId="46" fillId="0" borderId="33" xfId="0" applyNumberFormat="1" applyFont="1" applyFill="1" applyBorder="1" applyAlignment="1">
      <alignment horizontal="left" vertical="center" wrapText="1"/>
    </xf>
    <xf numFmtId="165" fontId="46" fillId="0" borderId="33" xfId="0" applyNumberFormat="1" applyFont="1" applyFill="1" applyBorder="1" applyAlignment="1">
      <alignment horizontal="center" vertical="center" wrapText="1"/>
    </xf>
    <xf numFmtId="4" fontId="46" fillId="0" borderId="33" xfId="2" applyNumberFormat="1" applyFont="1" applyFill="1" applyBorder="1" applyAlignment="1">
      <alignment horizontal="center" vertical="center" wrapText="1"/>
    </xf>
    <xf numFmtId="165" fontId="46" fillId="0" borderId="1" xfId="0" applyNumberFormat="1" applyFont="1" applyFill="1" applyBorder="1" applyAlignment="1">
      <alignment horizontal="left" vertical="center" wrapText="1"/>
    </xf>
    <xf numFmtId="165" fontId="46" fillId="0" borderId="1" xfId="0" applyNumberFormat="1" applyFont="1" applyFill="1" applyBorder="1" applyAlignment="1">
      <alignment horizontal="center" vertical="center" wrapText="1"/>
    </xf>
    <xf numFmtId="4" fontId="46" fillId="0" borderId="1" xfId="2" applyNumberFormat="1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46" fillId="0" borderId="2" xfId="0" applyFont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0" fillId="0" borderId="0" xfId="1" applyFont="1" applyFill="1" applyBorder="1" applyAlignment="1">
      <alignment horizontal="center" vertical="center"/>
    </xf>
    <xf numFmtId="0" fontId="50" fillId="0" borderId="0" xfId="0" applyFont="1" applyFill="1" applyBorder="1" applyAlignment="1"/>
    <xf numFmtId="4" fontId="49" fillId="0" borderId="16" xfId="0" applyNumberFormat="1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 wrapText="1"/>
    </xf>
    <xf numFmtId="4" fontId="49" fillId="0" borderId="17" xfId="0" applyNumberFormat="1" applyFont="1" applyFill="1" applyBorder="1" applyAlignment="1">
      <alignment horizontal="center" vertical="center" wrapText="1"/>
    </xf>
    <xf numFmtId="49" fontId="51" fillId="4" borderId="4" xfId="0" applyNumberFormat="1" applyFont="1" applyFill="1" applyBorder="1" applyAlignment="1">
      <alignment horizontal="center" vertical="center"/>
    </xf>
    <xf numFmtId="0" fontId="52" fillId="4" borderId="19" xfId="0" applyFont="1" applyFill="1" applyBorder="1" applyAlignment="1">
      <alignment horizontal="right" vertical="center" wrapText="1"/>
    </xf>
    <xf numFmtId="0" fontId="52" fillId="4" borderId="1" xfId="0" applyFont="1" applyFill="1" applyBorder="1" applyAlignment="1">
      <alignment horizontal="center" vertical="center" wrapText="1"/>
    </xf>
    <xf numFmtId="4" fontId="52" fillId="4" borderId="36" xfId="0" applyNumberFormat="1" applyFont="1" applyFill="1" applyBorder="1" applyAlignment="1">
      <alignment horizontal="center" vertical="center" wrapText="1"/>
    </xf>
    <xf numFmtId="4" fontId="53" fillId="4" borderId="38" xfId="0" applyNumberFormat="1" applyFont="1" applyFill="1" applyBorder="1" applyAlignment="1">
      <alignment horizontal="center" vertical="center" wrapText="1"/>
    </xf>
    <xf numFmtId="4" fontId="52" fillId="4" borderId="38" xfId="0" applyNumberFormat="1" applyFont="1" applyFill="1" applyBorder="1" applyAlignment="1">
      <alignment horizontal="center" vertical="center" wrapText="1"/>
    </xf>
    <xf numFmtId="4" fontId="52" fillId="4" borderId="19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/>
    <xf numFmtId="0" fontId="52" fillId="4" borderId="19" xfId="0" applyFont="1" applyFill="1" applyBorder="1" applyAlignment="1">
      <alignment vertical="center" wrapText="1"/>
    </xf>
    <xf numFmtId="0" fontId="53" fillId="4" borderId="19" xfId="0" applyFont="1" applyFill="1" applyBorder="1" applyAlignment="1">
      <alignment vertical="center" wrapText="1"/>
    </xf>
    <xf numFmtId="0" fontId="53" fillId="4" borderId="1" xfId="0" applyFont="1" applyFill="1" applyBorder="1" applyAlignment="1">
      <alignment horizontal="center" vertical="center" wrapText="1"/>
    </xf>
    <xf numFmtId="4" fontId="53" fillId="4" borderId="36" xfId="0" applyNumberFormat="1" applyFont="1" applyFill="1" applyBorder="1" applyAlignment="1">
      <alignment horizontal="center" vertical="center" wrapText="1"/>
    </xf>
    <xf numFmtId="0" fontId="53" fillId="4" borderId="19" xfId="0" applyFont="1" applyFill="1" applyBorder="1" applyAlignment="1">
      <alignment horizontal="right" vertical="center" wrapText="1"/>
    </xf>
    <xf numFmtId="4" fontId="53" fillId="4" borderId="36" xfId="2" applyNumberFormat="1" applyFont="1" applyFill="1" applyBorder="1" applyAlignment="1">
      <alignment horizontal="center" vertical="center" wrapText="1"/>
    </xf>
    <xf numFmtId="4" fontId="53" fillId="4" borderId="19" xfId="2" applyNumberFormat="1" applyFont="1" applyFill="1" applyBorder="1" applyAlignment="1">
      <alignment horizontal="center" vertical="center" wrapText="1"/>
    </xf>
    <xf numFmtId="0" fontId="53" fillId="4" borderId="19" xfId="0" applyFont="1" applyFill="1" applyBorder="1" applyAlignment="1">
      <alignment horizontal="left" vertical="center" wrapText="1"/>
    </xf>
    <xf numFmtId="3" fontId="53" fillId="4" borderId="36" xfId="0" applyNumberFormat="1" applyFont="1" applyFill="1" applyBorder="1" applyAlignment="1">
      <alignment horizontal="center" vertical="center" wrapText="1"/>
    </xf>
    <xf numFmtId="4" fontId="53" fillId="4" borderId="38" xfId="0" applyNumberFormat="1" applyFont="1" applyFill="1" applyBorder="1" applyAlignment="1">
      <alignment horizontal="center" vertical="justify" wrapText="1"/>
    </xf>
    <xf numFmtId="4" fontId="53" fillId="4" borderId="36" xfId="0" applyNumberFormat="1" applyFont="1" applyFill="1" applyBorder="1" applyAlignment="1">
      <alignment horizontal="center" vertical="justify" wrapText="1"/>
    </xf>
    <xf numFmtId="4" fontId="53" fillId="4" borderId="36" xfId="2" applyNumberFormat="1" applyFont="1" applyFill="1" applyBorder="1" applyAlignment="1">
      <alignment horizontal="center" vertical="justify" wrapText="1"/>
    </xf>
    <xf numFmtId="4" fontId="53" fillId="4" borderId="19" xfId="2" applyNumberFormat="1" applyFont="1" applyFill="1" applyBorder="1" applyAlignment="1">
      <alignment horizontal="center" vertical="justify" wrapText="1"/>
    </xf>
    <xf numFmtId="0" fontId="53" fillId="4" borderId="19" xfId="0" applyFont="1" applyFill="1" applyBorder="1" applyAlignment="1">
      <alignment horizontal="left" vertical="top" wrapText="1"/>
    </xf>
    <xf numFmtId="0" fontId="53" fillId="4" borderId="1" xfId="0" applyFont="1" applyFill="1" applyBorder="1" applyAlignment="1">
      <alignment horizontal="center" vertical="justify" wrapText="1"/>
    </xf>
    <xf numFmtId="0" fontId="53" fillId="4" borderId="1" xfId="0" applyFont="1" applyFill="1" applyBorder="1" applyAlignment="1">
      <alignment horizontal="right" vertical="justify" wrapText="1"/>
    </xf>
    <xf numFmtId="166" fontId="53" fillId="4" borderId="1" xfId="0" applyNumberFormat="1" applyFont="1" applyFill="1" applyBorder="1" applyAlignment="1">
      <alignment horizontal="center" vertical="justify" wrapText="1"/>
    </xf>
    <xf numFmtId="3" fontId="53" fillId="4" borderId="1" xfId="0" applyNumberFormat="1" applyFont="1" applyFill="1" applyBorder="1" applyAlignment="1">
      <alignment horizontal="center" vertical="justify" wrapText="1"/>
    </xf>
    <xf numFmtId="4" fontId="53" fillId="4" borderId="1" xfId="0" applyNumberFormat="1" applyFont="1" applyFill="1" applyBorder="1" applyAlignment="1">
      <alignment horizontal="center" vertical="justify" wrapText="1"/>
    </xf>
    <xf numFmtId="0" fontId="53" fillId="4" borderId="19" xfId="0" applyFont="1" applyFill="1" applyBorder="1" applyAlignment="1">
      <alignment horizontal="right" vertical="justify" wrapText="1"/>
    </xf>
    <xf numFmtId="3" fontId="53" fillId="4" borderId="36" xfId="0" applyNumberFormat="1" applyFont="1" applyFill="1" applyBorder="1" applyAlignment="1">
      <alignment horizontal="center" vertical="justify" wrapText="1"/>
    </xf>
    <xf numFmtId="4" fontId="52" fillId="4" borderId="36" xfId="0" applyNumberFormat="1" applyFont="1" applyFill="1" applyBorder="1" applyAlignment="1">
      <alignment horizontal="center" vertical="justify" wrapText="1"/>
    </xf>
    <xf numFmtId="49" fontId="48" fillId="3" borderId="37" xfId="0" applyNumberFormat="1" applyFont="1" applyFill="1" applyBorder="1" applyAlignment="1">
      <alignment horizontal="center" vertical="center" wrapText="1"/>
    </xf>
    <xf numFmtId="49" fontId="47" fillId="3" borderId="35" xfId="0" applyNumberFormat="1" applyFont="1" applyFill="1" applyBorder="1" applyAlignment="1">
      <alignment horizontal="center" vertical="center" wrapText="1"/>
    </xf>
    <xf numFmtId="49" fontId="48" fillId="3" borderId="35" xfId="0" applyNumberFormat="1" applyFont="1" applyFill="1" applyBorder="1" applyAlignment="1">
      <alignment horizontal="center" vertical="center" wrapText="1"/>
    </xf>
    <xf numFmtId="49" fontId="48" fillId="3" borderId="35" xfId="0" applyNumberFormat="1" applyFont="1" applyFill="1" applyBorder="1" applyAlignment="1">
      <alignment vertical="center" wrapText="1"/>
    </xf>
    <xf numFmtId="0" fontId="0" fillId="3" borderId="1" xfId="0" applyFill="1" applyBorder="1"/>
    <xf numFmtId="49" fontId="51" fillId="3" borderId="4" xfId="0" applyNumberFormat="1" applyFont="1" applyFill="1" applyBorder="1" applyAlignment="1">
      <alignment horizontal="center" vertical="center"/>
    </xf>
    <xf numFmtId="49" fontId="55" fillId="3" borderId="35" xfId="0" applyNumberFormat="1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 wrapText="1"/>
    </xf>
    <xf numFmtId="4" fontId="53" fillId="3" borderId="36" xfId="0" applyNumberFormat="1" applyFont="1" applyFill="1" applyBorder="1" applyAlignment="1">
      <alignment horizontal="center" vertical="center" wrapText="1"/>
    </xf>
    <xf numFmtId="4" fontId="53" fillId="3" borderId="38" xfId="0" applyNumberFormat="1" applyFont="1" applyFill="1" applyBorder="1" applyAlignment="1">
      <alignment horizontal="center" vertical="center" wrapText="1"/>
    </xf>
    <xf numFmtId="4" fontId="53" fillId="3" borderId="36" xfId="2" applyNumberFormat="1" applyFont="1" applyFill="1" applyBorder="1" applyAlignment="1">
      <alignment horizontal="center" vertical="center" wrapText="1"/>
    </xf>
    <xf numFmtId="4" fontId="53" fillId="3" borderId="19" xfId="2" applyNumberFormat="1" applyFont="1" applyFill="1" applyBorder="1" applyAlignment="1">
      <alignment horizontal="center" vertical="center" wrapText="1"/>
    </xf>
    <xf numFmtId="0" fontId="54" fillId="3" borderId="1" xfId="0" applyFont="1" applyFill="1" applyBorder="1"/>
    <xf numFmtId="3" fontId="53" fillId="3" borderId="36" xfId="0" applyNumberFormat="1" applyFont="1" applyFill="1" applyBorder="1" applyAlignment="1">
      <alignment horizontal="center" vertical="justify" wrapText="1"/>
    </xf>
    <xf numFmtId="0" fontId="0" fillId="9" borderId="10" xfId="0" applyFill="1" applyBorder="1"/>
    <xf numFmtId="0" fontId="57" fillId="9" borderId="10" xfId="0" applyFont="1" applyFill="1" applyBorder="1" applyAlignment="1">
      <alignment horizontal="right"/>
    </xf>
    <xf numFmtId="49" fontId="51" fillId="9" borderId="4" xfId="0" applyNumberFormat="1" applyFont="1" applyFill="1" applyBorder="1" applyAlignment="1">
      <alignment horizontal="center" vertical="center"/>
    </xf>
    <xf numFmtId="0" fontId="56" fillId="9" borderId="35" xfId="0" applyFont="1" applyFill="1" applyBorder="1" applyAlignment="1">
      <alignment horizontal="right" vertical="top" wrapText="1"/>
    </xf>
    <xf numFmtId="0" fontId="53" fillId="9" borderId="1" xfId="0" applyFont="1" applyFill="1" applyBorder="1" applyAlignment="1">
      <alignment horizontal="center" vertical="justify" wrapText="1"/>
    </xf>
    <xf numFmtId="4" fontId="53" fillId="9" borderId="36" xfId="0" applyNumberFormat="1" applyFont="1" applyFill="1" applyBorder="1" applyAlignment="1">
      <alignment horizontal="center" vertical="center" wrapText="1"/>
    </xf>
    <xf numFmtId="4" fontId="53" fillId="9" borderId="38" xfId="0" applyNumberFormat="1" applyFont="1" applyFill="1" applyBorder="1" applyAlignment="1">
      <alignment horizontal="center" vertical="center" wrapText="1"/>
    </xf>
    <xf numFmtId="4" fontId="53" fillId="9" borderId="36" xfId="2" applyNumberFormat="1" applyFont="1" applyFill="1" applyBorder="1" applyAlignment="1">
      <alignment horizontal="center" vertical="center" wrapText="1"/>
    </xf>
    <xf numFmtId="4" fontId="53" fillId="9" borderId="19" xfId="2" applyNumberFormat="1" applyFont="1" applyFill="1" applyBorder="1" applyAlignment="1">
      <alignment horizontal="center" vertical="center" wrapText="1"/>
    </xf>
    <xf numFmtId="0" fontId="54" fillId="9" borderId="1" xfId="0" applyFont="1" applyFill="1" applyBorder="1"/>
    <xf numFmtId="0" fontId="56" fillId="9" borderId="35" xfId="0" applyFont="1" applyFill="1" applyBorder="1" applyAlignment="1">
      <alignment horizontal="right" vertical="center" wrapText="1"/>
    </xf>
    <xf numFmtId="0" fontId="53" fillId="9" borderId="1" xfId="0" applyFont="1" applyFill="1" applyBorder="1" applyAlignment="1">
      <alignment horizontal="center" vertical="center" wrapText="1"/>
    </xf>
    <xf numFmtId="0" fontId="53" fillId="4" borderId="29" xfId="0" applyFont="1" applyFill="1" applyBorder="1" applyAlignment="1">
      <alignment vertical="center" wrapText="1"/>
    </xf>
    <xf numFmtId="0" fontId="52" fillId="4" borderId="29" xfId="0" applyFont="1" applyFill="1" applyBorder="1" applyAlignment="1">
      <alignment horizontal="left" vertical="center" wrapText="1"/>
    </xf>
    <xf numFmtId="0" fontId="53" fillId="4" borderId="28" xfId="0" applyFont="1" applyFill="1" applyBorder="1" applyAlignment="1">
      <alignment horizontal="left" vertical="center" wrapText="1"/>
    </xf>
    <xf numFmtId="0" fontId="52" fillId="4" borderId="19" xfId="0" applyFont="1" applyFill="1" applyBorder="1" applyAlignment="1">
      <alignment horizontal="left" vertical="justify" wrapText="1"/>
    </xf>
    <xf numFmtId="4" fontId="43" fillId="0" borderId="0" xfId="0" applyNumberFormat="1" applyFont="1" applyFill="1" applyBorder="1" applyAlignment="1">
      <alignment horizontal="center" vertical="center" wrapText="1"/>
    </xf>
    <xf numFmtId="3" fontId="53" fillId="4" borderId="38" xfId="0" applyNumberFormat="1" applyFont="1" applyFill="1" applyBorder="1" applyAlignment="1">
      <alignment horizontal="center" vertical="center" wrapText="1"/>
    </xf>
    <xf numFmtId="166" fontId="53" fillId="4" borderId="6" xfId="0" applyNumberFormat="1" applyFont="1" applyFill="1" applyBorder="1" applyAlignment="1">
      <alignment horizontal="center" vertical="justify" wrapText="1"/>
    </xf>
    <xf numFmtId="3" fontId="53" fillId="4" borderId="6" xfId="0" applyNumberFormat="1" applyFont="1" applyFill="1" applyBorder="1" applyAlignment="1">
      <alignment horizontal="center" vertical="justify" wrapText="1"/>
    </xf>
    <xf numFmtId="4" fontId="53" fillId="4" borderId="6" xfId="0" applyNumberFormat="1" applyFont="1" applyFill="1" applyBorder="1" applyAlignment="1">
      <alignment horizontal="center" vertical="justify" wrapText="1"/>
    </xf>
    <xf numFmtId="3" fontId="53" fillId="4" borderId="38" xfId="0" applyNumberFormat="1" applyFont="1" applyFill="1" applyBorder="1" applyAlignment="1">
      <alignment horizontal="center" vertical="justify" wrapText="1"/>
    </xf>
    <xf numFmtId="3" fontId="53" fillId="3" borderId="38" xfId="0" applyNumberFormat="1" applyFont="1" applyFill="1" applyBorder="1" applyAlignment="1">
      <alignment horizontal="center" vertical="justify" wrapText="1"/>
    </xf>
    <xf numFmtId="4" fontId="52" fillId="4" borderId="38" xfId="0" applyNumberFormat="1" applyFont="1" applyFill="1" applyBorder="1" applyAlignment="1">
      <alignment horizontal="center" vertical="justify" wrapText="1"/>
    </xf>
    <xf numFmtId="4" fontId="42" fillId="10" borderId="21" xfId="0" applyNumberFormat="1" applyFont="1" applyFill="1" applyBorder="1" applyAlignment="1">
      <alignment horizontal="center" vertical="center" wrapText="1"/>
    </xf>
    <xf numFmtId="4" fontId="49" fillId="10" borderId="25" xfId="0" applyNumberFormat="1" applyFont="1" applyFill="1" applyBorder="1" applyAlignment="1">
      <alignment horizontal="center" vertical="center" wrapText="1"/>
    </xf>
    <xf numFmtId="4" fontId="49" fillId="10" borderId="16" xfId="0" applyNumberFormat="1" applyFont="1" applyFill="1" applyBorder="1" applyAlignment="1">
      <alignment horizontal="center" vertical="center" wrapText="1"/>
    </xf>
    <xf numFmtId="4" fontId="52" fillId="6" borderId="38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wrapText="1"/>
    </xf>
    <xf numFmtId="164" fontId="45" fillId="0" borderId="16" xfId="0" applyNumberFormat="1" applyFont="1" applyFill="1" applyBorder="1" applyAlignment="1">
      <alignment horizontal="center" vertical="center" wrapText="1"/>
    </xf>
    <xf numFmtId="4" fontId="45" fillId="0" borderId="16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/>
    </xf>
    <xf numFmtId="4" fontId="61" fillId="0" borderId="21" xfId="0" applyNumberFormat="1" applyFont="1" applyFill="1" applyBorder="1" applyAlignment="1">
      <alignment horizontal="center" vertical="center"/>
    </xf>
    <xf numFmtId="4" fontId="43" fillId="7" borderId="16" xfId="0" applyNumberFormat="1" applyFont="1" applyFill="1" applyBorder="1" applyAlignment="1">
      <alignment horizontal="center" vertical="center"/>
    </xf>
    <xf numFmtId="4" fontId="60" fillId="7" borderId="21" xfId="0" applyNumberFormat="1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4" fontId="42" fillId="0" borderId="25" xfId="0" applyNumberFormat="1" applyFont="1" applyFill="1" applyBorder="1" applyAlignment="1">
      <alignment horizontal="center" vertical="center" wrapText="1"/>
    </xf>
    <xf numFmtId="4" fontId="43" fillId="5" borderId="1" xfId="0" applyNumberFormat="1" applyFont="1" applyFill="1" applyBorder="1" applyAlignment="1">
      <alignment horizontal="center" vertical="center"/>
    </xf>
    <xf numFmtId="4" fontId="46" fillId="4" borderId="33" xfId="2" applyNumberFormat="1" applyFont="1" applyFill="1" applyBorder="1" applyAlignment="1">
      <alignment horizontal="center" vertical="center" wrapText="1"/>
    </xf>
    <xf numFmtId="4" fontId="46" fillId="4" borderId="1" xfId="2" applyNumberFormat="1" applyFont="1" applyFill="1" applyBorder="1" applyAlignment="1">
      <alignment horizontal="center" vertical="center" wrapText="1"/>
    </xf>
    <xf numFmtId="0" fontId="42" fillId="0" borderId="2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2" fontId="54" fillId="4" borderId="1" xfId="0" applyNumberFormat="1" applyFont="1" applyFill="1" applyBorder="1" applyAlignment="1">
      <alignment horizontal="center"/>
    </xf>
    <xf numFmtId="2" fontId="54" fillId="3" borderId="1" xfId="0" applyNumberFormat="1" applyFont="1" applyFill="1" applyBorder="1" applyAlignment="1">
      <alignment horizontal="center"/>
    </xf>
    <xf numFmtId="2" fontId="62" fillId="9" borderId="1" xfId="0" applyNumberFormat="1" applyFont="1" applyFill="1" applyBorder="1" applyAlignment="1">
      <alignment horizontal="center"/>
    </xf>
    <xf numFmtId="2" fontId="57" fillId="9" borderId="10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57" fillId="0" borderId="21" xfId="0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2" fontId="57" fillId="0" borderId="24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59" fillId="0" borderId="0" xfId="0" applyFont="1" applyAlignment="1">
      <alignment horizontal="left"/>
    </xf>
    <xf numFmtId="0" fontId="17" fillId="0" borderId="0" xfId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left" vertical="center"/>
    </xf>
    <xf numFmtId="0" fontId="53" fillId="4" borderId="10" xfId="0" applyFont="1" applyFill="1" applyBorder="1" applyAlignment="1">
      <alignment horizontal="left" vertical="center" wrapText="1"/>
    </xf>
    <xf numFmtId="0" fontId="53" fillId="4" borderId="6" xfId="0" applyFont="1" applyFill="1" applyBorder="1" applyAlignment="1">
      <alignment horizontal="left" vertical="center" wrapText="1"/>
    </xf>
    <xf numFmtId="0" fontId="58" fillId="0" borderId="0" xfId="1" applyFont="1" applyFill="1" applyBorder="1" applyAlignment="1">
      <alignment horizontal="center" vertical="center"/>
    </xf>
    <xf numFmtId="0" fontId="49" fillId="0" borderId="20" xfId="0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 wrapText="1"/>
    </xf>
    <xf numFmtId="4" fontId="49" fillId="0" borderId="21" xfId="0" applyNumberFormat="1" applyFont="1" applyFill="1" applyBorder="1" applyAlignment="1">
      <alignment horizontal="center" vertical="center" wrapText="1"/>
    </xf>
    <xf numFmtId="4" fontId="49" fillId="0" borderId="16" xfId="0" applyNumberFormat="1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top"/>
    </xf>
    <xf numFmtId="0" fontId="49" fillId="0" borderId="24" xfId="0" applyFont="1" applyFill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top"/>
    </xf>
    <xf numFmtId="0" fontId="5" fillId="0" borderId="26" xfId="0" applyFont="1" applyFill="1" applyBorder="1" applyAlignment="1">
      <alignment horizontal="center" vertical="top"/>
    </xf>
    <xf numFmtId="0" fontId="5" fillId="0" borderId="27" xfId="0" applyFont="1" applyFill="1" applyBorder="1" applyAlignment="1">
      <alignment horizontal="center" vertical="top"/>
    </xf>
    <xf numFmtId="0" fontId="5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26" fillId="0" borderId="18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</cellXfs>
  <cellStyles count="3">
    <cellStyle name="Обычный" xfId="0" builtinId="0"/>
    <cellStyle name="Обычный_Берлинского" xfId="1" xr:uid="{00000000-0005-0000-0000-000001000000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t/Downloads/&#1044;&#1062;___&#1076;&#1080;&#1079;&#1072;&#1081;&#1085;%20&#1052;&#1054;&#1055;___3,4,5%20&#1087;&#1086;&#1074;____&#1079;&#1072;&#1075;&#1086;&#1090;&#1086;&#1074;&#1082;&#1072;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Ц демонтаж"/>
      <sheetName val="ДЦ загальнобудівельні"/>
      <sheetName val="ДЦ опорядження"/>
      <sheetName val="Обєми"/>
      <sheetName val="Двері"/>
      <sheetName val="Опорядження стін"/>
      <sheetName val="ЕМ"/>
    </sheetNames>
    <sheetDataSet>
      <sheetData sheetId="0" refreshError="1"/>
      <sheetData sheetId="1" refreshError="1"/>
      <sheetData sheetId="2" refreshError="1"/>
      <sheetData sheetId="3" refreshError="1">
        <row r="8">
          <cell r="L8">
            <v>1019.802</v>
          </cell>
        </row>
        <row r="29">
          <cell r="L29">
            <v>56.345680000000002</v>
          </cell>
        </row>
      </sheetData>
      <sheetData sheetId="4" refreshError="1">
        <row r="29">
          <cell r="J29">
            <v>14.965</v>
          </cell>
          <cell r="S29">
            <v>15.047000000000001</v>
          </cell>
        </row>
        <row r="30">
          <cell r="AB30">
            <v>19.474999999999998</v>
          </cell>
        </row>
      </sheetData>
      <sheetData sheetId="5" refreshError="1">
        <row r="5">
          <cell r="Y5">
            <v>615.91</v>
          </cell>
        </row>
        <row r="6">
          <cell r="Y6">
            <v>223.4</v>
          </cell>
        </row>
        <row r="7">
          <cell r="Y7">
            <v>60.68</v>
          </cell>
        </row>
        <row r="8">
          <cell r="Y8">
            <v>191</v>
          </cell>
        </row>
        <row r="9">
          <cell r="Y9">
            <v>11.335000000000001</v>
          </cell>
        </row>
        <row r="10">
          <cell r="Y10">
            <v>1.125</v>
          </cell>
        </row>
        <row r="11">
          <cell r="Y11">
            <v>15.552</v>
          </cell>
        </row>
        <row r="16">
          <cell r="Y16">
            <v>35.6</v>
          </cell>
        </row>
        <row r="17">
          <cell r="Y17">
            <v>35.4</v>
          </cell>
        </row>
        <row r="18">
          <cell r="Y18">
            <v>16.649999999999999</v>
          </cell>
        </row>
        <row r="19">
          <cell r="Y19">
            <v>16.61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U140"/>
  <sheetViews>
    <sheetView tabSelected="1" zoomScale="70" zoomScaleNormal="70" zoomScaleSheetLayoutView="56" workbookViewId="0" xr3:uid="{AEA406A1-0E4B-5B11-9CD5-51D6E497D94C}">
      <pane ySplit="4" topLeftCell="A5" activePane="bottomLeft" state="frozen"/>
      <selection pane="bottomLeft" activeCell="A2" sqref="A2:I2"/>
    </sheetView>
  </sheetViews>
  <sheetFormatPr defaultColWidth="9.16796875" defaultRowHeight="12.75" x14ac:dyDescent="0.15"/>
  <cols>
    <col min="1" max="1" width="8.62890625" style="1" customWidth="1"/>
    <col min="2" max="2" width="58.66015625" style="2" customWidth="1"/>
    <col min="3" max="3" width="13.75390625" style="3" customWidth="1"/>
    <col min="4" max="5" width="16.5859375" style="252" customWidth="1"/>
    <col min="6" max="6" width="15.91015625" style="252" customWidth="1"/>
    <col min="7" max="7" width="33.98046875" style="3" bestFit="1" customWidth="1"/>
    <col min="8" max="8" width="17.2578125" style="252" customWidth="1"/>
    <col min="9" max="9" width="19.01171875" style="252" customWidth="1"/>
    <col min="10" max="224" width="9.16796875" style="1" customWidth="1"/>
    <col min="225" max="225" width="4.1796875" style="1" customWidth="1"/>
    <col min="226" max="226" width="37.21875" style="1" customWidth="1"/>
    <col min="227" max="227" width="5.12109375" style="1" customWidth="1"/>
    <col min="228" max="228" width="6.60546875" style="1" customWidth="1"/>
    <col min="229" max="16384" width="9.16796875" style="1"/>
  </cols>
  <sheetData>
    <row r="1" spans="1:229" ht="17.25" customHeight="1" x14ac:dyDescent="0.2">
      <c r="A1" s="461"/>
      <c r="B1" s="461"/>
      <c r="C1" s="461"/>
      <c r="D1" s="461"/>
      <c r="E1" s="461"/>
      <c r="F1" s="461"/>
      <c r="G1" s="462"/>
      <c r="H1" s="462"/>
      <c r="I1" s="462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</row>
    <row r="2" spans="1:229" s="18" customFormat="1" ht="17.25" customHeight="1" x14ac:dyDescent="0.15">
      <c r="A2" s="463" t="s">
        <v>309</v>
      </c>
      <c r="B2" s="463"/>
      <c r="C2" s="463"/>
      <c r="D2" s="463"/>
      <c r="E2" s="463"/>
      <c r="F2" s="463"/>
      <c r="G2" s="463"/>
      <c r="H2" s="463"/>
      <c r="I2" s="463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</row>
    <row r="3" spans="1:229" s="18" customFormat="1" ht="17.25" customHeight="1" thickBot="1" x14ac:dyDescent="0.2">
      <c r="A3" s="463" t="s">
        <v>312</v>
      </c>
      <c r="B3" s="463"/>
      <c r="C3" s="463"/>
      <c r="D3" s="463"/>
      <c r="E3" s="463"/>
      <c r="F3" s="463"/>
      <c r="G3" s="463"/>
      <c r="H3" s="463"/>
      <c r="I3" s="463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</row>
    <row r="4" spans="1:229" s="351" customFormat="1" ht="55.5" customHeight="1" x14ac:dyDescent="0.15">
      <c r="A4" s="441" t="s">
        <v>1</v>
      </c>
      <c r="B4" s="442" t="s">
        <v>13</v>
      </c>
      <c r="C4" s="442" t="s">
        <v>14</v>
      </c>
      <c r="D4" s="444" t="s">
        <v>15</v>
      </c>
      <c r="E4" s="425" t="s">
        <v>313</v>
      </c>
      <c r="F4" s="440" t="s">
        <v>28</v>
      </c>
      <c r="G4" s="448" t="s">
        <v>168</v>
      </c>
      <c r="H4" s="443" t="s">
        <v>14</v>
      </c>
      <c r="I4" s="254" t="s">
        <v>15</v>
      </c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  <c r="BE4" s="449"/>
      <c r="BF4" s="449"/>
      <c r="BG4" s="449"/>
      <c r="BH4" s="449"/>
      <c r="BI4" s="449"/>
      <c r="BJ4" s="449"/>
      <c r="BK4" s="449"/>
      <c r="BL4" s="449"/>
      <c r="BM4" s="449"/>
      <c r="BN4" s="449"/>
      <c r="BO4" s="449"/>
      <c r="BP4" s="449"/>
      <c r="BQ4" s="449"/>
      <c r="BR4" s="449"/>
      <c r="BS4" s="449"/>
      <c r="BT4" s="449"/>
      <c r="BU4" s="449"/>
      <c r="BV4" s="449"/>
      <c r="BW4" s="449"/>
      <c r="BX4" s="449"/>
      <c r="BY4" s="449"/>
      <c r="BZ4" s="449"/>
      <c r="CA4" s="449"/>
      <c r="CB4" s="449"/>
      <c r="CC4" s="449"/>
      <c r="CD4" s="449"/>
      <c r="CE4" s="449"/>
      <c r="CF4" s="449"/>
      <c r="CG4" s="449"/>
      <c r="CH4" s="449"/>
      <c r="CI4" s="449"/>
      <c r="CJ4" s="449"/>
      <c r="CK4" s="449"/>
      <c r="CL4" s="449"/>
      <c r="CM4" s="449"/>
      <c r="CN4" s="449"/>
      <c r="CO4" s="449"/>
      <c r="CP4" s="449"/>
      <c r="CQ4" s="449"/>
      <c r="CR4" s="449"/>
      <c r="CS4" s="449"/>
      <c r="CT4" s="449"/>
      <c r="CU4" s="449"/>
      <c r="CV4" s="449"/>
      <c r="CW4" s="449"/>
      <c r="CX4" s="449"/>
      <c r="CY4" s="449"/>
      <c r="CZ4" s="449"/>
      <c r="DA4" s="449"/>
      <c r="DB4" s="449"/>
      <c r="DC4" s="449"/>
      <c r="DD4" s="449"/>
      <c r="DE4" s="449"/>
      <c r="DF4" s="449"/>
      <c r="DG4" s="449"/>
      <c r="DH4" s="449"/>
      <c r="DI4" s="449"/>
      <c r="DJ4" s="449"/>
      <c r="DK4" s="449"/>
      <c r="DL4" s="449"/>
      <c r="DM4" s="449"/>
      <c r="DN4" s="449"/>
      <c r="DO4" s="449"/>
      <c r="DP4" s="449"/>
      <c r="DQ4" s="449"/>
      <c r="DR4" s="449"/>
      <c r="DS4" s="449"/>
      <c r="DT4" s="449"/>
      <c r="DU4" s="449"/>
      <c r="DV4" s="449"/>
      <c r="DW4" s="449"/>
      <c r="DX4" s="449"/>
      <c r="DY4" s="449"/>
      <c r="DZ4" s="449"/>
      <c r="EA4" s="449"/>
      <c r="EB4" s="449"/>
      <c r="EC4" s="449"/>
      <c r="ED4" s="449"/>
      <c r="EE4" s="449"/>
      <c r="EF4" s="449"/>
      <c r="EG4" s="449"/>
      <c r="EH4" s="449"/>
      <c r="EI4" s="449"/>
      <c r="EJ4" s="449"/>
      <c r="EK4" s="449"/>
      <c r="EL4" s="449"/>
      <c r="EM4" s="449"/>
      <c r="EN4" s="449"/>
      <c r="EO4" s="449"/>
      <c r="EP4" s="449"/>
      <c r="EQ4" s="449"/>
      <c r="ER4" s="449"/>
      <c r="ES4" s="449"/>
      <c r="ET4" s="449"/>
      <c r="EU4" s="449"/>
      <c r="EV4" s="449"/>
      <c r="EW4" s="449"/>
      <c r="EX4" s="449"/>
      <c r="EY4" s="449"/>
      <c r="EZ4" s="449"/>
      <c r="FA4" s="449"/>
      <c r="FB4" s="449"/>
      <c r="FC4" s="449"/>
      <c r="FD4" s="449"/>
      <c r="FE4" s="449"/>
      <c r="FF4" s="449"/>
      <c r="FG4" s="449"/>
      <c r="FH4" s="449"/>
      <c r="FI4" s="449"/>
      <c r="FJ4" s="449"/>
      <c r="FK4" s="449"/>
      <c r="FL4" s="449"/>
      <c r="FM4" s="449"/>
      <c r="FN4" s="449"/>
      <c r="FO4" s="449"/>
      <c r="FP4" s="449"/>
      <c r="FQ4" s="449"/>
      <c r="FR4" s="449"/>
      <c r="FS4" s="449"/>
      <c r="FT4" s="449"/>
      <c r="FU4" s="449"/>
      <c r="FV4" s="449"/>
      <c r="FW4" s="449"/>
      <c r="FX4" s="449"/>
      <c r="FY4" s="449"/>
      <c r="FZ4" s="449"/>
      <c r="GA4" s="449"/>
      <c r="GB4" s="449"/>
      <c r="GC4" s="449"/>
      <c r="GD4" s="449"/>
      <c r="GE4" s="449"/>
      <c r="GF4" s="449"/>
      <c r="GG4" s="449"/>
      <c r="GH4" s="449"/>
      <c r="GI4" s="449"/>
      <c r="GJ4" s="449"/>
      <c r="GK4" s="449"/>
      <c r="GL4" s="449"/>
      <c r="GM4" s="449"/>
      <c r="GN4" s="449"/>
      <c r="GO4" s="449"/>
      <c r="GP4" s="449"/>
      <c r="GQ4" s="449"/>
      <c r="GR4" s="449"/>
      <c r="GS4" s="449"/>
      <c r="GT4" s="449"/>
      <c r="GU4" s="449"/>
      <c r="GV4" s="449"/>
      <c r="GW4" s="449"/>
      <c r="GX4" s="449"/>
      <c r="GY4" s="449"/>
      <c r="GZ4" s="449"/>
      <c r="HA4" s="449"/>
      <c r="HB4" s="449"/>
      <c r="HC4" s="449"/>
      <c r="HD4" s="449"/>
      <c r="HE4" s="449"/>
      <c r="HF4" s="449"/>
      <c r="HG4" s="449"/>
      <c r="HH4" s="449"/>
      <c r="HI4" s="449"/>
      <c r="HJ4" s="449"/>
      <c r="HK4" s="449"/>
      <c r="HL4" s="449"/>
      <c r="HM4" s="449"/>
      <c r="HN4" s="449"/>
      <c r="HO4" s="449"/>
      <c r="HP4" s="449"/>
      <c r="HQ4" s="449"/>
      <c r="HR4" s="449"/>
      <c r="HS4" s="449"/>
      <c r="HT4" s="449"/>
      <c r="HU4" s="449"/>
    </row>
    <row r="5" spans="1:229" ht="14.25" x14ac:dyDescent="0.15">
      <c r="A5" s="255"/>
      <c r="B5" s="256" t="s">
        <v>176</v>
      </c>
      <c r="C5" s="257"/>
      <c r="D5" s="258"/>
      <c r="E5" s="258"/>
      <c r="F5" s="432"/>
      <c r="G5" s="259"/>
      <c r="H5" s="260"/>
      <c r="I5" s="261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</row>
    <row r="6" spans="1:229" ht="28.5" x14ac:dyDescent="0.15">
      <c r="A6" s="264">
        <v>1</v>
      </c>
      <c r="B6" s="271" t="s">
        <v>232</v>
      </c>
      <c r="C6" s="266" t="s">
        <v>173</v>
      </c>
      <c r="D6" s="275">
        <f>((2.125*3.38)+(2.125*4.45))*0.25</f>
        <v>4.1596875000000004</v>
      </c>
      <c r="E6" s="275">
        <v>150</v>
      </c>
      <c r="F6" s="431">
        <f>D6*E6</f>
        <v>623.95312500000011</v>
      </c>
      <c r="G6" s="269"/>
      <c r="H6" s="263"/>
      <c r="I6" s="26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</row>
    <row r="7" spans="1:229" ht="28.5" x14ac:dyDescent="0.15">
      <c r="A7" s="264">
        <v>2</v>
      </c>
      <c r="B7" s="271" t="s">
        <v>235</v>
      </c>
      <c r="C7" s="266" t="s">
        <v>121</v>
      </c>
      <c r="D7" s="275">
        <v>2</v>
      </c>
      <c r="E7" s="275">
        <v>50</v>
      </c>
      <c r="F7" s="431">
        <f t="shared" ref="F7:F65" si="0">D7*E7</f>
        <v>100</v>
      </c>
      <c r="G7" s="318" t="s">
        <v>233</v>
      </c>
      <c r="H7" s="254" t="s">
        <v>67</v>
      </c>
      <c r="I7" s="254">
        <v>0.2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</row>
    <row r="8" spans="1:229" ht="14.25" x14ac:dyDescent="0.15">
      <c r="A8" s="264"/>
      <c r="B8" s="271"/>
      <c r="C8" s="266"/>
      <c r="D8" s="275"/>
      <c r="E8" s="275"/>
      <c r="F8" s="431"/>
      <c r="G8" s="318" t="s">
        <v>175</v>
      </c>
      <c r="H8" s="254" t="s">
        <v>173</v>
      </c>
      <c r="I8" s="254">
        <v>0.5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</row>
    <row r="9" spans="1:229" ht="28.5" x14ac:dyDescent="0.15">
      <c r="A9" s="264"/>
      <c r="B9" s="271"/>
      <c r="C9" s="266"/>
      <c r="D9" s="275"/>
      <c r="E9" s="275"/>
      <c r="F9" s="431"/>
      <c r="G9" s="269" t="s">
        <v>174</v>
      </c>
      <c r="H9" s="263" t="s">
        <v>2</v>
      </c>
      <c r="I9" s="263">
        <v>125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</row>
    <row r="10" spans="1:229" ht="14.25" x14ac:dyDescent="0.15">
      <c r="A10" s="264"/>
      <c r="B10" s="271"/>
      <c r="C10" s="273"/>
      <c r="D10" s="275"/>
      <c r="E10" s="275"/>
      <c r="F10" s="431"/>
      <c r="G10" s="269" t="s">
        <v>234</v>
      </c>
      <c r="H10" s="263" t="s">
        <v>2</v>
      </c>
      <c r="I10" s="263">
        <v>3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</row>
    <row r="11" spans="1:229" ht="14.25" x14ac:dyDescent="0.15">
      <c r="A11" s="276"/>
      <c r="B11" s="277" t="s">
        <v>27</v>
      </c>
      <c r="C11" s="277"/>
      <c r="D11" s="278"/>
      <c r="E11" s="278"/>
      <c r="F11" s="445">
        <f>SUM(F6:F10)</f>
        <v>723.95312500000011</v>
      </c>
      <c r="G11" s="280"/>
      <c r="H11" s="279"/>
      <c r="I11" s="279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</row>
    <row r="12" spans="1:229" ht="14.25" x14ac:dyDescent="0.15">
      <c r="A12" s="255"/>
      <c r="B12" s="256" t="s">
        <v>182</v>
      </c>
      <c r="C12" s="257"/>
      <c r="D12" s="258"/>
      <c r="E12" s="258"/>
      <c r="F12" s="432"/>
      <c r="G12" s="259"/>
      <c r="H12" s="260"/>
      <c r="I12" s="261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</row>
    <row r="13" spans="1:229" ht="14.25" x14ac:dyDescent="0.15">
      <c r="A13" s="429"/>
      <c r="B13" s="430" t="s">
        <v>177</v>
      </c>
      <c r="C13" s="430"/>
      <c r="D13" s="293"/>
      <c r="E13" s="293"/>
      <c r="F13" s="431"/>
      <c r="G13" s="430"/>
      <c r="H13" s="262"/>
      <c r="I13" s="26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</row>
    <row r="14" spans="1:229" ht="28.5" x14ac:dyDescent="0.15">
      <c r="A14" s="288">
        <v>1</v>
      </c>
      <c r="B14" s="297" t="s">
        <v>178</v>
      </c>
      <c r="C14" s="290" t="s">
        <v>62</v>
      </c>
      <c r="D14" s="284">
        <f>14.69+1.8+3.58</f>
        <v>20.07</v>
      </c>
      <c r="E14" s="284">
        <v>60</v>
      </c>
      <c r="F14" s="431">
        <f t="shared" si="0"/>
        <v>1204.2</v>
      </c>
      <c r="G14" s="274" t="s">
        <v>164</v>
      </c>
      <c r="H14" s="294" t="s">
        <v>0</v>
      </c>
      <c r="I14" s="263">
        <f>(0.45+0.125+0.25+0.125+0.25+0.125+0.25+0.125+0.37+0.45)*D14*1.1</f>
        <v>55.634040000000006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</row>
    <row r="15" spans="1:229" ht="28.5" x14ac:dyDescent="0.15">
      <c r="A15" s="288"/>
      <c r="B15" s="289"/>
      <c r="C15" s="290"/>
      <c r="D15" s="284"/>
      <c r="E15" s="284"/>
      <c r="F15" s="431"/>
      <c r="G15" s="274" t="s">
        <v>31</v>
      </c>
      <c r="H15" s="262" t="s">
        <v>5</v>
      </c>
      <c r="I15" s="263">
        <f>D14*12*1.1</f>
        <v>264.92400000000004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</row>
    <row r="16" spans="1:229" ht="14.25" x14ac:dyDescent="0.15">
      <c r="A16" s="288"/>
      <c r="B16" s="289"/>
      <c r="C16" s="290"/>
      <c r="D16" s="284"/>
      <c r="E16" s="284"/>
      <c r="F16" s="431"/>
      <c r="G16" s="274" t="s">
        <v>179</v>
      </c>
      <c r="H16" s="262" t="s">
        <v>5</v>
      </c>
      <c r="I16" s="263">
        <f>D14/0.4*0.6*1.1</f>
        <v>33.115499999999997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</row>
    <row r="17" spans="1:229" ht="14.25" x14ac:dyDescent="0.15">
      <c r="A17" s="288"/>
      <c r="B17" s="289"/>
      <c r="C17" s="290"/>
      <c r="D17" s="284"/>
      <c r="E17" s="284"/>
      <c r="F17" s="431"/>
      <c r="G17" s="321" t="s">
        <v>33</v>
      </c>
      <c r="H17" s="320" t="s">
        <v>7</v>
      </c>
      <c r="I17" s="263">
        <f>D14*20</f>
        <v>401.4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</row>
    <row r="18" spans="1:229" ht="14.25" x14ac:dyDescent="0.15">
      <c r="A18" s="288"/>
      <c r="B18" s="289"/>
      <c r="C18" s="290"/>
      <c r="D18" s="284"/>
      <c r="E18" s="284"/>
      <c r="F18" s="431"/>
      <c r="G18" s="322" t="s">
        <v>34</v>
      </c>
      <c r="H18" s="320" t="s">
        <v>7</v>
      </c>
      <c r="I18" s="263">
        <f>D14*8</f>
        <v>160.56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</row>
    <row r="19" spans="1:229" ht="14.25" x14ac:dyDescent="0.15">
      <c r="A19" s="288"/>
      <c r="B19" s="289"/>
      <c r="C19" s="290"/>
      <c r="D19" s="284"/>
      <c r="E19" s="284"/>
      <c r="F19" s="431"/>
      <c r="G19" s="274" t="s">
        <v>36</v>
      </c>
      <c r="H19" s="262" t="s">
        <v>5</v>
      </c>
      <c r="I19" s="263">
        <f>D14*2.05</f>
        <v>41.143499999999996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</row>
    <row r="20" spans="1:229" ht="14.25" x14ac:dyDescent="0.15">
      <c r="A20" s="311"/>
      <c r="B20" s="310"/>
      <c r="C20" s="312"/>
      <c r="D20" s="313"/>
      <c r="E20" s="313"/>
      <c r="F20" s="431"/>
      <c r="G20" s="314" t="s">
        <v>63</v>
      </c>
      <c r="H20" s="315" t="s">
        <v>2</v>
      </c>
      <c r="I20" s="316">
        <f>0.35*D14</f>
        <v>7.0244999999999997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</row>
    <row r="21" spans="1:229" ht="28.5" x14ac:dyDescent="0.15">
      <c r="A21" s="264">
        <v>2</v>
      </c>
      <c r="B21" s="346" t="s">
        <v>184</v>
      </c>
      <c r="C21" s="262" t="s">
        <v>62</v>
      </c>
      <c r="D21" s="263">
        <f>20.07*2</f>
        <v>40.14</v>
      </c>
      <c r="E21" s="268">
        <v>4</v>
      </c>
      <c r="F21" s="431">
        <f t="shared" si="0"/>
        <v>160.56</v>
      </c>
      <c r="G21" s="274" t="s">
        <v>8</v>
      </c>
      <c r="H21" s="262" t="s">
        <v>3</v>
      </c>
      <c r="I21" s="263">
        <f>(0.45+0.125+0.25+0.125+0.25+0.125+0.25+0.125+0.37+0.45)*14.69*0.2</f>
        <v>7.4037600000000001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</row>
    <row r="22" spans="1:229" ht="56.25" x14ac:dyDescent="0.15">
      <c r="A22" s="291">
        <v>3</v>
      </c>
      <c r="B22" s="326" t="s">
        <v>188</v>
      </c>
      <c r="C22" s="266" t="s">
        <v>62</v>
      </c>
      <c r="D22" s="275">
        <f>20.07*2</f>
        <v>40.14</v>
      </c>
      <c r="E22" s="267">
        <v>180</v>
      </c>
      <c r="F22" s="431">
        <f t="shared" si="0"/>
        <v>7225.2</v>
      </c>
      <c r="G22" s="329" t="s">
        <v>180</v>
      </c>
      <c r="H22" s="332" t="s">
        <v>0</v>
      </c>
      <c r="I22" s="332">
        <f>(0.45+0.125+0.25+0.125+0.25+0.125+0.25+0.125+0.37+0.45)*3.8*1.1</f>
        <v>10.5336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</row>
    <row r="23" spans="1:229" ht="28.5" x14ac:dyDescent="0.15">
      <c r="A23" s="291"/>
      <c r="B23" s="326"/>
      <c r="C23" s="266"/>
      <c r="D23" s="275"/>
      <c r="E23" s="267"/>
      <c r="F23" s="431"/>
      <c r="G23" s="328" t="s">
        <v>181</v>
      </c>
      <c r="H23" s="327" t="s">
        <v>2</v>
      </c>
      <c r="I23" s="327">
        <f>(0.45+0.125+0.25+0.125+0.25+0.125+0.25+0.125+0.37+0.45)*3.8*6</f>
        <v>57.455999999999989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</row>
    <row r="24" spans="1:229" ht="14.25" x14ac:dyDescent="0.15">
      <c r="A24" s="429"/>
      <c r="B24" s="430" t="s">
        <v>183</v>
      </c>
      <c r="C24" s="430"/>
      <c r="D24" s="293"/>
      <c r="E24" s="284"/>
      <c r="F24" s="431"/>
      <c r="G24" s="430"/>
      <c r="H24" s="262"/>
      <c r="I24" s="26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</row>
    <row r="25" spans="1:229" ht="15" customHeight="1" x14ac:dyDescent="0.15">
      <c r="A25" s="264">
        <v>4</v>
      </c>
      <c r="B25" s="271" t="s">
        <v>170</v>
      </c>
      <c r="C25" s="266" t="s">
        <v>0</v>
      </c>
      <c r="D25" s="275">
        <f>201.44+60+37.02</f>
        <v>298.45999999999998</v>
      </c>
      <c r="E25" s="267">
        <v>5</v>
      </c>
      <c r="F25" s="431">
        <f t="shared" si="0"/>
        <v>1492.3</v>
      </c>
      <c r="G25" s="269" t="s">
        <v>8</v>
      </c>
      <c r="H25" s="263" t="s">
        <v>3</v>
      </c>
      <c r="I25" s="263">
        <f>D25*0.15</f>
        <v>44.768999999999998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</row>
    <row r="26" spans="1:229" ht="28.5" x14ac:dyDescent="0.15">
      <c r="A26" s="264">
        <v>5</v>
      </c>
      <c r="B26" s="271" t="s">
        <v>236</v>
      </c>
      <c r="C26" s="331" t="s">
        <v>0</v>
      </c>
      <c r="D26" s="275">
        <f>201.44+60+37.02</f>
        <v>298.45999999999998</v>
      </c>
      <c r="E26" s="267">
        <v>80</v>
      </c>
      <c r="F26" s="431"/>
      <c r="G26" s="269" t="s">
        <v>198</v>
      </c>
      <c r="H26" s="263" t="s">
        <v>2</v>
      </c>
      <c r="I26" s="263">
        <f>D26*0.85*20</f>
        <v>5073.82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</row>
    <row r="27" spans="1:229" ht="14.25" x14ac:dyDescent="0.15">
      <c r="A27" s="264"/>
      <c r="B27" s="265"/>
      <c r="C27" s="270"/>
      <c r="D27" s="284"/>
      <c r="E27" s="284"/>
      <c r="F27" s="431"/>
      <c r="G27" s="272" t="s">
        <v>48</v>
      </c>
      <c r="H27" s="263" t="s">
        <v>5</v>
      </c>
      <c r="I27" s="263">
        <f>D26*1.2</f>
        <v>358.15199999999999</v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</row>
    <row r="28" spans="1:229" ht="28.5" x14ac:dyDescent="0.15">
      <c r="A28" s="264">
        <v>6</v>
      </c>
      <c r="B28" s="271" t="s">
        <v>185</v>
      </c>
      <c r="C28" s="266" t="s">
        <v>0</v>
      </c>
      <c r="D28" s="275">
        <f>201.44+60</f>
        <v>261.44</v>
      </c>
      <c r="E28" s="267">
        <v>4</v>
      </c>
      <c r="F28" s="431">
        <f t="shared" si="0"/>
        <v>1045.76</v>
      </c>
      <c r="G28" s="269" t="s">
        <v>8</v>
      </c>
      <c r="H28" s="263" t="s">
        <v>3</v>
      </c>
      <c r="I28" s="263">
        <f>D28*0.15</f>
        <v>39.216000000000001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</row>
    <row r="29" spans="1:229" ht="56.25" x14ac:dyDescent="0.15">
      <c r="A29" s="291">
        <v>7</v>
      </c>
      <c r="B29" s="326" t="s">
        <v>186</v>
      </c>
      <c r="C29" s="266" t="s">
        <v>0</v>
      </c>
      <c r="D29" s="275">
        <v>60</v>
      </c>
      <c r="E29" s="267">
        <v>180</v>
      </c>
      <c r="F29" s="431">
        <f t="shared" si="0"/>
        <v>10800</v>
      </c>
      <c r="G29" s="329" t="s">
        <v>187</v>
      </c>
      <c r="H29" s="332" t="s">
        <v>0</v>
      </c>
      <c r="I29" s="332">
        <f>D29*1.1</f>
        <v>66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</row>
    <row r="30" spans="1:229" ht="28.5" x14ac:dyDescent="0.15">
      <c r="A30" s="291"/>
      <c r="B30" s="326"/>
      <c r="C30" s="266"/>
      <c r="D30" s="275"/>
      <c r="E30" s="267"/>
      <c r="F30" s="431">
        <f t="shared" si="0"/>
        <v>0</v>
      </c>
      <c r="G30" s="328" t="s">
        <v>181</v>
      </c>
      <c r="H30" s="327" t="s">
        <v>2</v>
      </c>
      <c r="I30" s="327">
        <f>D29*6</f>
        <v>360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</row>
    <row r="31" spans="1:229" ht="14.25" x14ac:dyDescent="0.15">
      <c r="A31" s="291"/>
      <c r="B31" s="326"/>
      <c r="C31" s="266"/>
      <c r="D31" s="275"/>
      <c r="E31" s="275"/>
      <c r="F31" s="431">
        <f t="shared" si="0"/>
        <v>0</v>
      </c>
      <c r="G31" s="271" t="s">
        <v>64</v>
      </c>
      <c r="H31" s="262" t="s">
        <v>2</v>
      </c>
      <c r="I31" s="263">
        <f>D29*0.25</f>
        <v>15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</row>
    <row r="32" spans="1:229" ht="56.25" x14ac:dyDescent="0.15">
      <c r="A32" s="291">
        <v>8</v>
      </c>
      <c r="B32" s="326" t="s">
        <v>189</v>
      </c>
      <c r="C32" s="266" t="s">
        <v>0</v>
      </c>
      <c r="D32" s="275">
        <f>285-9.58-30</f>
        <v>245.42000000000002</v>
      </c>
      <c r="E32" s="275">
        <v>200</v>
      </c>
      <c r="F32" s="431">
        <f t="shared" si="0"/>
        <v>49084</v>
      </c>
      <c r="G32" s="329" t="s">
        <v>180</v>
      </c>
      <c r="H32" s="332" t="s">
        <v>0</v>
      </c>
      <c r="I32" s="332">
        <f>D32*1.1</f>
        <v>269.96200000000005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</row>
    <row r="33" spans="1:229" ht="28.5" x14ac:dyDescent="0.15">
      <c r="A33" s="291"/>
      <c r="B33" s="326"/>
      <c r="C33" s="266"/>
      <c r="D33" s="275"/>
      <c r="E33" s="275"/>
      <c r="F33" s="431">
        <f t="shared" si="0"/>
        <v>0</v>
      </c>
      <c r="G33" s="328" t="s">
        <v>181</v>
      </c>
      <c r="H33" s="327" t="s">
        <v>2</v>
      </c>
      <c r="I33" s="327">
        <f>D32*6</f>
        <v>1472.52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</row>
    <row r="34" spans="1:229" ht="14.25" x14ac:dyDescent="0.15">
      <c r="A34" s="291"/>
      <c r="B34" s="326"/>
      <c r="C34" s="266"/>
      <c r="D34" s="275"/>
      <c r="E34" s="275"/>
      <c r="F34" s="431">
        <f t="shared" si="0"/>
        <v>0</v>
      </c>
      <c r="G34" s="271" t="s">
        <v>64</v>
      </c>
      <c r="H34" s="262" t="s">
        <v>2</v>
      </c>
      <c r="I34" s="263">
        <f>D32*0.25</f>
        <v>61.355000000000004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</row>
    <row r="35" spans="1:229" ht="56.25" x14ac:dyDescent="0.15">
      <c r="A35" s="291">
        <v>9</v>
      </c>
      <c r="B35" s="326" t="s">
        <v>193</v>
      </c>
      <c r="C35" s="266" t="s">
        <v>62</v>
      </c>
      <c r="D35" s="275">
        <v>337</v>
      </c>
      <c r="E35" s="275">
        <v>10</v>
      </c>
      <c r="F35" s="431">
        <f t="shared" si="0"/>
        <v>3370</v>
      </c>
      <c r="G35" s="318" t="s">
        <v>194</v>
      </c>
      <c r="H35" s="254" t="s">
        <v>62</v>
      </c>
      <c r="I35" s="254">
        <f>D35*1.05</f>
        <v>353.85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</row>
    <row r="36" spans="1:229" ht="42" x14ac:dyDescent="0.15">
      <c r="A36" s="291"/>
      <c r="B36" s="326"/>
      <c r="C36" s="333"/>
      <c r="D36" s="275"/>
      <c r="E36" s="275"/>
      <c r="F36" s="431"/>
      <c r="G36" s="271" t="s">
        <v>86</v>
      </c>
      <c r="H36" s="262" t="s">
        <v>7</v>
      </c>
      <c r="I36" s="263">
        <v>15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</row>
    <row r="37" spans="1:229" ht="14.25" x14ac:dyDescent="0.15">
      <c r="A37" s="429"/>
      <c r="B37" s="430" t="s">
        <v>197</v>
      </c>
      <c r="C37" s="430"/>
      <c r="D37" s="293"/>
      <c r="E37" s="293"/>
      <c r="F37" s="431"/>
      <c r="G37" s="430"/>
      <c r="H37" s="262"/>
      <c r="I37" s="26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</row>
    <row r="38" spans="1:229" ht="28.5" x14ac:dyDescent="0.15">
      <c r="A38" s="291">
        <v>11</v>
      </c>
      <c r="B38" s="330" t="s">
        <v>195</v>
      </c>
      <c r="C38" s="331" t="s">
        <v>62</v>
      </c>
      <c r="D38" s="275">
        <f>(14.69+1.8)*4*2</f>
        <v>131.91999999999999</v>
      </c>
      <c r="E38" s="275">
        <v>4</v>
      </c>
      <c r="F38" s="431">
        <f t="shared" si="0"/>
        <v>527.67999999999995</v>
      </c>
      <c r="G38" s="321" t="s">
        <v>8</v>
      </c>
      <c r="H38" s="292" t="s">
        <v>3</v>
      </c>
      <c r="I38" s="327">
        <f>(0.45+0.125+0.25+0.125+0.25+0.125+0.25+0.125+0.37+0.45)*14.69*0.2</f>
        <v>7.4037600000000001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</row>
    <row r="39" spans="1:229" ht="56.25" x14ac:dyDescent="0.15">
      <c r="A39" s="291">
        <v>12</v>
      </c>
      <c r="B39" s="326" t="s">
        <v>196</v>
      </c>
      <c r="C39" s="266" t="s">
        <v>62</v>
      </c>
      <c r="D39" s="275">
        <f>(14.69+1.8)*4*2</f>
        <v>131.91999999999999</v>
      </c>
      <c r="E39" s="275">
        <v>210</v>
      </c>
      <c r="F39" s="431">
        <f t="shared" si="0"/>
        <v>27703.199999999997</v>
      </c>
      <c r="G39" s="329" t="s">
        <v>206</v>
      </c>
      <c r="H39" s="332" t="s">
        <v>121</v>
      </c>
      <c r="I39" s="332">
        <f>65+86</f>
        <v>151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</row>
    <row r="40" spans="1:229" ht="56.25" x14ac:dyDescent="0.15">
      <c r="A40" s="291"/>
      <c r="B40" s="326"/>
      <c r="C40" s="266"/>
      <c r="D40" s="275"/>
      <c r="E40" s="275"/>
      <c r="F40" s="431">
        <f t="shared" si="0"/>
        <v>0</v>
      </c>
      <c r="G40" s="329" t="s">
        <v>207</v>
      </c>
      <c r="H40" s="332" t="s">
        <v>121</v>
      </c>
      <c r="I40" s="332">
        <f>75+70</f>
        <v>145</v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</row>
    <row r="41" spans="1:229" ht="56.25" x14ac:dyDescent="0.15">
      <c r="A41" s="291"/>
      <c r="B41" s="326"/>
      <c r="C41" s="266"/>
      <c r="D41" s="275"/>
      <c r="E41" s="275"/>
      <c r="F41" s="431"/>
      <c r="G41" s="329" t="s">
        <v>208</v>
      </c>
      <c r="H41" s="332" t="s">
        <v>121</v>
      </c>
      <c r="I41" s="332">
        <f>158+170</f>
        <v>328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</row>
    <row r="42" spans="1:229" ht="42" x14ac:dyDescent="0.15">
      <c r="A42" s="291"/>
      <c r="B42" s="326"/>
      <c r="C42" s="266"/>
      <c r="D42" s="275"/>
      <c r="E42" s="275"/>
      <c r="F42" s="431"/>
      <c r="G42" s="329" t="s">
        <v>205</v>
      </c>
      <c r="H42" s="332" t="s">
        <v>121</v>
      </c>
      <c r="I42" s="332">
        <f>85+68</f>
        <v>153</v>
      </c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</row>
    <row r="43" spans="1:229" ht="14.25" x14ac:dyDescent="0.15">
      <c r="A43" s="291"/>
      <c r="B43" s="326"/>
      <c r="C43" s="266"/>
      <c r="D43" s="275"/>
      <c r="E43" s="275"/>
      <c r="F43" s="431"/>
      <c r="G43" s="271" t="s">
        <v>64</v>
      </c>
      <c r="H43" s="262" t="s">
        <v>2</v>
      </c>
      <c r="I43" s="263">
        <f>D39*0.15</f>
        <v>19.787999999999997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</row>
    <row r="44" spans="1:229" ht="28.5" x14ac:dyDescent="0.15">
      <c r="A44" s="291"/>
      <c r="B44" s="326"/>
      <c r="C44" s="266"/>
      <c r="D44" s="275"/>
      <c r="E44" s="275"/>
      <c r="F44" s="431">
        <f t="shared" si="0"/>
        <v>0</v>
      </c>
      <c r="G44" s="328" t="s">
        <v>181</v>
      </c>
      <c r="H44" s="327" t="s">
        <v>2</v>
      </c>
      <c r="I44" s="327">
        <f>D39*0.64*6</f>
        <v>506.57279999999997</v>
      </c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</row>
    <row r="45" spans="1:229" ht="14.25" x14ac:dyDescent="0.15">
      <c r="A45" s="429"/>
      <c r="B45" s="430" t="s">
        <v>190</v>
      </c>
      <c r="C45" s="430"/>
      <c r="D45" s="293"/>
      <c r="E45" s="293"/>
      <c r="F45" s="431"/>
      <c r="G45" s="430"/>
      <c r="H45" s="262"/>
      <c r="I45" s="26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</row>
    <row r="46" spans="1:229" ht="14.25" x14ac:dyDescent="0.15">
      <c r="A46" s="264">
        <v>13</v>
      </c>
      <c r="B46" s="271" t="s">
        <v>170</v>
      </c>
      <c r="C46" s="331" t="s">
        <v>62</v>
      </c>
      <c r="D46" s="275">
        <f>14.69*2</f>
        <v>29.38</v>
      </c>
      <c r="E46" s="275">
        <v>4</v>
      </c>
      <c r="F46" s="431">
        <f t="shared" si="0"/>
        <v>117.52</v>
      </c>
      <c r="G46" s="269" t="s">
        <v>8</v>
      </c>
      <c r="H46" s="263" t="s">
        <v>3</v>
      </c>
      <c r="I46" s="263">
        <f>D46*0.6*0.15</f>
        <v>2.6442000000000001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</row>
    <row r="47" spans="1:229" ht="28.5" x14ac:dyDescent="0.15">
      <c r="A47" s="264">
        <v>14</v>
      </c>
      <c r="B47" s="271" t="s">
        <v>236</v>
      </c>
      <c r="C47" s="266" t="s">
        <v>62</v>
      </c>
      <c r="D47" s="275">
        <f>14.69*2</f>
        <v>29.38</v>
      </c>
      <c r="E47" s="267">
        <v>60</v>
      </c>
      <c r="F47" s="431"/>
      <c r="G47" s="269" t="s">
        <v>198</v>
      </c>
      <c r="H47" s="263" t="s">
        <v>2</v>
      </c>
      <c r="I47" s="263">
        <f>D47*0.6*0.85*20</f>
        <v>299.67599999999999</v>
      </c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</row>
    <row r="48" spans="1:229" ht="14.25" x14ac:dyDescent="0.15">
      <c r="A48" s="264"/>
      <c r="B48" s="265"/>
      <c r="C48" s="270"/>
      <c r="D48" s="284"/>
      <c r="E48" s="284"/>
      <c r="F48" s="431"/>
      <c r="G48" s="272" t="s">
        <v>48</v>
      </c>
      <c r="H48" s="263" t="s">
        <v>5</v>
      </c>
      <c r="I48" s="263">
        <f>D47*2</f>
        <v>58.76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</row>
    <row r="49" spans="1:229" ht="28.5" x14ac:dyDescent="0.15">
      <c r="A49" s="291">
        <v>15</v>
      </c>
      <c r="B49" s="330" t="s">
        <v>191</v>
      </c>
      <c r="C49" s="331" t="s">
        <v>62</v>
      </c>
      <c r="D49" s="275">
        <f>14.69*2</f>
        <v>29.38</v>
      </c>
      <c r="E49" s="267">
        <v>4</v>
      </c>
      <c r="F49" s="431">
        <f t="shared" si="0"/>
        <v>117.52</v>
      </c>
      <c r="G49" s="321" t="s">
        <v>8</v>
      </c>
      <c r="H49" s="292" t="s">
        <v>3</v>
      </c>
      <c r="I49" s="327">
        <f>(0.45+0.125+0.25+0.125+0.25+0.125+0.25+0.125+0.37+0.45)*14.69*0.2</f>
        <v>7.4037600000000001</v>
      </c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</row>
    <row r="50" spans="1:229" ht="56.25" x14ac:dyDescent="0.15">
      <c r="A50" s="291">
        <v>16</v>
      </c>
      <c r="B50" s="326" t="s">
        <v>192</v>
      </c>
      <c r="C50" s="266" t="s">
        <v>62</v>
      </c>
      <c r="D50" s="275">
        <f>14.69*2</f>
        <v>29.38</v>
      </c>
      <c r="E50" s="275">
        <v>200</v>
      </c>
      <c r="F50" s="431">
        <f t="shared" si="0"/>
        <v>5876</v>
      </c>
      <c r="G50" s="329" t="s">
        <v>180</v>
      </c>
      <c r="H50" s="327" t="s">
        <v>0</v>
      </c>
      <c r="I50" s="327">
        <f>(0.45+0.125+0.25+0.125+0.25+0.125+0.25+0.125+0.37+0.45)*14.69*1.1</f>
        <v>40.720680000000002</v>
      </c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</row>
    <row r="51" spans="1:229" ht="28.5" x14ac:dyDescent="0.15">
      <c r="A51" s="291"/>
      <c r="B51" s="326"/>
      <c r="C51" s="266"/>
      <c r="D51" s="275"/>
      <c r="E51" s="275"/>
      <c r="F51" s="431"/>
      <c r="G51" s="328" t="s">
        <v>181</v>
      </c>
      <c r="H51" s="327" t="s">
        <v>2</v>
      </c>
      <c r="I51" s="327">
        <f>(0.45+0.125+0.25+0.125+0.25+0.125+0.25+0.125+0.37+0.45)*14.69*6</f>
        <v>222.11279999999999</v>
      </c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</row>
    <row r="52" spans="1:229" ht="14.25" x14ac:dyDescent="0.15">
      <c r="A52" s="291"/>
      <c r="B52" s="326"/>
      <c r="C52" s="273"/>
      <c r="D52" s="275"/>
      <c r="E52" s="275"/>
      <c r="F52" s="431"/>
      <c r="G52" s="271" t="s">
        <v>64</v>
      </c>
      <c r="H52" s="262" t="s">
        <v>2</v>
      </c>
      <c r="I52" s="263">
        <f>D50*0.15</f>
        <v>4.407</v>
      </c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</row>
    <row r="53" spans="1:229" ht="14.25" x14ac:dyDescent="0.15">
      <c r="A53" s="276"/>
      <c r="B53" s="277" t="s">
        <v>27</v>
      </c>
      <c r="C53" s="277"/>
      <c r="D53" s="278"/>
      <c r="E53" s="278"/>
      <c r="F53" s="445">
        <f>SUM(F14:F52)</f>
        <v>108723.93999999999</v>
      </c>
      <c r="G53" s="280"/>
      <c r="H53" s="279"/>
      <c r="I53" s="279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</row>
    <row r="54" spans="1:229" ht="14.25" x14ac:dyDescent="0.15">
      <c r="A54" s="281"/>
      <c r="B54" s="282" t="s">
        <v>96</v>
      </c>
      <c r="C54" s="282"/>
      <c r="D54" s="283"/>
      <c r="E54" s="283"/>
      <c r="F54" s="432"/>
      <c r="G54" s="259"/>
      <c r="H54" s="260"/>
      <c r="I54" s="261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</row>
    <row r="55" spans="1:229" ht="28.5" x14ac:dyDescent="0.15">
      <c r="A55" s="264">
        <v>1</v>
      </c>
      <c r="B55" s="265" t="s">
        <v>199</v>
      </c>
      <c r="C55" s="270" t="s">
        <v>0</v>
      </c>
      <c r="D55" s="284">
        <v>55.25</v>
      </c>
      <c r="E55" s="284">
        <v>4</v>
      </c>
      <c r="F55" s="431">
        <f t="shared" si="0"/>
        <v>221</v>
      </c>
      <c r="G55" s="271" t="s">
        <v>161</v>
      </c>
      <c r="H55" s="262" t="s">
        <v>3</v>
      </c>
      <c r="I55" s="263">
        <f>D55*0.15</f>
        <v>8.2874999999999996</v>
      </c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</row>
    <row r="56" spans="1:229" ht="28.5" x14ac:dyDescent="0.15">
      <c r="A56" s="264">
        <v>2</v>
      </c>
      <c r="B56" s="265" t="s">
        <v>201</v>
      </c>
      <c r="C56" s="270" t="s">
        <v>0</v>
      </c>
      <c r="D56" s="284">
        <v>55.25</v>
      </c>
      <c r="E56" s="284">
        <v>150</v>
      </c>
      <c r="F56" s="431">
        <f t="shared" si="0"/>
        <v>8287.5</v>
      </c>
      <c r="G56" s="271" t="s">
        <v>162</v>
      </c>
      <c r="H56" s="262" t="s">
        <v>2</v>
      </c>
      <c r="I56" s="263">
        <f>D56*7</f>
        <v>386.75</v>
      </c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</row>
    <row r="57" spans="1:229" ht="56.25" x14ac:dyDescent="0.15">
      <c r="A57" s="264"/>
      <c r="B57" s="265"/>
      <c r="C57" s="270"/>
      <c r="D57" s="284"/>
      <c r="E57" s="284"/>
      <c r="F57" s="431"/>
      <c r="G57" s="329" t="s">
        <v>202</v>
      </c>
      <c r="H57" s="430" t="s">
        <v>0</v>
      </c>
      <c r="I57" s="254">
        <f>D56*1.1</f>
        <v>60.775000000000006</v>
      </c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</row>
    <row r="58" spans="1:229" ht="14.25" x14ac:dyDescent="0.15">
      <c r="A58" s="264"/>
      <c r="B58" s="265"/>
      <c r="C58" s="270"/>
      <c r="D58" s="284"/>
      <c r="E58" s="284"/>
      <c r="F58" s="431">
        <f t="shared" si="0"/>
        <v>0</v>
      </c>
      <c r="G58" s="271" t="s">
        <v>64</v>
      </c>
      <c r="H58" s="262" t="s">
        <v>2</v>
      </c>
      <c r="I58" s="263">
        <f>D56*0.35</f>
        <v>19.337499999999999</v>
      </c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</row>
    <row r="59" spans="1:229" ht="42" x14ac:dyDescent="0.15">
      <c r="A59" s="264">
        <v>3</v>
      </c>
      <c r="B59" s="265" t="s">
        <v>238</v>
      </c>
      <c r="C59" s="270" t="s">
        <v>62</v>
      </c>
      <c r="D59" s="284">
        <v>189</v>
      </c>
      <c r="E59" s="284">
        <v>4</v>
      </c>
      <c r="F59" s="431">
        <f t="shared" si="0"/>
        <v>756</v>
      </c>
      <c r="G59" s="271" t="s">
        <v>161</v>
      </c>
      <c r="H59" s="262" t="s">
        <v>3</v>
      </c>
      <c r="I59" s="263">
        <f>D59*0.45*0.15</f>
        <v>12.757499999999999</v>
      </c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</row>
    <row r="60" spans="1:229" ht="28.5" x14ac:dyDescent="0.15">
      <c r="A60" s="264">
        <v>4</v>
      </c>
      <c r="B60" s="265" t="s">
        <v>237</v>
      </c>
      <c r="C60" s="270" t="s">
        <v>62</v>
      </c>
      <c r="D60" s="284">
        <v>189</v>
      </c>
      <c r="E60" s="284">
        <v>100</v>
      </c>
      <c r="F60" s="431">
        <f t="shared" si="0"/>
        <v>18900</v>
      </c>
      <c r="G60" s="271" t="s">
        <v>162</v>
      </c>
      <c r="H60" s="262" t="s">
        <v>2</v>
      </c>
      <c r="I60" s="263">
        <f>D60*0.45*7</f>
        <v>595.35</v>
      </c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</row>
    <row r="61" spans="1:229" ht="56.25" x14ac:dyDescent="0.15">
      <c r="A61" s="264"/>
      <c r="B61" s="265"/>
      <c r="C61" s="270"/>
      <c r="D61" s="284"/>
      <c r="E61" s="284"/>
      <c r="F61" s="431">
        <f t="shared" si="0"/>
        <v>0</v>
      </c>
      <c r="G61" s="329" t="s">
        <v>202</v>
      </c>
      <c r="H61" s="430" t="s">
        <v>0</v>
      </c>
      <c r="I61" s="254">
        <f>D60*0.45*1.1</f>
        <v>93.555000000000007</v>
      </c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</row>
    <row r="62" spans="1:229" ht="14.25" x14ac:dyDescent="0.15">
      <c r="A62" s="264"/>
      <c r="B62" s="265"/>
      <c r="C62" s="270"/>
      <c r="D62" s="284"/>
      <c r="E62" s="284"/>
      <c r="F62" s="431"/>
      <c r="G62" s="271" t="s">
        <v>64</v>
      </c>
      <c r="H62" s="262" t="s">
        <v>2</v>
      </c>
      <c r="I62" s="263">
        <f>D59*0.15</f>
        <v>28.349999999999998</v>
      </c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</row>
    <row r="63" spans="1:229" ht="42" x14ac:dyDescent="0.15">
      <c r="A63" s="264">
        <v>5</v>
      </c>
      <c r="B63" s="265" t="s">
        <v>200</v>
      </c>
      <c r="C63" s="270" t="s">
        <v>62</v>
      </c>
      <c r="D63" s="284">
        <v>189</v>
      </c>
      <c r="E63" s="284">
        <v>10</v>
      </c>
      <c r="F63" s="431">
        <f t="shared" si="0"/>
        <v>1890</v>
      </c>
      <c r="G63" s="329" t="s">
        <v>203</v>
      </c>
      <c r="H63" s="430" t="s">
        <v>62</v>
      </c>
      <c r="I63" s="254">
        <f>D63*1.05</f>
        <v>198.45000000000002</v>
      </c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</row>
    <row r="64" spans="1:229" ht="42" x14ac:dyDescent="0.15">
      <c r="A64" s="264"/>
      <c r="B64" s="265"/>
      <c r="C64" s="270"/>
      <c r="D64" s="284"/>
      <c r="E64" s="284"/>
      <c r="F64" s="431">
        <f t="shared" si="0"/>
        <v>0</v>
      </c>
      <c r="G64" s="271" t="s">
        <v>86</v>
      </c>
      <c r="H64" s="262" t="s">
        <v>7</v>
      </c>
      <c r="I64" s="263">
        <v>12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</row>
    <row r="65" spans="1:229" ht="14.25" x14ac:dyDescent="0.15">
      <c r="A65" s="264">
        <v>8</v>
      </c>
      <c r="B65" s="265" t="s">
        <v>113</v>
      </c>
      <c r="C65" s="270" t="s">
        <v>0</v>
      </c>
      <c r="D65" s="284">
        <v>107.24</v>
      </c>
      <c r="E65" s="284">
        <v>10</v>
      </c>
      <c r="F65" s="431">
        <f t="shared" si="0"/>
        <v>1072.3999999999999</v>
      </c>
      <c r="G65" s="271" t="s">
        <v>115</v>
      </c>
      <c r="H65" s="262" t="s">
        <v>7</v>
      </c>
      <c r="I65" s="263">
        <v>0.5</v>
      </c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</row>
    <row r="66" spans="1:229" ht="14.25" x14ac:dyDescent="0.15">
      <c r="A66" s="264"/>
      <c r="B66" s="265"/>
      <c r="C66" s="270"/>
      <c r="D66" s="284"/>
      <c r="E66" s="284"/>
      <c r="F66" s="431"/>
      <c r="G66" s="271" t="s">
        <v>114</v>
      </c>
      <c r="H66" s="262" t="s">
        <v>7</v>
      </c>
      <c r="I66" s="263">
        <v>1</v>
      </c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</row>
    <row r="67" spans="1:229" ht="14.25" x14ac:dyDescent="0.15">
      <c r="A67" s="276"/>
      <c r="B67" s="277" t="s">
        <v>27</v>
      </c>
      <c r="C67" s="277"/>
      <c r="D67" s="278"/>
      <c r="E67" s="278"/>
      <c r="F67" s="445">
        <f>SUM(F55:F65)</f>
        <v>31126.9</v>
      </c>
      <c r="G67" s="280"/>
      <c r="H67" s="279"/>
      <c r="I67" s="279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</row>
    <row r="68" spans="1:229" ht="14.25" x14ac:dyDescent="0.15">
      <c r="A68" s="285"/>
      <c r="B68" s="282" t="s">
        <v>53</v>
      </c>
      <c r="C68" s="286"/>
      <c r="D68" s="283"/>
      <c r="E68" s="283"/>
      <c r="F68" s="432"/>
      <c r="G68" s="287"/>
      <c r="H68" s="260"/>
      <c r="I68" s="261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</row>
    <row r="69" spans="1:229" ht="14.25" x14ac:dyDescent="0.15">
      <c r="A69" s="291"/>
      <c r="B69" s="430" t="s">
        <v>97</v>
      </c>
      <c r="C69" s="292"/>
      <c r="D69" s="293"/>
      <c r="E69" s="293"/>
      <c r="F69" s="431"/>
      <c r="G69" s="274"/>
      <c r="H69" s="262"/>
      <c r="I69" s="263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  <c r="GD69" s="49"/>
      <c r="GE69" s="49"/>
      <c r="GF69" s="49"/>
      <c r="GG69" s="49"/>
      <c r="GH69" s="49"/>
      <c r="GI69" s="49"/>
      <c r="GJ69" s="49"/>
      <c r="GK69" s="49"/>
      <c r="GL69" s="49"/>
      <c r="GM69" s="49"/>
      <c r="GN69" s="49"/>
      <c r="GO69" s="49"/>
      <c r="GP69" s="49"/>
      <c r="GQ69" s="49"/>
      <c r="GR69" s="49"/>
      <c r="GS69" s="49"/>
      <c r="GT69" s="49"/>
      <c r="GU69" s="49"/>
      <c r="GV69" s="49"/>
      <c r="GW69" s="49"/>
      <c r="GX69" s="49"/>
      <c r="GY69" s="49"/>
      <c r="GZ69" s="49"/>
      <c r="HA69" s="49"/>
      <c r="HB69" s="49"/>
      <c r="HC69" s="49"/>
      <c r="HD69" s="49"/>
      <c r="HE69" s="49"/>
      <c r="HF69" s="49"/>
      <c r="HG69" s="49"/>
      <c r="HH69" s="49"/>
      <c r="HI69" s="49"/>
      <c r="HJ69" s="49"/>
      <c r="HK69" s="49"/>
      <c r="HL69" s="49"/>
      <c r="HM69" s="49"/>
      <c r="HN69" s="49"/>
      <c r="HO69" s="49"/>
      <c r="HP69" s="49"/>
      <c r="HQ69" s="49"/>
      <c r="HR69" s="49"/>
      <c r="HS69" s="49"/>
      <c r="HT69" s="49"/>
      <c r="HU69" s="49"/>
    </row>
    <row r="70" spans="1:229" ht="28.5" x14ac:dyDescent="0.15">
      <c r="A70" s="288">
        <v>1</v>
      </c>
      <c r="B70" s="289" t="s">
        <v>61</v>
      </c>
      <c r="C70" s="290" t="s">
        <v>0</v>
      </c>
      <c r="D70" s="284">
        <v>62.7</v>
      </c>
      <c r="E70" s="284">
        <v>100</v>
      </c>
      <c r="F70" s="431">
        <f>D70*E70</f>
        <v>6270</v>
      </c>
      <c r="G70" s="274" t="s">
        <v>164</v>
      </c>
      <c r="H70" s="294" t="s">
        <v>0</v>
      </c>
      <c r="I70" s="263">
        <f>D70*1.05</f>
        <v>65.835000000000008</v>
      </c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  <c r="GU70" s="49"/>
      <c r="GV70" s="49"/>
      <c r="GW70" s="49"/>
      <c r="GX70" s="49"/>
      <c r="GY70" s="49"/>
      <c r="GZ70" s="49"/>
      <c r="HA70" s="49"/>
      <c r="HB70" s="49"/>
      <c r="HC70" s="49"/>
      <c r="HD70" s="49"/>
      <c r="HE70" s="49"/>
      <c r="HF70" s="49"/>
      <c r="HG70" s="49"/>
      <c r="HH70" s="49"/>
      <c r="HI70" s="49"/>
      <c r="HJ70" s="49"/>
      <c r="HK70" s="49"/>
      <c r="HL70" s="49"/>
      <c r="HM70" s="49"/>
      <c r="HN70" s="49"/>
      <c r="HO70" s="49"/>
      <c r="HP70" s="49"/>
      <c r="HQ70" s="49"/>
      <c r="HR70" s="49"/>
      <c r="HS70" s="49"/>
      <c r="HT70" s="49"/>
      <c r="HU70" s="49"/>
    </row>
    <row r="71" spans="1:229" ht="14.25" x14ac:dyDescent="0.15">
      <c r="A71" s="288"/>
      <c r="B71" s="289"/>
      <c r="C71" s="290"/>
      <c r="D71" s="284"/>
      <c r="E71" s="284"/>
      <c r="F71" s="431"/>
      <c r="G71" s="274" t="s">
        <v>30</v>
      </c>
      <c r="H71" s="262" t="s">
        <v>5</v>
      </c>
      <c r="I71" s="263">
        <f>3.9*D70</f>
        <v>244.53</v>
      </c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/>
      <c r="HC71" s="49"/>
      <c r="HD71" s="49"/>
      <c r="HE71" s="49"/>
      <c r="HF71" s="49"/>
      <c r="HG71" s="49"/>
      <c r="HH71" s="49"/>
      <c r="HI71" s="49"/>
      <c r="HJ71" s="49"/>
      <c r="HK71" s="49"/>
      <c r="HL71" s="49"/>
      <c r="HM71" s="49"/>
      <c r="HN71" s="49"/>
      <c r="HO71" s="49"/>
      <c r="HP71" s="49"/>
      <c r="HQ71" s="49"/>
      <c r="HR71" s="49"/>
      <c r="HS71" s="49"/>
      <c r="HT71" s="49"/>
      <c r="HU71" s="49"/>
    </row>
    <row r="72" spans="1:229" ht="28.5" x14ac:dyDescent="0.15">
      <c r="A72" s="288"/>
      <c r="B72" s="289"/>
      <c r="C72" s="290"/>
      <c r="D72" s="284"/>
      <c r="E72" s="284"/>
      <c r="F72" s="431"/>
      <c r="G72" s="274" t="s">
        <v>31</v>
      </c>
      <c r="H72" s="262" t="s">
        <v>5</v>
      </c>
      <c r="I72" s="263">
        <f>D70*1.9</f>
        <v>119.13</v>
      </c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  <c r="GD72" s="49"/>
      <c r="GE72" s="49"/>
      <c r="GF72" s="49"/>
      <c r="GG72" s="49"/>
      <c r="GH72" s="49"/>
      <c r="GI72" s="49"/>
      <c r="GJ72" s="49"/>
      <c r="GK72" s="49"/>
      <c r="GL72" s="49"/>
      <c r="GM72" s="49"/>
      <c r="GN72" s="49"/>
      <c r="GO72" s="49"/>
      <c r="GP72" s="49"/>
      <c r="GQ72" s="49"/>
      <c r="GR72" s="49"/>
      <c r="GS72" s="49"/>
      <c r="GT72" s="49"/>
      <c r="GU72" s="49"/>
      <c r="GV72" s="49"/>
      <c r="GW72" s="49"/>
      <c r="GX72" s="49"/>
      <c r="GY72" s="49"/>
      <c r="GZ72" s="49"/>
      <c r="HA72" s="49"/>
      <c r="HB72" s="49"/>
      <c r="HC72" s="49"/>
      <c r="HD72" s="49"/>
      <c r="HE72" s="49"/>
      <c r="HF72" s="49"/>
      <c r="HG72" s="49"/>
      <c r="HH72" s="49"/>
      <c r="HI72" s="49"/>
      <c r="HJ72" s="49"/>
      <c r="HK72" s="49"/>
      <c r="HL72" s="49"/>
      <c r="HM72" s="49"/>
      <c r="HN72" s="49"/>
      <c r="HO72" s="49"/>
      <c r="HP72" s="49"/>
      <c r="HQ72" s="49"/>
      <c r="HR72" s="49"/>
      <c r="HS72" s="49"/>
      <c r="HT72" s="49"/>
      <c r="HU72" s="49"/>
    </row>
    <row r="73" spans="1:229" ht="14.25" x14ac:dyDescent="0.15">
      <c r="A73" s="291"/>
      <c r="B73" s="289"/>
      <c r="C73" s="292"/>
      <c r="D73" s="293"/>
      <c r="E73" s="293"/>
      <c r="F73" s="431"/>
      <c r="G73" s="319" t="s">
        <v>32</v>
      </c>
      <c r="H73" s="320" t="s">
        <v>7</v>
      </c>
      <c r="I73" s="263">
        <f>9*D70</f>
        <v>564.30000000000007</v>
      </c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49"/>
      <c r="EY73" s="49"/>
      <c r="EZ73" s="49"/>
      <c r="FA73" s="49"/>
      <c r="FB73" s="49"/>
      <c r="FC73" s="49"/>
      <c r="FD73" s="49"/>
      <c r="FE73" s="49"/>
      <c r="FF73" s="49"/>
      <c r="FG73" s="49"/>
      <c r="FH73" s="49"/>
      <c r="FI73" s="49"/>
      <c r="FJ73" s="49"/>
      <c r="FK73" s="49"/>
      <c r="FL73" s="49"/>
      <c r="FM73" s="49"/>
      <c r="FN73" s="49"/>
      <c r="FO73" s="49"/>
      <c r="FP73" s="49"/>
      <c r="FQ73" s="49"/>
      <c r="FR73" s="49"/>
      <c r="FS73" s="49"/>
      <c r="FT73" s="49"/>
      <c r="FU73" s="49"/>
      <c r="FV73" s="49"/>
      <c r="FW73" s="49"/>
      <c r="FX73" s="49"/>
      <c r="FY73" s="49"/>
      <c r="FZ73" s="49"/>
      <c r="GA73" s="49"/>
      <c r="GB73" s="49"/>
      <c r="GC73" s="49"/>
      <c r="GD73" s="49"/>
      <c r="GE73" s="49"/>
      <c r="GF73" s="49"/>
      <c r="GG73" s="49"/>
      <c r="GH73" s="49"/>
      <c r="GI73" s="49"/>
      <c r="GJ73" s="49"/>
      <c r="GK73" s="49"/>
      <c r="GL73" s="49"/>
      <c r="GM73" s="49"/>
      <c r="GN73" s="49"/>
      <c r="GO73" s="49"/>
      <c r="GP73" s="49"/>
      <c r="GQ73" s="49"/>
      <c r="GR73" s="49"/>
      <c r="GS73" s="49"/>
      <c r="GT73" s="49"/>
      <c r="GU73" s="49"/>
      <c r="GV73" s="49"/>
      <c r="GW73" s="49"/>
      <c r="GX73" s="49"/>
      <c r="GY73" s="49"/>
      <c r="GZ73" s="49"/>
      <c r="HA73" s="49"/>
      <c r="HB73" s="49"/>
      <c r="HC73" s="49"/>
      <c r="HD73" s="49"/>
      <c r="HE73" s="49"/>
      <c r="HF73" s="49"/>
      <c r="HG73" s="49"/>
      <c r="HH73" s="49"/>
      <c r="HI73" s="49"/>
      <c r="HJ73" s="49"/>
      <c r="HK73" s="49"/>
      <c r="HL73" s="49"/>
      <c r="HM73" s="49"/>
      <c r="HN73" s="49"/>
      <c r="HO73" s="49"/>
      <c r="HP73" s="49"/>
      <c r="HQ73" s="49"/>
      <c r="HR73" s="49"/>
      <c r="HS73" s="49"/>
      <c r="HT73" s="49"/>
      <c r="HU73" s="49"/>
    </row>
    <row r="74" spans="1:229" ht="14.25" x14ac:dyDescent="0.15">
      <c r="A74" s="291"/>
      <c r="B74" s="289"/>
      <c r="C74" s="292"/>
      <c r="D74" s="293"/>
      <c r="E74" s="293"/>
      <c r="F74" s="431"/>
      <c r="G74" s="321" t="s">
        <v>33</v>
      </c>
      <c r="H74" s="320" t="s">
        <v>7</v>
      </c>
      <c r="I74" s="263">
        <f>23*D70</f>
        <v>1442.1000000000001</v>
      </c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49"/>
      <c r="FV74" s="49"/>
      <c r="FW74" s="49"/>
      <c r="FX74" s="49"/>
      <c r="FY74" s="49"/>
      <c r="FZ74" s="49"/>
      <c r="GA74" s="49"/>
      <c r="GB74" s="49"/>
      <c r="GC74" s="49"/>
      <c r="GD74" s="49"/>
      <c r="GE74" s="49"/>
      <c r="GF74" s="49"/>
      <c r="GG74" s="49"/>
      <c r="GH74" s="49"/>
      <c r="GI74" s="49"/>
      <c r="GJ74" s="49"/>
      <c r="GK74" s="49"/>
      <c r="GL74" s="49"/>
      <c r="GM74" s="49"/>
      <c r="GN74" s="49"/>
      <c r="GO74" s="49"/>
      <c r="GP74" s="49"/>
      <c r="GQ74" s="49"/>
      <c r="GR74" s="49"/>
      <c r="GS74" s="49"/>
      <c r="GT74" s="49"/>
      <c r="GU74" s="49"/>
      <c r="GV74" s="49"/>
      <c r="GW74" s="49"/>
      <c r="GX74" s="49"/>
      <c r="GY74" s="49"/>
      <c r="GZ74" s="49"/>
      <c r="HA74" s="49"/>
      <c r="HB74" s="49"/>
      <c r="HC74" s="49"/>
      <c r="HD74" s="49"/>
      <c r="HE74" s="49"/>
      <c r="HF74" s="49"/>
      <c r="HG74" s="49"/>
      <c r="HH74" s="49"/>
      <c r="HI74" s="49"/>
      <c r="HJ74" s="49"/>
      <c r="HK74" s="49"/>
      <c r="HL74" s="49"/>
      <c r="HM74" s="49"/>
      <c r="HN74" s="49"/>
      <c r="HO74" s="49"/>
      <c r="HP74" s="49"/>
      <c r="HQ74" s="49"/>
      <c r="HR74" s="49"/>
      <c r="HS74" s="49"/>
      <c r="HT74" s="49"/>
      <c r="HU74" s="49"/>
    </row>
    <row r="75" spans="1:229" ht="14.25" x14ac:dyDescent="0.15">
      <c r="A75" s="288"/>
      <c r="B75" s="289"/>
      <c r="C75" s="290"/>
      <c r="D75" s="284"/>
      <c r="E75" s="284"/>
      <c r="F75" s="431"/>
      <c r="G75" s="274" t="s">
        <v>35</v>
      </c>
      <c r="H75" s="294" t="s">
        <v>7</v>
      </c>
      <c r="I75" s="263">
        <f>20*D70</f>
        <v>1254</v>
      </c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49"/>
      <c r="DW75" s="49"/>
      <c r="DX75" s="49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/>
      <c r="FC75" s="49"/>
      <c r="FD75" s="49"/>
      <c r="FE75" s="49"/>
      <c r="FF75" s="49"/>
      <c r="FG75" s="49"/>
      <c r="FH75" s="49"/>
      <c r="FI75" s="49"/>
      <c r="FJ75" s="49"/>
      <c r="FK75" s="49"/>
      <c r="FL75" s="49"/>
      <c r="FM75" s="49"/>
      <c r="FN75" s="49"/>
      <c r="FO75" s="49"/>
      <c r="FP75" s="49"/>
      <c r="FQ75" s="49"/>
      <c r="FR75" s="49"/>
      <c r="FS75" s="49"/>
      <c r="FT75" s="49"/>
      <c r="FU75" s="49"/>
      <c r="FV75" s="49"/>
      <c r="FW75" s="49"/>
      <c r="FX75" s="49"/>
      <c r="FY75" s="49"/>
      <c r="FZ75" s="49"/>
      <c r="GA75" s="49"/>
      <c r="GB75" s="49"/>
      <c r="GC75" s="49"/>
      <c r="GD75" s="49"/>
      <c r="GE75" s="49"/>
      <c r="GF75" s="49"/>
      <c r="GG75" s="49"/>
      <c r="GH75" s="49"/>
      <c r="GI75" s="49"/>
      <c r="GJ75" s="49"/>
      <c r="GK75" s="49"/>
      <c r="GL75" s="49"/>
      <c r="GM75" s="49"/>
      <c r="GN75" s="49"/>
      <c r="GO75" s="49"/>
      <c r="GP75" s="49"/>
      <c r="GQ75" s="49"/>
      <c r="GR75" s="49"/>
      <c r="GS75" s="49"/>
      <c r="GT75" s="49"/>
      <c r="GU75" s="49"/>
      <c r="GV75" s="49"/>
      <c r="GW75" s="49"/>
      <c r="GX75" s="49"/>
      <c r="GY75" s="49"/>
      <c r="GZ75" s="49"/>
      <c r="HA75" s="49"/>
      <c r="HB75" s="49"/>
      <c r="HC75" s="49"/>
      <c r="HD75" s="49"/>
      <c r="HE75" s="49"/>
      <c r="HF75" s="49"/>
      <c r="HG75" s="49"/>
      <c r="HH75" s="49"/>
      <c r="HI75" s="49"/>
      <c r="HJ75" s="49"/>
      <c r="HK75" s="49"/>
      <c r="HL75" s="49"/>
      <c r="HM75" s="49"/>
      <c r="HN75" s="49"/>
      <c r="HO75" s="49"/>
      <c r="HP75" s="49"/>
      <c r="HQ75" s="49"/>
      <c r="HR75" s="49"/>
      <c r="HS75" s="49"/>
      <c r="HT75" s="49"/>
      <c r="HU75" s="49"/>
    </row>
    <row r="76" spans="1:229" ht="14.25" x14ac:dyDescent="0.15">
      <c r="A76" s="288"/>
      <c r="B76" s="310"/>
      <c r="C76" s="290"/>
      <c r="D76" s="284"/>
      <c r="E76" s="284"/>
      <c r="F76" s="431"/>
      <c r="G76" s="274" t="s">
        <v>36</v>
      </c>
      <c r="H76" s="262" t="s">
        <v>5</v>
      </c>
      <c r="I76" s="263">
        <f>D70*1.1</f>
        <v>68.970000000000013</v>
      </c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49"/>
      <c r="GN76" s="49"/>
      <c r="GO76" s="49"/>
      <c r="GP76" s="49"/>
      <c r="GQ76" s="49"/>
      <c r="GR76" s="49"/>
      <c r="GS76" s="49"/>
      <c r="GT76" s="49"/>
      <c r="GU76" s="49"/>
      <c r="GV76" s="49"/>
      <c r="GW76" s="49"/>
      <c r="GX76" s="49"/>
      <c r="GY76" s="49"/>
      <c r="GZ76" s="49"/>
      <c r="HA76" s="49"/>
      <c r="HB76" s="49"/>
      <c r="HC76" s="49"/>
      <c r="HD76" s="49"/>
      <c r="HE76" s="49"/>
      <c r="HF76" s="49"/>
      <c r="HG76" s="49"/>
      <c r="HH76" s="49"/>
      <c r="HI76" s="49"/>
      <c r="HJ76" s="49"/>
      <c r="HK76" s="49"/>
      <c r="HL76" s="49"/>
      <c r="HM76" s="49"/>
      <c r="HN76" s="49"/>
      <c r="HO76" s="49"/>
      <c r="HP76" s="49"/>
      <c r="HQ76" s="49"/>
      <c r="HR76" s="49"/>
      <c r="HS76" s="49"/>
      <c r="HT76" s="49"/>
      <c r="HU76" s="49"/>
    </row>
    <row r="77" spans="1:229" ht="14.25" x14ac:dyDescent="0.15">
      <c r="A77" s="288"/>
      <c r="B77" s="317"/>
      <c r="C77" s="290"/>
      <c r="D77" s="284"/>
      <c r="E77" s="284"/>
      <c r="F77" s="431"/>
      <c r="G77" s="274" t="s">
        <v>63</v>
      </c>
      <c r="H77" s="262" t="s">
        <v>2</v>
      </c>
      <c r="I77" s="263">
        <f>D70*0.4</f>
        <v>25.080000000000002</v>
      </c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49"/>
      <c r="HI77" s="49"/>
      <c r="HJ77" s="49"/>
      <c r="HK77" s="49"/>
      <c r="HL77" s="49"/>
      <c r="HM77" s="49"/>
      <c r="HN77" s="49"/>
      <c r="HO77" s="49"/>
      <c r="HP77" s="49"/>
      <c r="HQ77" s="49"/>
      <c r="HR77" s="49"/>
      <c r="HS77" s="49"/>
      <c r="HT77" s="49"/>
      <c r="HU77" s="49"/>
    </row>
    <row r="78" spans="1:229" ht="14.25" x14ac:dyDescent="0.15">
      <c r="A78" s="288">
        <v>2</v>
      </c>
      <c r="B78" s="317" t="s">
        <v>105</v>
      </c>
      <c r="C78" s="290" t="s">
        <v>0</v>
      </c>
      <c r="D78" s="284">
        <v>62.7</v>
      </c>
      <c r="E78" s="284">
        <v>4</v>
      </c>
      <c r="F78" s="431">
        <f t="shared" ref="F78:F87" si="1">D78*E78</f>
        <v>250.8</v>
      </c>
      <c r="G78" s="271" t="s">
        <v>8</v>
      </c>
      <c r="H78" s="262" t="s">
        <v>3</v>
      </c>
      <c r="I78" s="263">
        <f>0.15*D78</f>
        <v>9.4049999999999994</v>
      </c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49"/>
      <c r="GA78" s="49"/>
      <c r="GB78" s="49"/>
      <c r="GC78" s="49"/>
      <c r="GD78" s="49"/>
      <c r="GE78" s="49"/>
      <c r="GF78" s="49"/>
      <c r="GG78" s="49"/>
      <c r="GH78" s="49"/>
      <c r="GI78" s="49"/>
      <c r="GJ78" s="49"/>
      <c r="GK78" s="49"/>
      <c r="GL78" s="49"/>
      <c r="GM78" s="49"/>
      <c r="GN78" s="49"/>
      <c r="GO78" s="49"/>
      <c r="GP78" s="49"/>
      <c r="GQ78" s="49"/>
      <c r="GR78" s="49"/>
      <c r="GS78" s="49"/>
      <c r="GT78" s="49"/>
      <c r="GU78" s="49"/>
      <c r="GV78" s="49"/>
      <c r="GW78" s="49"/>
      <c r="GX78" s="49"/>
      <c r="GY78" s="49"/>
      <c r="GZ78" s="49"/>
      <c r="HA78" s="49"/>
      <c r="HB78" s="49"/>
      <c r="HC78" s="49"/>
      <c r="HD78" s="49"/>
      <c r="HE78" s="49"/>
      <c r="HF78" s="49"/>
      <c r="HG78" s="49"/>
      <c r="HH78" s="49"/>
      <c r="HI78" s="49"/>
      <c r="HJ78" s="49"/>
      <c r="HK78" s="49"/>
      <c r="HL78" s="49"/>
      <c r="HM78" s="49"/>
      <c r="HN78" s="49"/>
      <c r="HO78" s="49"/>
      <c r="HP78" s="49"/>
      <c r="HQ78" s="49"/>
      <c r="HR78" s="49"/>
      <c r="HS78" s="49"/>
      <c r="HT78" s="49"/>
      <c r="HU78" s="49"/>
    </row>
    <row r="79" spans="1:229" ht="14.25" x14ac:dyDescent="0.15">
      <c r="A79" s="264">
        <v>3</v>
      </c>
      <c r="B79" s="271" t="s">
        <v>167</v>
      </c>
      <c r="C79" s="270" t="s">
        <v>0</v>
      </c>
      <c r="D79" s="284">
        <v>62.7</v>
      </c>
      <c r="E79" s="284">
        <v>50</v>
      </c>
      <c r="F79" s="431">
        <f t="shared" si="1"/>
        <v>3135</v>
      </c>
      <c r="G79" s="271" t="s">
        <v>23</v>
      </c>
      <c r="H79" s="262" t="s">
        <v>2</v>
      </c>
      <c r="I79" s="263">
        <f>D79*1.2*2</f>
        <v>150.47999999999999</v>
      </c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49"/>
      <c r="HK79" s="49"/>
      <c r="HL79" s="49"/>
      <c r="HM79" s="49"/>
      <c r="HN79" s="49"/>
      <c r="HO79" s="49"/>
      <c r="HP79" s="49"/>
      <c r="HQ79" s="49"/>
      <c r="HR79" s="49"/>
      <c r="HS79" s="49"/>
      <c r="HT79" s="49"/>
      <c r="HU79" s="49"/>
    </row>
    <row r="80" spans="1:229" ht="14.25" x14ac:dyDescent="0.15">
      <c r="A80" s="264">
        <v>4</v>
      </c>
      <c r="B80" s="271" t="s">
        <v>172</v>
      </c>
      <c r="C80" s="270" t="s">
        <v>0</v>
      </c>
      <c r="D80" s="284">
        <v>62.7</v>
      </c>
      <c r="E80" s="284">
        <v>4</v>
      </c>
      <c r="F80" s="431">
        <f t="shared" si="1"/>
        <v>250.8</v>
      </c>
      <c r="G80" s="269" t="s">
        <v>8</v>
      </c>
      <c r="H80" s="263" t="s">
        <v>3</v>
      </c>
      <c r="I80" s="263">
        <f>D80*0.15</f>
        <v>9.4049999999999994</v>
      </c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  <c r="HR80" s="49"/>
      <c r="HS80" s="49"/>
      <c r="HT80" s="49"/>
      <c r="HU80" s="49"/>
    </row>
    <row r="81" spans="1:229" ht="42" x14ac:dyDescent="0.15">
      <c r="A81" s="264">
        <v>5</v>
      </c>
      <c r="B81" s="271" t="s">
        <v>71</v>
      </c>
      <c r="C81" s="270" t="s">
        <v>0</v>
      </c>
      <c r="D81" s="284">
        <v>62.7</v>
      </c>
      <c r="E81" s="284">
        <v>15</v>
      </c>
      <c r="F81" s="431">
        <f t="shared" si="1"/>
        <v>940.5</v>
      </c>
      <c r="G81" s="271" t="s">
        <v>158</v>
      </c>
      <c r="H81" s="262" t="s">
        <v>0</v>
      </c>
      <c r="I81" s="263">
        <f>D81*1.05</f>
        <v>65.835000000000008</v>
      </c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49"/>
      <c r="EX81" s="49"/>
      <c r="EY81" s="49"/>
      <c r="EZ81" s="49"/>
      <c r="FA81" s="49"/>
      <c r="FB81" s="49"/>
      <c r="FC81" s="49"/>
      <c r="FD81" s="49"/>
      <c r="FE81" s="49"/>
      <c r="FF81" s="49"/>
      <c r="FG81" s="49"/>
      <c r="FH81" s="49"/>
      <c r="FI81" s="49"/>
      <c r="FJ81" s="49"/>
      <c r="FK81" s="49"/>
      <c r="FL81" s="49"/>
      <c r="FM81" s="49"/>
      <c r="FN81" s="49"/>
      <c r="FO81" s="49"/>
      <c r="FP81" s="49"/>
      <c r="FQ81" s="49"/>
      <c r="FR81" s="49"/>
      <c r="FS81" s="49"/>
      <c r="FT81" s="49"/>
      <c r="FU81" s="49"/>
      <c r="FV81" s="49"/>
      <c r="FW81" s="49"/>
      <c r="FX81" s="49"/>
      <c r="FY81" s="49"/>
      <c r="FZ81" s="49"/>
      <c r="GA81" s="49"/>
      <c r="GB81" s="49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  <c r="GU81" s="49"/>
      <c r="GV81" s="49"/>
      <c r="GW81" s="49"/>
      <c r="GX81" s="49"/>
      <c r="GY81" s="49"/>
      <c r="GZ81" s="49"/>
      <c r="HA81" s="49"/>
      <c r="HB81" s="49"/>
      <c r="HC81" s="49"/>
      <c r="HD81" s="49"/>
      <c r="HE81" s="49"/>
      <c r="HF81" s="49"/>
      <c r="HG81" s="49"/>
      <c r="HH81" s="49"/>
      <c r="HI81" s="49"/>
      <c r="HJ81" s="49"/>
      <c r="HK81" s="49"/>
      <c r="HL81" s="49"/>
      <c r="HM81" s="49"/>
      <c r="HN81" s="49"/>
      <c r="HO81" s="49"/>
      <c r="HP81" s="49"/>
      <c r="HQ81" s="49"/>
      <c r="HR81" s="49"/>
      <c r="HS81" s="49"/>
      <c r="HT81" s="49"/>
      <c r="HU81" s="49"/>
    </row>
    <row r="82" spans="1:229" ht="28.5" x14ac:dyDescent="0.15">
      <c r="A82" s="264"/>
      <c r="B82" s="271"/>
      <c r="C82" s="270"/>
      <c r="D82" s="275"/>
      <c r="E82" s="275"/>
      <c r="F82" s="431">
        <f t="shared" si="1"/>
        <v>0</v>
      </c>
      <c r="G82" s="271" t="s">
        <v>159</v>
      </c>
      <c r="H82" s="262" t="s">
        <v>3</v>
      </c>
      <c r="I82" s="263">
        <f>D81*0.25</f>
        <v>15.675000000000001</v>
      </c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49"/>
      <c r="GX82" s="49"/>
      <c r="GY82" s="49"/>
      <c r="GZ82" s="49"/>
      <c r="HA82" s="49"/>
      <c r="HB82" s="49"/>
      <c r="HC82" s="49"/>
      <c r="HD82" s="49"/>
      <c r="HE82" s="49"/>
      <c r="HF82" s="49"/>
      <c r="HG82" s="49"/>
      <c r="HH82" s="49"/>
      <c r="HI82" s="49"/>
      <c r="HJ82" s="49"/>
      <c r="HK82" s="49"/>
      <c r="HL82" s="49"/>
      <c r="HM82" s="49"/>
      <c r="HN82" s="49"/>
      <c r="HO82" s="49"/>
      <c r="HP82" s="49"/>
      <c r="HQ82" s="49"/>
      <c r="HR82" s="49"/>
      <c r="HS82" s="49"/>
      <c r="HT82" s="49"/>
      <c r="HU82" s="49"/>
    </row>
    <row r="83" spans="1:229" ht="28.5" x14ac:dyDescent="0.15">
      <c r="A83" s="264">
        <v>6</v>
      </c>
      <c r="B83" s="265" t="s">
        <v>171</v>
      </c>
      <c r="C83" s="270" t="s">
        <v>0</v>
      </c>
      <c r="D83" s="284">
        <v>62.7</v>
      </c>
      <c r="E83" s="284">
        <v>80</v>
      </c>
      <c r="F83" s="431">
        <f t="shared" si="1"/>
        <v>5016</v>
      </c>
      <c r="G83" s="272" t="s">
        <v>160</v>
      </c>
      <c r="H83" s="263" t="s">
        <v>2</v>
      </c>
      <c r="I83" s="263">
        <f>D83*0.5*2</f>
        <v>62.7</v>
      </c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</row>
    <row r="84" spans="1:229" ht="14.25" x14ac:dyDescent="0.15">
      <c r="A84" s="291">
        <v>7</v>
      </c>
      <c r="B84" s="289" t="s">
        <v>59</v>
      </c>
      <c r="C84" s="292" t="s">
        <v>0</v>
      </c>
      <c r="D84" s="284">
        <v>62.7</v>
      </c>
      <c r="E84" s="284">
        <v>4</v>
      </c>
      <c r="F84" s="431">
        <f t="shared" si="1"/>
        <v>250.8</v>
      </c>
      <c r="G84" s="295" t="s">
        <v>8</v>
      </c>
      <c r="H84" s="262" t="s">
        <v>3</v>
      </c>
      <c r="I84" s="263">
        <f>0.15*D84</f>
        <v>9.4049999999999994</v>
      </c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49"/>
      <c r="HI84" s="49"/>
      <c r="HJ84" s="49"/>
      <c r="HK84" s="49"/>
      <c r="HL84" s="49"/>
      <c r="HM84" s="49"/>
      <c r="HN84" s="49"/>
      <c r="HO84" s="49"/>
      <c r="HP84" s="49"/>
      <c r="HQ84" s="49"/>
      <c r="HR84" s="49"/>
      <c r="HS84" s="49"/>
      <c r="HT84" s="49"/>
      <c r="HU84" s="49"/>
    </row>
    <row r="85" spans="1:229" ht="28.5" x14ac:dyDescent="0.15">
      <c r="A85" s="288">
        <v>8</v>
      </c>
      <c r="B85" s="289" t="s">
        <v>169</v>
      </c>
      <c r="C85" s="290" t="s">
        <v>0</v>
      </c>
      <c r="D85" s="284">
        <v>62.7</v>
      </c>
      <c r="E85" s="284">
        <v>40</v>
      </c>
      <c r="F85" s="431">
        <f t="shared" si="1"/>
        <v>2508</v>
      </c>
      <c r="G85" s="318" t="s">
        <v>204</v>
      </c>
      <c r="H85" s="254" t="s">
        <v>2</v>
      </c>
      <c r="I85" s="254">
        <f>D85*0.28</f>
        <v>17.556000000000001</v>
      </c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/>
      <c r="EB85" s="49"/>
      <c r="EC85" s="49"/>
      <c r="ED85" s="49"/>
      <c r="EE85" s="49"/>
      <c r="EF85" s="49"/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9"/>
      <c r="EW85" s="49"/>
      <c r="EX85" s="49"/>
      <c r="EY85" s="49"/>
      <c r="EZ85" s="49"/>
      <c r="FA85" s="49"/>
      <c r="FB85" s="49"/>
      <c r="FC85" s="49"/>
      <c r="FD85" s="49"/>
      <c r="FE85" s="49"/>
      <c r="FF85" s="49"/>
      <c r="FG85" s="49"/>
      <c r="FH85" s="49"/>
      <c r="FI85" s="49"/>
      <c r="FJ85" s="49"/>
      <c r="FK85" s="49"/>
      <c r="FL85" s="49"/>
      <c r="FM85" s="49"/>
      <c r="FN85" s="49"/>
      <c r="FO85" s="49"/>
      <c r="FP85" s="49"/>
      <c r="FQ85" s="49"/>
      <c r="FR85" s="49"/>
      <c r="FS85" s="49"/>
      <c r="FT85" s="49"/>
      <c r="FU85" s="49"/>
      <c r="FV85" s="49"/>
      <c r="FW85" s="49"/>
      <c r="FX85" s="49"/>
      <c r="FY85" s="49"/>
      <c r="FZ85" s="49"/>
      <c r="GA85" s="49"/>
      <c r="GB85" s="49"/>
      <c r="GC85" s="49"/>
      <c r="GD85" s="49"/>
      <c r="GE85" s="49"/>
      <c r="GF85" s="49"/>
      <c r="GG85" s="49"/>
      <c r="GH85" s="49"/>
      <c r="GI85" s="49"/>
      <c r="GJ85" s="49"/>
      <c r="GK85" s="49"/>
      <c r="GL85" s="49"/>
      <c r="GM85" s="49"/>
      <c r="GN85" s="49"/>
      <c r="GO85" s="49"/>
      <c r="GP85" s="49"/>
      <c r="GQ85" s="49"/>
      <c r="GR85" s="49"/>
      <c r="GS85" s="49"/>
      <c r="GT85" s="49"/>
      <c r="GU85" s="49"/>
      <c r="GV85" s="49"/>
      <c r="GW85" s="49"/>
      <c r="GX85" s="49"/>
      <c r="GY85" s="49"/>
      <c r="GZ85" s="49"/>
      <c r="HA85" s="49"/>
      <c r="HB85" s="49"/>
      <c r="HC85" s="49"/>
      <c r="HD85" s="49"/>
      <c r="HE85" s="49"/>
      <c r="HF85" s="49"/>
      <c r="HG85" s="49"/>
      <c r="HH85" s="49"/>
      <c r="HI85" s="49"/>
      <c r="HJ85" s="49"/>
      <c r="HK85" s="49"/>
      <c r="HL85" s="49"/>
      <c r="HM85" s="49"/>
      <c r="HN85" s="49"/>
      <c r="HO85" s="49"/>
      <c r="HP85" s="49"/>
      <c r="HQ85" s="49"/>
      <c r="HR85" s="49"/>
      <c r="HS85" s="49"/>
      <c r="HT85" s="49"/>
      <c r="HU85" s="49"/>
    </row>
    <row r="86" spans="1:229" ht="14.25" x14ac:dyDescent="0.15">
      <c r="A86" s="288"/>
      <c r="B86" s="296"/>
      <c r="C86" s="290"/>
      <c r="D86" s="284"/>
      <c r="E86" s="284"/>
      <c r="F86" s="431">
        <f t="shared" si="1"/>
        <v>0</v>
      </c>
      <c r="G86" s="269" t="s">
        <v>163</v>
      </c>
      <c r="H86" s="263" t="s">
        <v>7</v>
      </c>
      <c r="I86" s="263">
        <v>3</v>
      </c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9"/>
      <c r="FG86" s="49"/>
      <c r="FH86" s="49"/>
      <c r="FI86" s="49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9"/>
      <c r="FU86" s="49"/>
      <c r="FV86" s="49"/>
      <c r="FW86" s="49"/>
      <c r="FX86" s="49"/>
      <c r="FY86" s="49"/>
      <c r="FZ86" s="49"/>
      <c r="GA86" s="49"/>
      <c r="GB86" s="49"/>
      <c r="GC86" s="49"/>
      <c r="GD86" s="49"/>
      <c r="GE86" s="49"/>
      <c r="GF86" s="49"/>
      <c r="GG86" s="49"/>
      <c r="GH86" s="49"/>
      <c r="GI86" s="49"/>
      <c r="GJ86" s="49"/>
      <c r="GK86" s="49"/>
      <c r="GL86" s="49"/>
      <c r="GM86" s="49"/>
      <c r="GN86" s="49"/>
      <c r="GO86" s="49"/>
      <c r="GP86" s="49"/>
      <c r="GQ86" s="49"/>
      <c r="GR86" s="49"/>
      <c r="GS86" s="49"/>
      <c r="GT86" s="49"/>
      <c r="GU86" s="49"/>
      <c r="GV86" s="49"/>
      <c r="GW86" s="49"/>
      <c r="GX86" s="49"/>
      <c r="GY86" s="49"/>
      <c r="GZ86" s="49"/>
      <c r="HA86" s="49"/>
      <c r="HB86" s="49"/>
      <c r="HC86" s="49"/>
      <c r="HD86" s="49"/>
      <c r="HE86" s="49"/>
      <c r="HF86" s="49"/>
      <c r="HG86" s="49"/>
      <c r="HH86" s="49"/>
      <c r="HI86" s="49"/>
      <c r="HJ86" s="49"/>
      <c r="HK86" s="49"/>
      <c r="HL86" s="49"/>
      <c r="HM86" s="49"/>
      <c r="HN86" s="49"/>
      <c r="HO86" s="49"/>
      <c r="HP86" s="49"/>
      <c r="HQ86" s="49"/>
      <c r="HR86" s="49"/>
      <c r="HS86" s="49"/>
      <c r="HT86" s="49"/>
      <c r="HU86" s="49"/>
    </row>
    <row r="87" spans="1:229" ht="14.25" x14ac:dyDescent="0.15">
      <c r="A87" s="291"/>
      <c r="B87" s="430" t="s">
        <v>209</v>
      </c>
      <c r="C87" s="292"/>
      <c r="D87" s="293"/>
      <c r="E87" s="284"/>
      <c r="F87" s="431">
        <f t="shared" si="1"/>
        <v>0</v>
      </c>
      <c r="G87" s="274"/>
      <c r="H87" s="262"/>
      <c r="I87" s="263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/>
      <c r="EU87" s="49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9"/>
      <c r="FG87" s="49"/>
      <c r="FH87" s="49"/>
      <c r="FI87" s="49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9"/>
      <c r="FU87" s="49"/>
      <c r="FV87" s="49"/>
      <c r="FW87" s="49"/>
      <c r="FX87" s="49"/>
      <c r="FY87" s="49"/>
      <c r="FZ87" s="49"/>
      <c r="GA87" s="49"/>
      <c r="GB87" s="49"/>
      <c r="GC87" s="49"/>
      <c r="GD87" s="49"/>
      <c r="GE87" s="49"/>
      <c r="GF87" s="49"/>
      <c r="GG87" s="49"/>
      <c r="GH87" s="49"/>
      <c r="GI87" s="49"/>
      <c r="GJ87" s="49"/>
      <c r="GK87" s="49"/>
      <c r="GL87" s="49"/>
      <c r="GM87" s="49"/>
      <c r="GN87" s="49"/>
      <c r="GO87" s="49"/>
      <c r="GP87" s="49"/>
      <c r="GQ87" s="49"/>
      <c r="GR87" s="49"/>
      <c r="GS87" s="49"/>
      <c r="GT87" s="49"/>
      <c r="GU87" s="49"/>
      <c r="GV87" s="49"/>
      <c r="GW87" s="49"/>
      <c r="GX87" s="49"/>
      <c r="GY87" s="49"/>
      <c r="GZ87" s="49"/>
      <c r="HA87" s="49"/>
      <c r="HB87" s="49"/>
      <c r="HC87" s="49"/>
      <c r="HD87" s="49"/>
      <c r="HE87" s="49"/>
      <c r="HF87" s="49"/>
      <c r="HG87" s="49"/>
      <c r="HH87" s="49"/>
      <c r="HI87" s="49"/>
      <c r="HJ87" s="49"/>
      <c r="HK87" s="49"/>
      <c r="HL87" s="49"/>
      <c r="HM87" s="49"/>
      <c r="HN87" s="49"/>
      <c r="HO87" s="49"/>
      <c r="HP87" s="49"/>
      <c r="HQ87" s="49"/>
      <c r="HR87" s="49"/>
      <c r="HS87" s="49"/>
      <c r="HT87" s="49"/>
      <c r="HU87" s="49"/>
    </row>
    <row r="88" spans="1:229" ht="31.5" x14ac:dyDescent="0.2">
      <c r="A88" s="335">
        <v>9</v>
      </c>
      <c r="B88" s="336" t="s">
        <v>210</v>
      </c>
      <c r="C88" s="337" t="s">
        <v>0</v>
      </c>
      <c r="D88" s="338">
        <f>12.22*4+5.63</f>
        <v>54.510000000000005</v>
      </c>
      <c r="E88" s="446">
        <v>90</v>
      </c>
      <c r="F88" s="431">
        <f>D88*E88</f>
        <v>4905.9000000000005</v>
      </c>
      <c r="G88" s="274" t="s">
        <v>164</v>
      </c>
      <c r="H88" s="294" t="s">
        <v>0</v>
      </c>
      <c r="I88" s="263">
        <f>D88*1.05</f>
        <v>57.235500000000009</v>
      </c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  <c r="DT88" s="49"/>
      <c r="DU88" s="49"/>
      <c r="DV88" s="49"/>
      <c r="DW88" s="49"/>
      <c r="DX88" s="49"/>
      <c r="DY88" s="49"/>
      <c r="DZ88" s="49"/>
      <c r="EA88" s="49"/>
      <c r="EB88" s="49"/>
      <c r="EC88" s="49"/>
      <c r="ED88" s="49"/>
      <c r="EE88" s="49"/>
      <c r="EF88" s="49"/>
      <c r="EG88" s="49"/>
      <c r="EH88" s="49"/>
      <c r="EI88" s="49"/>
      <c r="EJ88" s="49"/>
      <c r="EK88" s="49"/>
      <c r="EL88" s="49"/>
      <c r="EM88" s="49"/>
      <c r="EN88" s="49"/>
      <c r="EO88" s="49"/>
      <c r="EP88" s="49"/>
      <c r="EQ88" s="49"/>
      <c r="ER88" s="49"/>
      <c r="ES88" s="49"/>
      <c r="ET88" s="49"/>
      <c r="EU88" s="49"/>
      <c r="EV88" s="49"/>
      <c r="EW88" s="49"/>
      <c r="EX88" s="49"/>
      <c r="EY88" s="49"/>
      <c r="EZ88" s="49"/>
      <c r="FA88" s="49"/>
      <c r="FB88" s="49"/>
      <c r="FC88" s="49"/>
      <c r="FD88" s="49"/>
      <c r="FE88" s="49"/>
      <c r="FF88" s="49"/>
      <c r="FG88" s="49"/>
      <c r="FH88" s="49"/>
      <c r="FI88" s="49"/>
      <c r="FJ88" s="49"/>
      <c r="FK88" s="49"/>
      <c r="FL88" s="49"/>
      <c r="FM88" s="49"/>
      <c r="FN88" s="49"/>
      <c r="FO88" s="49"/>
      <c r="FP88" s="49"/>
      <c r="FQ88" s="49"/>
      <c r="FR88" s="49"/>
      <c r="FS88" s="49"/>
      <c r="FT88" s="49"/>
      <c r="FU88" s="49"/>
      <c r="FV88" s="49"/>
      <c r="FW88" s="49"/>
      <c r="FX88" s="49"/>
      <c r="FY88" s="49"/>
      <c r="FZ88" s="49"/>
      <c r="GA88" s="49"/>
      <c r="GB88" s="49"/>
      <c r="GC88" s="49"/>
      <c r="GD88" s="49"/>
      <c r="GE88" s="49"/>
      <c r="GF88" s="49"/>
      <c r="GG88" s="49"/>
      <c r="GH88" s="49"/>
      <c r="GI88" s="49"/>
      <c r="GJ88" s="49"/>
      <c r="GK88" s="49"/>
      <c r="GL88" s="49"/>
      <c r="GM88" s="49"/>
      <c r="GN88" s="49"/>
      <c r="GO88" s="49"/>
      <c r="GP88" s="49"/>
      <c r="GQ88" s="49"/>
      <c r="GR88" s="49"/>
      <c r="GS88" s="49"/>
      <c r="GT88" s="49"/>
      <c r="GU88" s="49"/>
      <c r="GV88" s="49"/>
      <c r="GW88" s="49"/>
      <c r="GX88" s="49"/>
      <c r="GY88" s="49"/>
      <c r="GZ88" s="49"/>
      <c r="HA88" s="49"/>
      <c r="HB88" s="49"/>
      <c r="HC88" s="49"/>
      <c r="HD88" s="49"/>
      <c r="HE88" s="49"/>
      <c r="HF88" s="49"/>
      <c r="HG88" s="49"/>
      <c r="HH88" s="49"/>
      <c r="HI88" s="49"/>
      <c r="HJ88" s="49"/>
      <c r="HK88" s="49"/>
      <c r="HL88" s="49"/>
      <c r="HM88" s="49"/>
      <c r="HN88" s="49"/>
      <c r="HO88" s="49"/>
      <c r="HP88" s="49"/>
      <c r="HQ88" s="49"/>
      <c r="HR88" s="49"/>
      <c r="HS88" s="49"/>
      <c r="HT88" s="49"/>
      <c r="HU88" s="49"/>
    </row>
    <row r="89" spans="1:229" ht="18" x14ac:dyDescent="0.15">
      <c r="A89" s="347"/>
      <c r="B89" s="339"/>
      <c r="C89" s="340"/>
      <c r="D89" s="341"/>
      <c r="E89" s="447"/>
      <c r="F89" s="431">
        <f t="shared" ref="F89:F136" si="2">D89*E89</f>
        <v>0</v>
      </c>
      <c r="G89" s="274" t="s">
        <v>30</v>
      </c>
      <c r="H89" s="262" t="s">
        <v>5</v>
      </c>
      <c r="I89" s="263">
        <f>3.9*D88</f>
        <v>212.58900000000003</v>
      </c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/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/>
      <c r="HL89" s="49"/>
      <c r="HM89" s="49"/>
      <c r="HN89" s="49"/>
      <c r="HO89" s="49"/>
      <c r="HP89" s="49"/>
      <c r="HQ89" s="49"/>
      <c r="HR89" s="49"/>
      <c r="HS89" s="49"/>
      <c r="HT89" s="49"/>
      <c r="HU89" s="49"/>
    </row>
    <row r="90" spans="1:229" ht="28.5" x14ac:dyDescent="0.15">
      <c r="A90" s="347"/>
      <c r="B90" s="339"/>
      <c r="C90" s="340"/>
      <c r="D90" s="341"/>
      <c r="E90" s="447"/>
      <c r="F90" s="431">
        <f t="shared" si="2"/>
        <v>0</v>
      </c>
      <c r="G90" s="274" t="s">
        <v>31</v>
      </c>
      <c r="H90" s="262" t="s">
        <v>5</v>
      </c>
      <c r="I90" s="263">
        <f>D88*1.9</f>
        <v>103.569</v>
      </c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  <c r="DV90" s="49"/>
      <c r="DW90" s="49"/>
      <c r="DX90" s="49"/>
      <c r="DY90" s="49"/>
      <c r="DZ90" s="49"/>
      <c r="EA90" s="49"/>
      <c r="EB90" s="49"/>
      <c r="EC90" s="49"/>
      <c r="ED90" s="49"/>
      <c r="EE90" s="49"/>
      <c r="EF90" s="49"/>
      <c r="EG90" s="49"/>
      <c r="EH90" s="49"/>
      <c r="EI90" s="49"/>
      <c r="EJ90" s="49"/>
      <c r="EK90" s="49"/>
      <c r="EL90" s="49"/>
      <c r="EM90" s="49"/>
      <c r="EN90" s="49"/>
      <c r="EO90" s="49"/>
      <c r="EP90" s="49"/>
      <c r="EQ90" s="49"/>
      <c r="ER90" s="49"/>
      <c r="ES90" s="49"/>
      <c r="ET90" s="49"/>
      <c r="EU90" s="49"/>
      <c r="EV90" s="49"/>
      <c r="EW90" s="49"/>
      <c r="EX90" s="49"/>
      <c r="EY90" s="49"/>
      <c r="EZ90" s="49"/>
      <c r="FA90" s="49"/>
      <c r="FB90" s="49"/>
      <c r="FC90" s="49"/>
      <c r="FD90" s="49"/>
      <c r="FE90" s="49"/>
      <c r="FF90" s="49"/>
      <c r="FG90" s="49"/>
      <c r="FH90" s="49"/>
      <c r="FI90" s="49"/>
      <c r="FJ90" s="49"/>
      <c r="FK90" s="49"/>
      <c r="FL90" s="49"/>
      <c r="FM90" s="49"/>
      <c r="FN90" s="49"/>
      <c r="FO90" s="49"/>
      <c r="FP90" s="49"/>
      <c r="FQ90" s="49"/>
      <c r="FR90" s="49"/>
      <c r="FS90" s="49"/>
      <c r="FT90" s="49"/>
      <c r="FU90" s="49"/>
      <c r="FV90" s="49"/>
      <c r="FW90" s="49"/>
      <c r="FX90" s="49"/>
      <c r="FY90" s="49"/>
      <c r="FZ90" s="49"/>
      <c r="GA90" s="49"/>
      <c r="GB90" s="49"/>
      <c r="GC90" s="49"/>
      <c r="GD90" s="49"/>
      <c r="GE90" s="49"/>
      <c r="GF90" s="49"/>
      <c r="GG90" s="49"/>
      <c r="GH90" s="49"/>
      <c r="GI90" s="49"/>
      <c r="GJ90" s="49"/>
      <c r="GK90" s="49"/>
      <c r="GL90" s="49"/>
      <c r="GM90" s="49"/>
      <c r="GN90" s="49"/>
      <c r="GO90" s="49"/>
      <c r="GP90" s="49"/>
      <c r="GQ90" s="49"/>
      <c r="GR90" s="49"/>
      <c r="GS90" s="49"/>
      <c r="GT90" s="49"/>
      <c r="GU90" s="49"/>
      <c r="GV90" s="49"/>
      <c r="GW90" s="49"/>
      <c r="GX90" s="49"/>
      <c r="GY90" s="49"/>
      <c r="GZ90" s="49"/>
      <c r="HA90" s="49"/>
      <c r="HB90" s="49"/>
      <c r="HC90" s="49"/>
      <c r="HD90" s="49"/>
      <c r="HE90" s="49"/>
      <c r="HF90" s="49"/>
      <c r="HG90" s="49"/>
      <c r="HH90" s="49"/>
      <c r="HI90" s="49"/>
      <c r="HJ90" s="49"/>
      <c r="HK90" s="49"/>
      <c r="HL90" s="49"/>
      <c r="HM90" s="49"/>
      <c r="HN90" s="49"/>
      <c r="HO90" s="49"/>
      <c r="HP90" s="49"/>
      <c r="HQ90" s="49"/>
      <c r="HR90" s="49"/>
      <c r="HS90" s="49"/>
      <c r="HT90" s="49"/>
      <c r="HU90" s="49"/>
    </row>
    <row r="91" spans="1:229" ht="18" x14ac:dyDescent="0.15">
      <c r="A91" s="347"/>
      <c r="B91" s="339"/>
      <c r="C91" s="340"/>
      <c r="D91" s="341"/>
      <c r="E91" s="341"/>
      <c r="F91" s="431">
        <f t="shared" si="2"/>
        <v>0</v>
      </c>
      <c r="G91" s="319" t="s">
        <v>32</v>
      </c>
      <c r="H91" s="320" t="s">
        <v>7</v>
      </c>
      <c r="I91" s="263">
        <f>9*D88</f>
        <v>490.59000000000003</v>
      </c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49"/>
      <c r="FG91" s="49"/>
      <c r="FH91" s="49"/>
      <c r="FI91" s="49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49"/>
      <c r="FU91" s="49"/>
      <c r="FV91" s="49"/>
      <c r="FW91" s="49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49"/>
      <c r="GI91" s="49"/>
      <c r="GJ91" s="49"/>
      <c r="GK91" s="49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49"/>
      <c r="GW91" s="49"/>
      <c r="GX91" s="49"/>
      <c r="GY91" s="49"/>
      <c r="GZ91" s="49"/>
      <c r="HA91" s="49"/>
      <c r="HB91" s="49"/>
      <c r="HC91" s="49"/>
      <c r="HD91" s="49"/>
      <c r="HE91" s="49"/>
      <c r="HF91" s="49"/>
      <c r="HG91" s="49"/>
      <c r="HH91" s="49"/>
      <c r="HI91" s="49"/>
      <c r="HJ91" s="49"/>
      <c r="HK91" s="49"/>
      <c r="HL91" s="49"/>
      <c r="HM91" s="49"/>
      <c r="HN91" s="49"/>
      <c r="HO91" s="49"/>
      <c r="HP91" s="49"/>
      <c r="HQ91" s="49"/>
      <c r="HR91" s="49"/>
      <c r="HS91" s="49"/>
      <c r="HT91" s="49"/>
      <c r="HU91" s="49"/>
    </row>
    <row r="92" spans="1:229" ht="18" x14ac:dyDescent="0.15">
      <c r="A92" s="347"/>
      <c r="B92" s="339"/>
      <c r="C92" s="340"/>
      <c r="D92" s="341"/>
      <c r="E92" s="341"/>
      <c r="F92" s="431">
        <f t="shared" si="2"/>
        <v>0</v>
      </c>
      <c r="G92" s="321" t="s">
        <v>33</v>
      </c>
      <c r="H92" s="320" t="s">
        <v>7</v>
      </c>
      <c r="I92" s="263">
        <f>23*D88</f>
        <v>1253.73</v>
      </c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9"/>
      <c r="DW92" s="49"/>
      <c r="DX92" s="49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49"/>
      <c r="FG92" s="49"/>
      <c r="FH92" s="49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49"/>
      <c r="FY92" s="49"/>
      <c r="FZ92" s="49"/>
      <c r="GA92" s="49"/>
      <c r="GB92" s="49"/>
      <c r="GC92" s="49"/>
      <c r="GD92" s="49"/>
      <c r="GE92" s="49"/>
      <c r="GF92" s="49"/>
      <c r="GG92" s="49"/>
      <c r="GH92" s="49"/>
      <c r="GI92" s="49"/>
      <c r="GJ92" s="49"/>
      <c r="GK92" s="49"/>
      <c r="GL92" s="49"/>
      <c r="GM92" s="49"/>
      <c r="GN92" s="49"/>
      <c r="GO92" s="49"/>
      <c r="GP92" s="49"/>
      <c r="GQ92" s="49"/>
      <c r="GR92" s="49"/>
      <c r="GS92" s="49"/>
      <c r="GT92" s="49"/>
      <c r="GU92" s="49"/>
      <c r="GV92" s="49"/>
      <c r="GW92" s="49"/>
      <c r="GX92" s="49"/>
      <c r="GY92" s="49"/>
      <c r="GZ92" s="49"/>
      <c r="HA92" s="49"/>
      <c r="HB92" s="49"/>
      <c r="HC92" s="49"/>
      <c r="HD92" s="49"/>
      <c r="HE92" s="49"/>
      <c r="HF92" s="49"/>
      <c r="HG92" s="49"/>
      <c r="HH92" s="49"/>
      <c r="HI92" s="49"/>
      <c r="HJ92" s="49"/>
      <c r="HK92" s="49"/>
      <c r="HL92" s="49"/>
      <c r="HM92" s="49"/>
      <c r="HN92" s="49"/>
      <c r="HO92" s="49"/>
      <c r="HP92" s="49"/>
      <c r="HQ92" s="49"/>
      <c r="HR92" s="49"/>
      <c r="HS92" s="49"/>
      <c r="HT92" s="49"/>
      <c r="HU92" s="49"/>
    </row>
    <row r="93" spans="1:229" ht="18" x14ac:dyDescent="0.15">
      <c r="A93" s="347"/>
      <c r="B93" s="339"/>
      <c r="C93" s="340"/>
      <c r="D93" s="341"/>
      <c r="E93" s="341"/>
      <c r="F93" s="431">
        <f t="shared" si="2"/>
        <v>0</v>
      </c>
      <c r="G93" s="274" t="s">
        <v>35</v>
      </c>
      <c r="H93" s="294" t="s">
        <v>7</v>
      </c>
      <c r="I93" s="263">
        <f>20*D88</f>
        <v>1090.2</v>
      </c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  <c r="DV93" s="49"/>
      <c r="DW93" s="49"/>
      <c r="DX93" s="49"/>
      <c r="DY93" s="49"/>
      <c r="DZ93" s="49"/>
      <c r="EA93" s="49"/>
      <c r="EB93" s="49"/>
      <c r="EC93" s="49"/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49"/>
      <c r="EO93" s="49"/>
      <c r="EP93" s="49"/>
      <c r="EQ93" s="49"/>
      <c r="ER93" s="49"/>
      <c r="ES93" s="49"/>
      <c r="ET93" s="49"/>
      <c r="EU93" s="49"/>
      <c r="EV93" s="49"/>
      <c r="EW93" s="49"/>
      <c r="EX93" s="49"/>
      <c r="EY93" s="49"/>
      <c r="EZ93" s="49"/>
      <c r="FA93" s="49"/>
      <c r="FB93" s="49"/>
      <c r="FC93" s="49"/>
      <c r="FD93" s="49"/>
      <c r="FE93" s="49"/>
      <c r="FF93" s="49"/>
      <c r="FG93" s="49"/>
      <c r="FH93" s="49"/>
      <c r="FI93" s="49"/>
      <c r="FJ93" s="49"/>
      <c r="FK93" s="49"/>
      <c r="FL93" s="49"/>
      <c r="FM93" s="49"/>
      <c r="FN93" s="49"/>
      <c r="FO93" s="49"/>
      <c r="FP93" s="49"/>
      <c r="FQ93" s="49"/>
      <c r="FR93" s="49"/>
      <c r="FS93" s="49"/>
      <c r="FT93" s="49"/>
      <c r="FU93" s="49"/>
      <c r="FV93" s="49"/>
      <c r="FW93" s="49"/>
      <c r="FX93" s="49"/>
      <c r="FY93" s="49"/>
      <c r="FZ93" s="49"/>
      <c r="GA93" s="49"/>
      <c r="GB93" s="49"/>
      <c r="GC93" s="49"/>
      <c r="GD93" s="49"/>
      <c r="GE93" s="49"/>
      <c r="GF93" s="49"/>
      <c r="GG93" s="49"/>
      <c r="GH93" s="49"/>
      <c r="GI93" s="49"/>
      <c r="GJ93" s="49"/>
      <c r="GK93" s="49"/>
      <c r="GL93" s="49"/>
      <c r="GM93" s="49"/>
      <c r="GN93" s="49"/>
      <c r="GO93" s="49"/>
      <c r="GP93" s="49"/>
      <c r="GQ93" s="49"/>
      <c r="GR93" s="49"/>
      <c r="GS93" s="49"/>
      <c r="GT93" s="49"/>
      <c r="GU93" s="49"/>
      <c r="GV93" s="49"/>
      <c r="GW93" s="49"/>
      <c r="GX93" s="49"/>
      <c r="GY93" s="49"/>
      <c r="GZ93" s="49"/>
      <c r="HA93" s="49"/>
      <c r="HB93" s="49"/>
      <c r="HC93" s="49"/>
      <c r="HD93" s="49"/>
      <c r="HE93" s="49"/>
      <c r="HF93" s="49"/>
      <c r="HG93" s="49"/>
      <c r="HH93" s="49"/>
      <c r="HI93" s="49"/>
      <c r="HJ93" s="49"/>
      <c r="HK93" s="49"/>
      <c r="HL93" s="49"/>
      <c r="HM93" s="49"/>
      <c r="HN93" s="49"/>
      <c r="HO93" s="49"/>
      <c r="HP93" s="49"/>
      <c r="HQ93" s="49"/>
      <c r="HR93" s="49"/>
      <c r="HS93" s="49"/>
      <c r="HT93" s="49"/>
      <c r="HU93" s="49"/>
    </row>
    <row r="94" spans="1:229" ht="18" x14ac:dyDescent="0.15">
      <c r="A94" s="347"/>
      <c r="B94" s="339"/>
      <c r="C94" s="340"/>
      <c r="D94" s="341"/>
      <c r="E94" s="341"/>
      <c r="F94" s="431">
        <f t="shared" si="2"/>
        <v>0</v>
      </c>
      <c r="G94" s="274" t="s">
        <v>36</v>
      </c>
      <c r="H94" s="262" t="s">
        <v>5</v>
      </c>
      <c r="I94" s="263">
        <f>D88*1.1</f>
        <v>59.961000000000013</v>
      </c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49"/>
      <c r="EE94" s="49"/>
      <c r="EF94" s="49"/>
      <c r="EG94" s="49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49"/>
      <c r="ES94" s="49"/>
      <c r="ET94" s="49"/>
      <c r="EU94" s="49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49"/>
      <c r="FG94" s="49"/>
      <c r="FH94" s="49"/>
      <c r="FI94" s="49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49"/>
      <c r="FU94" s="49"/>
      <c r="FV94" s="49"/>
      <c r="FW94" s="49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49"/>
      <c r="GI94" s="49"/>
      <c r="GJ94" s="49"/>
      <c r="GK94" s="49"/>
      <c r="GL94" s="49"/>
      <c r="GM94" s="49"/>
      <c r="GN94" s="49"/>
      <c r="GO94" s="49"/>
      <c r="GP94" s="49"/>
      <c r="GQ94" s="49"/>
      <c r="GR94" s="49"/>
      <c r="GS94" s="49"/>
      <c r="GT94" s="49"/>
      <c r="GU94" s="49"/>
      <c r="GV94" s="49"/>
      <c r="GW94" s="49"/>
      <c r="GX94" s="49"/>
      <c r="GY94" s="49"/>
      <c r="GZ94" s="49"/>
      <c r="HA94" s="49"/>
      <c r="HB94" s="49"/>
      <c r="HC94" s="49"/>
      <c r="HD94" s="49"/>
      <c r="HE94" s="49"/>
      <c r="HF94" s="49"/>
      <c r="HG94" s="49"/>
      <c r="HH94" s="49"/>
      <c r="HI94" s="49"/>
      <c r="HJ94" s="49"/>
      <c r="HK94" s="49"/>
      <c r="HL94" s="49"/>
      <c r="HM94" s="49"/>
      <c r="HN94" s="49"/>
      <c r="HO94" s="49"/>
      <c r="HP94" s="49"/>
      <c r="HQ94" s="49"/>
      <c r="HR94" s="49"/>
      <c r="HS94" s="49"/>
      <c r="HT94" s="49"/>
      <c r="HU94" s="49"/>
    </row>
    <row r="95" spans="1:229" ht="18" x14ac:dyDescent="0.15">
      <c r="A95" s="347"/>
      <c r="B95" s="339"/>
      <c r="C95" s="340"/>
      <c r="D95" s="341"/>
      <c r="E95" s="341"/>
      <c r="F95" s="431">
        <f t="shared" si="2"/>
        <v>0</v>
      </c>
      <c r="G95" s="274" t="s">
        <v>63</v>
      </c>
      <c r="H95" s="262" t="s">
        <v>2</v>
      </c>
      <c r="I95" s="263">
        <f>D88*0.4</f>
        <v>21.804000000000002</v>
      </c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49"/>
      <c r="DW95" s="49"/>
      <c r="DX95" s="49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/>
      <c r="EO95" s="49"/>
      <c r="EP95" s="49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49"/>
      <c r="FG95" s="49"/>
      <c r="FH95" s="49"/>
      <c r="FI95" s="49"/>
      <c r="FJ95" s="49"/>
      <c r="FK95" s="49"/>
      <c r="FL95" s="49"/>
      <c r="FM95" s="49"/>
      <c r="FN95" s="49"/>
      <c r="FO95" s="49"/>
      <c r="FP95" s="49"/>
      <c r="FQ95" s="49"/>
      <c r="FR95" s="49"/>
      <c r="FS95" s="49"/>
      <c r="FT95" s="49"/>
      <c r="FU95" s="49"/>
      <c r="FV95" s="49"/>
      <c r="FW95" s="49"/>
      <c r="FX95" s="49"/>
      <c r="FY95" s="49"/>
      <c r="FZ95" s="49"/>
      <c r="GA95" s="49"/>
      <c r="GB95" s="49"/>
      <c r="GC95" s="49"/>
      <c r="GD95" s="49"/>
      <c r="GE95" s="49"/>
      <c r="GF95" s="49"/>
      <c r="GG95" s="49"/>
      <c r="GH95" s="49"/>
      <c r="GI95" s="49"/>
      <c r="GJ95" s="49"/>
      <c r="GK95" s="49"/>
      <c r="GL95" s="49"/>
      <c r="GM95" s="49"/>
      <c r="GN95" s="49"/>
      <c r="GO95" s="49"/>
      <c r="GP95" s="49"/>
      <c r="GQ95" s="49"/>
      <c r="GR95" s="49"/>
      <c r="GS95" s="49"/>
      <c r="GT95" s="49"/>
      <c r="GU95" s="49"/>
      <c r="GV95" s="49"/>
      <c r="GW95" s="49"/>
      <c r="GX95" s="49"/>
      <c r="GY95" s="49"/>
      <c r="GZ95" s="49"/>
      <c r="HA95" s="49"/>
      <c r="HB95" s="49"/>
      <c r="HC95" s="49"/>
      <c r="HD95" s="49"/>
      <c r="HE95" s="49"/>
      <c r="HF95" s="49"/>
      <c r="HG95" s="49"/>
      <c r="HH95" s="49"/>
      <c r="HI95" s="49"/>
      <c r="HJ95" s="49"/>
      <c r="HK95" s="49"/>
      <c r="HL95" s="49"/>
      <c r="HM95" s="49"/>
      <c r="HN95" s="49"/>
      <c r="HO95" s="49"/>
      <c r="HP95" s="49"/>
      <c r="HQ95" s="49"/>
      <c r="HR95" s="49"/>
      <c r="HS95" s="49"/>
      <c r="HT95" s="49"/>
      <c r="HU95" s="49"/>
    </row>
    <row r="96" spans="1:229" ht="28.5" x14ac:dyDescent="0.15">
      <c r="A96" s="288">
        <v>10</v>
      </c>
      <c r="B96" s="317" t="s">
        <v>212</v>
      </c>
      <c r="C96" s="342" t="s">
        <v>0</v>
      </c>
      <c r="D96" s="341">
        <f>12.22*4+5.63</f>
        <v>54.510000000000005</v>
      </c>
      <c r="E96" s="341">
        <v>4</v>
      </c>
      <c r="F96" s="431">
        <f t="shared" si="2"/>
        <v>218.04000000000002</v>
      </c>
      <c r="G96" s="271" t="s">
        <v>8</v>
      </c>
      <c r="H96" s="262" t="s">
        <v>3</v>
      </c>
      <c r="I96" s="263">
        <f>0.15*D96</f>
        <v>8.1765000000000008</v>
      </c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9"/>
      <c r="DV96" s="49"/>
      <c r="DW96" s="49"/>
      <c r="DX96" s="49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49"/>
      <c r="FG96" s="49"/>
      <c r="FH96" s="49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49"/>
      <c r="FT96" s="49"/>
      <c r="FU96" s="49"/>
      <c r="FV96" s="49"/>
      <c r="FW96" s="49"/>
      <c r="FX96" s="49"/>
      <c r="FY96" s="49"/>
      <c r="FZ96" s="49"/>
      <c r="GA96" s="49"/>
      <c r="GB96" s="49"/>
      <c r="GC96" s="49"/>
      <c r="GD96" s="49"/>
      <c r="GE96" s="49"/>
      <c r="GF96" s="49"/>
      <c r="GG96" s="49"/>
      <c r="GH96" s="49"/>
      <c r="GI96" s="49"/>
      <c r="GJ96" s="49"/>
      <c r="GK96" s="49"/>
      <c r="GL96" s="49"/>
      <c r="GM96" s="49"/>
      <c r="GN96" s="49"/>
      <c r="GO96" s="49"/>
      <c r="GP96" s="49"/>
      <c r="GQ96" s="49"/>
      <c r="GR96" s="49"/>
      <c r="GS96" s="49"/>
      <c r="GT96" s="49"/>
      <c r="GU96" s="49"/>
      <c r="GV96" s="49"/>
      <c r="GW96" s="49"/>
      <c r="GX96" s="49"/>
      <c r="GY96" s="49"/>
      <c r="GZ96" s="49"/>
      <c r="HA96" s="49"/>
      <c r="HB96" s="49"/>
      <c r="HC96" s="49"/>
      <c r="HD96" s="49"/>
      <c r="HE96" s="49"/>
      <c r="HF96" s="49"/>
      <c r="HG96" s="49"/>
      <c r="HH96" s="49"/>
      <c r="HI96" s="49"/>
      <c r="HJ96" s="49"/>
      <c r="HK96" s="49"/>
      <c r="HL96" s="49"/>
      <c r="HM96" s="49"/>
      <c r="HN96" s="49"/>
      <c r="HO96" s="49"/>
      <c r="HP96" s="49"/>
      <c r="HQ96" s="49"/>
      <c r="HR96" s="49"/>
      <c r="HS96" s="49"/>
      <c r="HT96" s="49"/>
      <c r="HU96" s="49"/>
    </row>
    <row r="97" spans="1:229" ht="28.5" x14ac:dyDescent="0.15">
      <c r="A97" s="264">
        <v>11</v>
      </c>
      <c r="B97" s="271" t="s">
        <v>213</v>
      </c>
      <c r="C97" s="343" t="s">
        <v>0</v>
      </c>
      <c r="D97" s="341">
        <f>12.22*4+5.63</f>
        <v>54.510000000000005</v>
      </c>
      <c r="E97" s="341">
        <v>50</v>
      </c>
      <c r="F97" s="431">
        <f t="shared" si="2"/>
        <v>2725.5000000000005</v>
      </c>
      <c r="G97" s="271" t="s">
        <v>23</v>
      </c>
      <c r="H97" s="262" t="s">
        <v>2</v>
      </c>
      <c r="I97" s="263">
        <f>D97*1.2*2</f>
        <v>130.82400000000001</v>
      </c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  <c r="EQ97" s="49"/>
      <c r="ER97" s="49"/>
      <c r="ES97" s="49"/>
      <c r="ET97" s="49"/>
      <c r="EU97" s="49"/>
      <c r="EV97" s="49"/>
      <c r="EW97" s="49"/>
      <c r="EX97" s="49"/>
      <c r="EY97" s="49"/>
      <c r="EZ97" s="49"/>
      <c r="FA97" s="49"/>
      <c r="FB97" s="49"/>
      <c r="FC97" s="49"/>
      <c r="FD97" s="49"/>
      <c r="FE97" s="49"/>
      <c r="FF97" s="49"/>
      <c r="FG97" s="49"/>
      <c r="FH97" s="49"/>
      <c r="FI97" s="49"/>
      <c r="FJ97" s="49"/>
      <c r="FK97" s="49"/>
      <c r="FL97" s="49"/>
      <c r="FM97" s="49"/>
      <c r="FN97" s="49"/>
      <c r="FO97" s="49"/>
      <c r="FP97" s="49"/>
      <c r="FQ97" s="49"/>
      <c r="FR97" s="49"/>
      <c r="FS97" s="49"/>
      <c r="FT97" s="49"/>
      <c r="FU97" s="49"/>
      <c r="FV97" s="49"/>
      <c r="FW97" s="49"/>
      <c r="FX97" s="49"/>
      <c r="FY97" s="49"/>
      <c r="FZ97" s="49"/>
      <c r="GA97" s="49"/>
      <c r="GB97" s="49"/>
      <c r="GC97" s="49"/>
      <c r="GD97" s="49"/>
      <c r="GE97" s="49"/>
      <c r="GF97" s="49"/>
      <c r="GG97" s="49"/>
      <c r="GH97" s="49"/>
      <c r="GI97" s="49"/>
      <c r="GJ97" s="49"/>
      <c r="GK97" s="49"/>
      <c r="GL97" s="49"/>
      <c r="GM97" s="49"/>
      <c r="GN97" s="49"/>
      <c r="GO97" s="49"/>
      <c r="GP97" s="49"/>
      <c r="GQ97" s="49"/>
      <c r="GR97" s="49"/>
      <c r="GS97" s="49"/>
      <c r="GT97" s="49"/>
      <c r="GU97" s="49"/>
      <c r="GV97" s="49"/>
      <c r="GW97" s="49"/>
      <c r="GX97" s="49"/>
      <c r="GY97" s="49"/>
      <c r="GZ97" s="49"/>
      <c r="HA97" s="49"/>
      <c r="HB97" s="49"/>
      <c r="HC97" s="49"/>
      <c r="HD97" s="49"/>
      <c r="HE97" s="49"/>
      <c r="HF97" s="49"/>
      <c r="HG97" s="49"/>
      <c r="HH97" s="49"/>
      <c r="HI97" s="49"/>
      <c r="HJ97" s="49"/>
      <c r="HK97" s="49"/>
      <c r="HL97" s="49"/>
      <c r="HM97" s="49"/>
      <c r="HN97" s="49"/>
      <c r="HO97" s="49"/>
      <c r="HP97" s="49"/>
      <c r="HQ97" s="49"/>
      <c r="HR97" s="49"/>
      <c r="HS97" s="49"/>
      <c r="HT97" s="49"/>
      <c r="HU97" s="49"/>
    </row>
    <row r="98" spans="1:229" ht="28.5" x14ac:dyDescent="0.15">
      <c r="A98" s="288">
        <v>12</v>
      </c>
      <c r="B98" s="271" t="s">
        <v>214</v>
      </c>
      <c r="C98" s="343" t="s">
        <v>0</v>
      </c>
      <c r="D98" s="341">
        <f>12.22*4+5.63</f>
        <v>54.510000000000005</v>
      </c>
      <c r="E98" s="341">
        <v>4</v>
      </c>
      <c r="F98" s="431">
        <f t="shared" si="2"/>
        <v>218.04000000000002</v>
      </c>
      <c r="G98" s="269" t="s">
        <v>8</v>
      </c>
      <c r="H98" s="263" t="s">
        <v>3</v>
      </c>
      <c r="I98" s="263">
        <f>D98*0.15</f>
        <v>8.1765000000000008</v>
      </c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49"/>
      <c r="FG98" s="49"/>
      <c r="FH98" s="49"/>
      <c r="FI98" s="49"/>
      <c r="FJ98" s="49"/>
      <c r="FK98" s="49"/>
      <c r="FL98" s="49"/>
      <c r="FM98" s="49"/>
      <c r="FN98" s="49"/>
      <c r="FO98" s="49"/>
      <c r="FP98" s="49"/>
      <c r="FQ98" s="49"/>
      <c r="FR98" s="49"/>
      <c r="FS98" s="49"/>
      <c r="FT98" s="49"/>
      <c r="FU98" s="49"/>
      <c r="FV98" s="49"/>
      <c r="FW98" s="49"/>
      <c r="FX98" s="49"/>
      <c r="FY98" s="49"/>
      <c r="FZ98" s="49"/>
      <c r="GA98" s="49"/>
      <c r="GB98" s="49"/>
      <c r="GC98" s="49"/>
      <c r="GD98" s="49"/>
      <c r="GE98" s="49"/>
      <c r="GF98" s="49"/>
      <c r="GG98" s="49"/>
      <c r="GH98" s="49"/>
      <c r="GI98" s="49"/>
      <c r="GJ98" s="49"/>
      <c r="GK98" s="49"/>
      <c r="GL98" s="49"/>
      <c r="GM98" s="49"/>
      <c r="GN98" s="49"/>
      <c r="GO98" s="49"/>
      <c r="GP98" s="49"/>
      <c r="GQ98" s="49"/>
      <c r="GR98" s="49"/>
      <c r="GS98" s="49"/>
      <c r="GT98" s="49"/>
      <c r="GU98" s="49"/>
      <c r="GV98" s="49"/>
      <c r="GW98" s="49"/>
      <c r="GX98" s="49"/>
      <c r="GY98" s="49"/>
      <c r="GZ98" s="49"/>
      <c r="HA98" s="49"/>
      <c r="HB98" s="49"/>
      <c r="HC98" s="49"/>
      <c r="HD98" s="49"/>
      <c r="HE98" s="49"/>
      <c r="HF98" s="49"/>
      <c r="HG98" s="49"/>
      <c r="HH98" s="49"/>
      <c r="HI98" s="49"/>
      <c r="HJ98" s="49"/>
      <c r="HK98" s="49"/>
      <c r="HL98" s="49"/>
      <c r="HM98" s="49"/>
      <c r="HN98" s="49"/>
      <c r="HO98" s="49"/>
      <c r="HP98" s="49"/>
      <c r="HQ98" s="49"/>
      <c r="HR98" s="49"/>
      <c r="HS98" s="49"/>
      <c r="HT98" s="49"/>
      <c r="HU98" s="49"/>
    </row>
    <row r="99" spans="1:229" ht="42" x14ac:dyDescent="0.15">
      <c r="A99" s="264">
        <v>13</v>
      </c>
      <c r="B99" s="271" t="s">
        <v>215</v>
      </c>
      <c r="C99" s="343" t="s">
        <v>0</v>
      </c>
      <c r="D99" s="341">
        <f>12.22*4+5.63</f>
        <v>54.510000000000005</v>
      </c>
      <c r="E99" s="341">
        <v>15</v>
      </c>
      <c r="F99" s="431">
        <f t="shared" si="2"/>
        <v>817.65000000000009</v>
      </c>
      <c r="G99" s="271" t="s">
        <v>158</v>
      </c>
      <c r="H99" s="262" t="s">
        <v>0</v>
      </c>
      <c r="I99" s="263">
        <f>D99*1.05</f>
        <v>57.235500000000009</v>
      </c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  <c r="FG99" s="49"/>
      <c r="FH99" s="49"/>
      <c r="FI99" s="49"/>
      <c r="FJ99" s="49"/>
      <c r="FK99" s="49"/>
      <c r="FL99" s="49"/>
      <c r="FM99" s="49"/>
      <c r="FN99" s="49"/>
      <c r="FO99" s="49"/>
      <c r="FP99" s="49"/>
      <c r="FQ99" s="49"/>
      <c r="FR99" s="49"/>
      <c r="FS99" s="49"/>
      <c r="FT99" s="49"/>
      <c r="FU99" s="49"/>
      <c r="FV99" s="49"/>
      <c r="FW99" s="49"/>
      <c r="FX99" s="49"/>
      <c r="FY99" s="49"/>
      <c r="FZ99" s="49"/>
      <c r="GA99" s="49"/>
      <c r="GB99" s="49"/>
      <c r="GC99" s="49"/>
      <c r="GD99" s="49"/>
      <c r="GE99" s="49"/>
      <c r="GF99" s="49"/>
      <c r="GG99" s="49"/>
      <c r="GH99" s="49"/>
      <c r="GI99" s="49"/>
      <c r="GJ99" s="49"/>
      <c r="GK99" s="49"/>
      <c r="GL99" s="49"/>
      <c r="GM99" s="49"/>
      <c r="GN99" s="49"/>
      <c r="GO99" s="49"/>
      <c r="GP99" s="49"/>
      <c r="GQ99" s="49"/>
      <c r="GR99" s="49"/>
      <c r="GS99" s="49"/>
      <c r="GT99" s="49"/>
      <c r="GU99" s="49"/>
      <c r="GV99" s="49"/>
      <c r="GW99" s="49"/>
      <c r="GX99" s="49"/>
      <c r="GY99" s="49"/>
      <c r="GZ99" s="49"/>
      <c r="HA99" s="49"/>
      <c r="HB99" s="49"/>
      <c r="HC99" s="49"/>
      <c r="HD99" s="49"/>
      <c r="HE99" s="49"/>
      <c r="HF99" s="49"/>
      <c r="HG99" s="49"/>
      <c r="HH99" s="49"/>
      <c r="HI99" s="49"/>
      <c r="HJ99" s="49"/>
      <c r="HK99" s="49"/>
      <c r="HL99" s="49"/>
      <c r="HM99" s="49"/>
      <c r="HN99" s="49"/>
      <c r="HO99" s="49"/>
      <c r="HP99" s="49"/>
      <c r="HQ99" s="49"/>
      <c r="HR99" s="49"/>
      <c r="HS99" s="49"/>
      <c r="HT99" s="49"/>
      <c r="HU99" s="49"/>
    </row>
    <row r="100" spans="1:229" ht="28.5" x14ac:dyDescent="0.15">
      <c r="A100" s="264"/>
      <c r="B100" s="271"/>
      <c r="C100" s="343"/>
      <c r="D100" s="263"/>
      <c r="E100" s="263"/>
      <c r="F100" s="431">
        <f t="shared" si="2"/>
        <v>0</v>
      </c>
      <c r="G100" s="271" t="s">
        <v>159</v>
      </c>
      <c r="H100" s="262" t="s">
        <v>3</v>
      </c>
      <c r="I100" s="263">
        <f>D99*0.25</f>
        <v>13.627500000000001</v>
      </c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49"/>
      <c r="EX100" s="49"/>
      <c r="EY100" s="49"/>
      <c r="EZ100" s="49"/>
      <c r="FA100" s="49"/>
      <c r="FB100" s="49"/>
      <c r="FC100" s="49"/>
      <c r="FD100" s="49"/>
      <c r="FE100" s="49"/>
      <c r="FF100" s="49"/>
      <c r="FG100" s="49"/>
      <c r="FH100" s="49"/>
      <c r="FI100" s="49"/>
      <c r="FJ100" s="49"/>
      <c r="FK100" s="49"/>
      <c r="FL100" s="49"/>
      <c r="FM100" s="49"/>
      <c r="FN100" s="49"/>
      <c r="FO100" s="49"/>
      <c r="FP100" s="49"/>
      <c r="FQ100" s="49"/>
      <c r="FR100" s="49"/>
      <c r="FS100" s="49"/>
      <c r="FT100" s="49"/>
      <c r="FU100" s="49"/>
      <c r="FV100" s="49"/>
      <c r="FW100" s="49"/>
      <c r="FX100" s="49"/>
      <c r="FY100" s="49"/>
      <c r="FZ100" s="49"/>
      <c r="GA100" s="49"/>
      <c r="GB100" s="49"/>
      <c r="GC100" s="49"/>
      <c r="GD100" s="49"/>
      <c r="GE100" s="49"/>
      <c r="GF100" s="49"/>
      <c r="GG100" s="49"/>
      <c r="GH100" s="49"/>
      <c r="GI100" s="49"/>
      <c r="GJ100" s="49"/>
      <c r="GK100" s="49"/>
      <c r="GL100" s="49"/>
      <c r="GM100" s="49"/>
      <c r="GN100" s="49"/>
      <c r="GO100" s="49"/>
      <c r="GP100" s="49"/>
      <c r="GQ100" s="49"/>
      <c r="GR100" s="49"/>
      <c r="GS100" s="49"/>
      <c r="GT100" s="49"/>
      <c r="GU100" s="49"/>
      <c r="GV100" s="49"/>
      <c r="GW100" s="49"/>
      <c r="GX100" s="49"/>
      <c r="GY100" s="49"/>
      <c r="GZ100" s="49"/>
      <c r="HA100" s="49"/>
      <c r="HB100" s="49"/>
      <c r="HC100" s="49"/>
      <c r="HD100" s="49"/>
      <c r="HE100" s="49"/>
      <c r="HF100" s="49"/>
      <c r="HG100" s="49"/>
      <c r="HH100" s="49"/>
      <c r="HI100" s="49"/>
      <c r="HJ100" s="49"/>
      <c r="HK100" s="49"/>
      <c r="HL100" s="49"/>
      <c r="HM100" s="49"/>
      <c r="HN100" s="49"/>
      <c r="HO100" s="49"/>
      <c r="HP100" s="49"/>
      <c r="HQ100" s="49"/>
      <c r="HR100" s="49"/>
      <c r="HS100" s="49"/>
      <c r="HT100" s="49"/>
      <c r="HU100" s="49"/>
    </row>
    <row r="101" spans="1:229" ht="28.5" x14ac:dyDescent="0.15">
      <c r="A101" s="264">
        <v>14</v>
      </c>
      <c r="B101" s="265" t="s">
        <v>218</v>
      </c>
      <c r="C101" s="343" t="s">
        <v>0</v>
      </c>
      <c r="D101" s="341">
        <f>12.22*4+5.63</f>
        <v>54.510000000000005</v>
      </c>
      <c r="E101" s="447">
        <v>80</v>
      </c>
      <c r="F101" s="431">
        <f t="shared" si="2"/>
        <v>4360.8</v>
      </c>
      <c r="G101" s="272" t="s">
        <v>160</v>
      </c>
      <c r="H101" s="263" t="s">
        <v>2</v>
      </c>
      <c r="I101" s="263">
        <f>D101*0.5*2</f>
        <v>54.510000000000005</v>
      </c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</row>
    <row r="102" spans="1:229" ht="28.5" x14ac:dyDescent="0.15">
      <c r="A102" s="291">
        <v>15</v>
      </c>
      <c r="B102" s="289" t="s">
        <v>217</v>
      </c>
      <c r="C102" s="344" t="s">
        <v>0</v>
      </c>
      <c r="D102" s="341">
        <f>12.22*4+5.63</f>
        <v>54.510000000000005</v>
      </c>
      <c r="E102" s="447">
        <v>5</v>
      </c>
      <c r="F102" s="431">
        <f t="shared" si="2"/>
        <v>272.55</v>
      </c>
      <c r="G102" s="295" t="s">
        <v>8</v>
      </c>
      <c r="H102" s="262" t="s">
        <v>3</v>
      </c>
      <c r="I102" s="263">
        <f>0.15*D102</f>
        <v>8.1765000000000008</v>
      </c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49"/>
      <c r="GH102" s="49"/>
      <c r="GI102" s="49"/>
      <c r="GJ102" s="49"/>
      <c r="GK102" s="49"/>
      <c r="GL102" s="49"/>
      <c r="GM102" s="49"/>
      <c r="GN102" s="49"/>
      <c r="GO102" s="49"/>
      <c r="GP102" s="49"/>
      <c r="GQ102" s="49"/>
      <c r="GR102" s="49"/>
      <c r="GS102" s="49"/>
      <c r="GT102" s="49"/>
      <c r="GU102" s="49"/>
      <c r="GV102" s="49"/>
      <c r="GW102" s="49"/>
      <c r="GX102" s="49"/>
      <c r="GY102" s="49"/>
      <c r="GZ102" s="49"/>
      <c r="HA102" s="49"/>
      <c r="HB102" s="49"/>
      <c r="HC102" s="49"/>
      <c r="HD102" s="49"/>
      <c r="HE102" s="49"/>
      <c r="HF102" s="49"/>
      <c r="HG102" s="49"/>
      <c r="HH102" s="49"/>
      <c r="HI102" s="49"/>
      <c r="HJ102" s="49"/>
      <c r="HK102" s="49"/>
      <c r="HL102" s="49"/>
      <c r="HM102" s="49"/>
      <c r="HN102" s="49"/>
      <c r="HO102" s="49"/>
      <c r="HP102" s="49"/>
      <c r="HQ102" s="49"/>
      <c r="HR102" s="49"/>
      <c r="HS102" s="49"/>
      <c r="HT102" s="49"/>
      <c r="HU102" s="49"/>
    </row>
    <row r="103" spans="1:229" ht="28.5" x14ac:dyDescent="0.15">
      <c r="A103" s="288">
        <v>16</v>
      </c>
      <c r="B103" s="289" t="s">
        <v>216</v>
      </c>
      <c r="C103" s="342" t="s">
        <v>0</v>
      </c>
      <c r="D103" s="341">
        <f>12.22*4+5.63</f>
        <v>54.510000000000005</v>
      </c>
      <c r="E103" s="447">
        <v>40</v>
      </c>
      <c r="F103" s="431">
        <f t="shared" si="2"/>
        <v>2180.4</v>
      </c>
      <c r="G103" s="318" t="s">
        <v>204</v>
      </c>
      <c r="H103" s="254" t="s">
        <v>2</v>
      </c>
      <c r="I103" s="254">
        <f>D103*0.28</f>
        <v>15.262800000000002</v>
      </c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  <c r="FD103" s="49"/>
      <c r="FE103" s="49"/>
      <c r="FF103" s="49"/>
      <c r="FG103" s="49"/>
      <c r="FH103" s="49"/>
      <c r="FI103" s="49"/>
      <c r="FJ103" s="49"/>
      <c r="FK103" s="49"/>
      <c r="FL103" s="49"/>
      <c r="FM103" s="49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  <c r="GD103" s="49"/>
      <c r="GE103" s="49"/>
      <c r="GF103" s="49"/>
      <c r="GG103" s="49"/>
      <c r="GH103" s="49"/>
      <c r="GI103" s="49"/>
      <c r="GJ103" s="49"/>
      <c r="GK103" s="49"/>
      <c r="GL103" s="49"/>
      <c r="GM103" s="49"/>
      <c r="GN103" s="49"/>
      <c r="GO103" s="49"/>
      <c r="GP103" s="49"/>
      <c r="GQ103" s="49"/>
      <c r="GR103" s="49"/>
      <c r="GS103" s="49"/>
      <c r="GT103" s="49"/>
      <c r="GU103" s="49"/>
      <c r="GV103" s="49"/>
      <c r="GW103" s="49"/>
      <c r="GX103" s="49"/>
      <c r="GY103" s="49"/>
      <c r="GZ103" s="49"/>
      <c r="HA103" s="49"/>
      <c r="HB103" s="49"/>
      <c r="HC103" s="49"/>
      <c r="HD103" s="49"/>
      <c r="HE103" s="49"/>
      <c r="HF103" s="49"/>
      <c r="HG103" s="49"/>
      <c r="HH103" s="49"/>
      <c r="HI103" s="49"/>
      <c r="HJ103" s="49"/>
      <c r="HK103" s="49"/>
      <c r="HL103" s="49"/>
      <c r="HM103" s="49"/>
      <c r="HN103" s="49"/>
      <c r="HO103" s="49"/>
      <c r="HP103" s="49"/>
      <c r="HQ103" s="49"/>
      <c r="HR103" s="49"/>
      <c r="HS103" s="49"/>
      <c r="HT103" s="49"/>
      <c r="HU103" s="49"/>
    </row>
    <row r="104" spans="1:229" ht="14.25" x14ac:dyDescent="0.15">
      <c r="A104" s="288"/>
      <c r="B104" s="296"/>
      <c r="C104" s="290"/>
      <c r="D104" s="284"/>
      <c r="E104" s="284"/>
      <c r="F104" s="431">
        <f t="shared" si="2"/>
        <v>0</v>
      </c>
      <c r="G104" s="269" t="s">
        <v>163</v>
      </c>
      <c r="H104" s="263" t="s">
        <v>7</v>
      </c>
      <c r="I104" s="263">
        <v>3</v>
      </c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  <c r="DU104" s="49"/>
      <c r="DV104" s="49"/>
      <c r="DW104" s="49"/>
      <c r="DX104" s="49"/>
      <c r="DY104" s="49"/>
      <c r="DZ104" s="49"/>
      <c r="EA104" s="49"/>
      <c r="EB104" s="49"/>
      <c r="EC104" s="49"/>
      <c r="ED104" s="49"/>
      <c r="EE104" s="49"/>
      <c r="EF104" s="49"/>
      <c r="EG104" s="49"/>
      <c r="EH104" s="49"/>
      <c r="EI104" s="49"/>
      <c r="EJ104" s="49"/>
      <c r="EK104" s="49"/>
      <c r="EL104" s="49"/>
      <c r="EM104" s="49"/>
      <c r="EN104" s="49"/>
      <c r="EO104" s="49"/>
      <c r="EP104" s="49"/>
      <c r="EQ104" s="49"/>
      <c r="ER104" s="49"/>
      <c r="ES104" s="49"/>
      <c r="ET104" s="49"/>
      <c r="EU104" s="49"/>
      <c r="EV104" s="49"/>
      <c r="EW104" s="49"/>
      <c r="EX104" s="49"/>
      <c r="EY104" s="49"/>
      <c r="EZ104" s="49"/>
      <c r="FA104" s="49"/>
      <c r="FB104" s="49"/>
      <c r="FC104" s="49"/>
      <c r="FD104" s="49"/>
      <c r="FE104" s="49"/>
      <c r="FF104" s="49"/>
      <c r="FG104" s="49"/>
      <c r="FH104" s="49"/>
      <c r="FI104" s="49"/>
      <c r="FJ104" s="49"/>
      <c r="FK104" s="49"/>
      <c r="FL104" s="49"/>
      <c r="FM104" s="49"/>
      <c r="FN104" s="49"/>
      <c r="FO104" s="49"/>
      <c r="FP104" s="49"/>
      <c r="FQ104" s="49"/>
      <c r="FR104" s="49"/>
      <c r="FS104" s="49"/>
      <c r="FT104" s="49"/>
      <c r="FU104" s="49"/>
      <c r="FV104" s="49"/>
      <c r="FW104" s="49"/>
      <c r="FX104" s="49"/>
      <c r="FY104" s="49"/>
      <c r="FZ104" s="49"/>
      <c r="GA104" s="49"/>
      <c r="GB104" s="49"/>
      <c r="GC104" s="49"/>
      <c r="GD104" s="49"/>
      <c r="GE104" s="49"/>
      <c r="GF104" s="49"/>
      <c r="GG104" s="49"/>
      <c r="GH104" s="49"/>
      <c r="GI104" s="49"/>
      <c r="GJ104" s="49"/>
      <c r="GK104" s="49"/>
      <c r="GL104" s="49"/>
      <c r="GM104" s="49"/>
      <c r="GN104" s="49"/>
      <c r="GO104" s="49"/>
      <c r="GP104" s="49"/>
      <c r="GQ104" s="49"/>
      <c r="GR104" s="49"/>
      <c r="GS104" s="49"/>
      <c r="GT104" s="49"/>
      <c r="GU104" s="49"/>
      <c r="GV104" s="49"/>
      <c r="GW104" s="49"/>
      <c r="GX104" s="49"/>
      <c r="GY104" s="49"/>
      <c r="GZ104" s="49"/>
      <c r="HA104" s="49"/>
      <c r="HB104" s="49"/>
      <c r="HC104" s="49"/>
      <c r="HD104" s="49"/>
      <c r="HE104" s="49"/>
      <c r="HF104" s="49"/>
      <c r="HG104" s="49"/>
      <c r="HH104" s="49"/>
      <c r="HI104" s="49"/>
      <c r="HJ104" s="49"/>
      <c r="HK104" s="49"/>
      <c r="HL104" s="49"/>
      <c r="HM104" s="49"/>
      <c r="HN104" s="49"/>
      <c r="HO104" s="49"/>
      <c r="HP104" s="49"/>
      <c r="HQ104" s="49"/>
      <c r="HR104" s="49"/>
      <c r="HS104" s="49"/>
      <c r="HT104" s="49"/>
      <c r="HU104" s="49"/>
    </row>
    <row r="105" spans="1:229" ht="14.25" x14ac:dyDescent="0.15">
      <c r="A105" s="291"/>
      <c r="B105" s="430" t="s">
        <v>211</v>
      </c>
      <c r="C105" s="292"/>
      <c r="D105" s="293"/>
      <c r="E105" s="284"/>
      <c r="F105" s="431">
        <f t="shared" si="2"/>
        <v>0</v>
      </c>
      <c r="G105" s="274"/>
      <c r="H105" s="262"/>
      <c r="I105" s="263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9"/>
      <c r="DV105" s="49"/>
      <c r="DW105" s="49"/>
      <c r="DX105" s="49"/>
      <c r="DY105" s="49"/>
      <c r="DZ105" s="49"/>
      <c r="EA105" s="49"/>
      <c r="EB105" s="49"/>
      <c r="EC105" s="49"/>
      <c r="ED105" s="49"/>
      <c r="EE105" s="49"/>
      <c r="EF105" s="49"/>
      <c r="EG105" s="49"/>
      <c r="EH105" s="49"/>
      <c r="EI105" s="49"/>
      <c r="EJ105" s="49"/>
      <c r="EK105" s="49"/>
      <c r="EL105" s="49"/>
      <c r="EM105" s="49"/>
      <c r="EN105" s="49"/>
      <c r="EO105" s="49"/>
      <c r="EP105" s="49"/>
      <c r="EQ105" s="49"/>
      <c r="ER105" s="49"/>
      <c r="ES105" s="49"/>
      <c r="ET105" s="49"/>
      <c r="EU105" s="49"/>
      <c r="EV105" s="49"/>
      <c r="EW105" s="49"/>
      <c r="EX105" s="49"/>
      <c r="EY105" s="49"/>
      <c r="EZ105" s="49"/>
      <c r="FA105" s="49"/>
      <c r="FB105" s="49"/>
      <c r="FC105" s="49"/>
      <c r="FD105" s="49"/>
      <c r="FE105" s="49"/>
      <c r="FF105" s="49"/>
      <c r="FG105" s="49"/>
      <c r="FH105" s="49"/>
      <c r="FI105" s="49"/>
      <c r="FJ105" s="49"/>
      <c r="FK105" s="49"/>
      <c r="FL105" s="49"/>
      <c r="FM105" s="49"/>
      <c r="FN105" s="49"/>
      <c r="FO105" s="49"/>
      <c r="FP105" s="49"/>
      <c r="FQ105" s="49"/>
      <c r="FR105" s="49"/>
      <c r="FS105" s="49"/>
      <c r="FT105" s="49"/>
      <c r="FU105" s="49"/>
      <c r="FV105" s="49"/>
      <c r="FW105" s="49"/>
      <c r="FX105" s="49"/>
      <c r="FY105" s="49"/>
      <c r="FZ105" s="49"/>
      <c r="GA105" s="49"/>
      <c r="GB105" s="49"/>
      <c r="GC105" s="49"/>
      <c r="GD105" s="49"/>
      <c r="GE105" s="49"/>
      <c r="GF105" s="49"/>
      <c r="GG105" s="49"/>
      <c r="GH105" s="49"/>
      <c r="GI105" s="49"/>
      <c r="GJ105" s="49"/>
      <c r="GK105" s="49"/>
      <c r="GL105" s="49"/>
      <c r="GM105" s="49"/>
      <c r="GN105" s="49"/>
      <c r="GO105" s="49"/>
      <c r="GP105" s="49"/>
      <c r="GQ105" s="49"/>
      <c r="GR105" s="49"/>
      <c r="GS105" s="49"/>
      <c r="GT105" s="49"/>
      <c r="GU105" s="49"/>
      <c r="GV105" s="49"/>
      <c r="GW105" s="49"/>
      <c r="GX105" s="49"/>
      <c r="GY105" s="49"/>
      <c r="GZ105" s="49"/>
      <c r="HA105" s="49"/>
      <c r="HB105" s="49"/>
      <c r="HC105" s="49"/>
      <c r="HD105" s="49"/>
      <c r="HE105" s="49"/>
      <c r="HF105" s="49"/>
      <c r="HG105" s="49"/>
      <c r="HH105" s="49"/>
      <c r="HI105" s="49"/>
      <c r="HJ105" s="49"/>
      <c r="HK105" s="49"/>
      <c r="HL105" s="49"/>
      <c r="HM105" s="49"/>
      <c r="HN105" s="49"/>
      <c r="HO105" s="49"/>
      <c r="HP105" s="49"/>
      <c r="HQ105" s="49"/>
      <c r="HR105" s="49"/>
      <c r="HS105" s="49"/>
      <c r="HT105" s="49"/>
      <c r="HU105" s="49"/>
    </row>
    <row r="106" spans="1:229" ht="31.5" x14ac:dyDescent="0.2">
      <c r="A106" s="335">
        <v>17</v>
      </c>
      <c r="B106" s="336" t="s">
        <v>219</v>
      </c>
      <c r="C106" s="340" t="s">
        <v>62</v>
      </c>
      <c r="D106" s="341">
        <f>3.68*8+4.28</f>
        <v>33.72</v>
      </c>
      <c r="E106" s="446">
        <v>75</v>
      </c>
      <c r="F106" s="431">
        <f t="shared" si="2"/>
        <v>2529</v>
      </c>
      <c r="G106" s="274" t="s">
        <v>164</v>
      </c>
      <c r="H106" s="294" t="s">
        <v>0</v>
      </c>
      <c r="I106" s="263">
        <f>D106*0.25*5</f>
        <v>42.15</v>
      </c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  <c r="DR106" s="49"/>
      <c r="DS106" s="49"/>
      <c r="DT106" s="49"/>
      <c r="DU106" s="49"/>
      <c r="DV106" s="49"/>
      <c r="DW106" s="49"/>
      <c r="DX106" s="49"/>
      <c r="DY106" s="49"/>
      <c r="DZ106" s="49"/>
      <c r="EA106" s="49"/>
      <c r="EB106" s="49"/>
      <c r="EC106" s="49"/>
      <c r="ED106" s="49"/>
      <c r="EE106" s="49"/>
      <c r="EF106" s="49"/>
      <c r="EG106" s="49"/>
      <c r="EH106" s="49"/>
      <c r="EI106" s="49"/>
      <c r="EJ106" s="49"/>
      <c r="EK106" s="49"/>
      <c r="EL106" s="49"/>
      <c r="EM106" s="49"/>
      <c r="EN106" s="49"/>
      <c r="EO106" s="49"/>
      <c r="EP106" s="49"/>
      <c r="EQ106" s="49"/>
      <c r="ER106" s="49"/>
      <c r="ES106" s="49"/>
      <c r="ET106" s="49"/>
      <c r="EU106" s="49"/>
      <c r="EV106" s="49"/>
      <c r="EW106" s="49"/>
      <c r="EX106" s="49"/>
      <c r="EY106" s="49"/>
      <c r="EZ106" s="49"/>
      <c r="FA106" s="49"/>
      <c r="FB106" s="49"/>
      <c r="FC106" s="49"/>
      <c r="FD106" s="49"/>
      <c r="FE106" s="49"/>
      <c r="FF106" s="49"/>
      <c r="FG106" s="49"/>
      <c r="FH106" s="49"/>
      <c r="FI106" s="49"/>
      <c r="FJ106" s="49"/>
      <c r="FK106" s="49"/>
      <c r="FL106" s="49"/>
      <c r="FM106" s="49"/>
      <c r="FN106" s="49"/>
      <c r="FO106" s="49"/>
      <c r="FP106" s="49"/>
      <c r="FQ106" s="49"/>
      <c r="FR106" s="49"/>
      <c r="FS106" s="49"/>
      <c r="FT106" s="49"/>
      <c r="FU106" s="49"/>
      <c r="FV106" s="49"/>
      <c r="FW106" s="49"/>
      <c r="FX106" s="49"/>
      <c r="FY106" s="49"/>
      <c r="FZ106" s="49"/>
      <c r="GA106" s="49"/>
      <c r="GB106" s="49"/>
      <c r="GC106" s="49"/>
      <c r="GD106" s="49"/>
      <c r="GE106" s="49"/>
      <c r="GF106" s="49"/>
      <c r="GG106" s="49"/>
      <c r="GH106" s="49"/>
      <c r="GI106" s="49"/>
      <c r="GJ106" s="49"/>
      <c r="GK106" s="49"/>
      <c r="GL106" s="49"/>
      <c r="GM106" s="49"/>
      <c r="GN106" s="49"/>
      <c r="GO106" s="49"/>
      <c r="GP106" s="49"/>
      <c r="GQ106" s="49"/>
      <c r="GR106" s="49"/>
      <c r="GS106" s="49"/>
      <c r="GT106" s="49"/>
      <c r="GU106" s="49"/>
      <c r="GV106" s="49"/>
      <c r="GW106" s="49"/>
      <c r="GX106" s="49"/>
      <c r="GY106" s="49"/>
      <c r="GZ106" s="49"/>
      <c r="HA106" s="49"/>
      <c r="HB106" s="49"/>
      <c r="HC106" s="49"/>
      <c r="HD106" s="49"/>
      <c r="HE106" s="49"/>
      <c r="HF106" s="49"/>
      <c r="HG106" s="49"/>
      <c r="HH106" s="49"/>
      <c r="HI106" s="49"/>
      <c r="HJ106" s="49"/>
      <c r="HK106" s="49"/>
      <c r="HL106" s="49"/>
      <c r="HM106" s="49"/>
      <c r="HN106" s="49"/>
      <c r="HO106" s="49"/>
      <c r="HP106" s="49"/>
      <c r="HQ106" s="49"/>
      <c r="HR106" s="49"/>
      <c r="HS106" s="49"/>
      <c r="HT106" s="49"/>
      <c r="HU106" s="49"/>
    </row>
    <row r="107" spans="1:229" ht="18" x14ac:dyDescent="0.15">
      <c r="A107" s="347"/>
      <c r="B107" s="339"/>
      <c r="C107" s="340"/>
      <c r="D107" s="341"/>
      <c r="E107" s="447"/>
      <c r="F107" s="431">
        <f t="shared" si="2"/>
        <v>0</v>
      </c>
      <c r="G107" s="274" t="s">
        <v>30</v>
      </c>
      <c r="H107" s="262" t="s">
        <v>5</v>
      </c>
      <c r="I107" s="263">
        <f>D106/0.4*0.25*1.1</f>
        <v>23.182500000000001</v>
      </c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  <c r="DK107" s="49"/>
      <c r="DL107" s="49"/>
      <c r="DM107" s="49"/>
      <c r="DN107" s="49"/>
      <c r="DO107" s="49"/>
      <c r="DP107" s="49"/>
      <c r="DQ107" s="49"/>
      <c r="DR107" s="49"/>
      <c r="DS107" s="49"/>
      <c r="DT107" s="49"/>
      <c r="DU107" s="49"/>
      <c r="DV107" s="49"/>
      <c r="DW107" s="49"/>
      <c r="DX107" s="49"/>
      <c r="DY107" s="49"/>
      <c r="DZ107" s="49"/>
      <c r="EA107" s="49"/>
      <c r="EB107" s="49"/>
      <c r="EC107" s="49"/>
      <c r="ED107" s="49"/>
      <c r="EE107" s="49"/>
      <c r="EF107" s="49"/>
      <c r="EG107" s="49"/>
      <c r="EH107" s="49"/>
      <c r="EI107" s="49"/>
      <c r="EJ107" s="49"/>
      <c r="EK107" s="49"/>
      <c r="EL107" s="49"/>
      <c r="EM107" s="49"/>
      <c r="EN107" s="49"/>
      <c r="EO107" s="49"/>
      <c r="EP107" s="49"/>
      <c r="EQ107" s="49"/>
      <c r="ER107" s="49"/>
      <c r="ES107" s="49"/>
      <c r="ET107" s="49"/>
      <c r="EU107" s="49"/>
      <c r="EV107" s="49"/>
      <c r="EW107" s="49"/>
      <c r="EX107" s="49"/>
      <c r="EY107" s="49"/>
      <c r="EZ107" s="49"/>
      <c r="FA107" s="49"/>
      <c r="FB107" s="49"/>
      <c r="FC107" s="49"/>
      <c r="FD107" s="49"/>
      <c r="FE107" s="49"/>
      <c r="FF107" s="49"/>
      <c r="FG107" s="49"/>
      <c r="FH107" s="49"/>
      <c r="FI107" s="49"/>
      <c r="FJ107" s="49"/>
      <c r="FK107" s="49"/>
      <c r="FL107" s="49"/>
      <c r="FM107" s="49"/>
      <c r="FN107" s="49"/>
      <c r="FO107" s="49"/>
      <c r="FP107" s="49"/>
      <c r="FQ107" s="49"/>
      <c r="FR107" s="49"/>
      <c r="FS107" s="49"/>
      <c r="FT107" s="49"/>
      <c r="FU107" s="49"/>
      <c r="FV107" s="49"/>
      <c r="FW107" s="49"/>
      <c r="FX107" s="49"/>
      <c r="FY107" s="49"/>
      <c r="FZ107" s="49"/>
      <c r="GA107" s="49"/>
      <c r="GB107" s="49"/>
      <c r="GC107" s="49"/>
      <c r="GD107" s="49"/>
      <c r="GE107" s="49"/>
      <c r="GF107" s="49"/>
      <c r="GG107" s="49"/>
      <c r="GH107" s="49"/>
      <c r="GI107" s="49"/>
      <c r="GJ107" s="49"/>
      <c r="GK107" s="49"/>
      <c r="GL107" s="49"/>
      <c r="GM107" s="49"/>
      <c r="GN107" s="49"/>
      <c r="GO107" s="49"/>
      <c r="GP107" s="49"/>
      <c r="GQ107" s="49"/>
      <c r="GR107" s="49"/>
      <c r="GS107" s="49"/>
      <c r="GT107" s="49"/>
      <c r="GU107" s="49"/>
      <c r="GV107" s="49"/>
      <c r="GW107" s="49"/>
      <c r="GX107" s="49"/>
      <c r="GY107" s="49"/>
      <c r="GZ107" s="49"/>
      <c r="HA107" s="49"/>
      <c r="HB107" s="49"/>
      <c r="HC107" s="49"/>
      <c r="HD107" s="49"/>
      <c r="HE107" s="49"/>
      <c r="HF107" s="49"/>
      <c r="HG107" s="49"/>
      <c r="HH107" s="49"/>
      <c r="HI107" s="49"/>
      <c r="HJ107" s="49"/>
      <c r="HK107" s="49"/>
      <c r="HL107" s="49"/>
      <c r="HM107" s="49"/>
      <c r="HN107" s="49"/>
      <c r="HO107" s="49"/>
      <c r="HP107" s="49"/>
      <c r="HQ107" s="49"/>
      <c r="HR107" s="49"/>
      <c r="HS107" s="49"/>
      <c r="HT107" s="49"/>
      <c r="HU107" s="49"/>
    </row>
    <row r="108" spans="1:229" ht="28.5" x14ac:dyDescent="0.15">
      <c r="A108" s="347"/>
      <c r="B108" s="339"/>
      <c r="C108" s="340"/>
      <c r="D108" s="341"/>
      <c r="E108" s="447"/>
      <c r="F108" s="431">
        <f t="shared" si="2"/>
        <v>0</v>
      </c>
      <c r="G108" s="274" t="s">
        <v>31</v>
      </c>
      <c r="H108" s="262" t="s">
        <v>5</v>
      </c>
      <c r="I108" s="263">
        <f>D106*2*1.1</f>
        <v>74.183999999999997</v>
      </c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  <c r="DU108" s="49"/>
      <c r="DV108" s="49"/>
      <c r="DW108" s="49"/>
      <c r="DX108" s="49"/>
      <c r="DY108" s="49"/>
      <c r="DZ108" s="49"/>
      <c r="EA108" s="49"/>
      <c r="EB108" s="49"/>
      <c r="EC108" s="49"/>
      <c r="ED108" s="49"/>
      <c r="EE108" s="49"/>
      <c r="EF108" s="49"/>
      <c r="EG108" s="49"/>
      <c r="EH108" s="49"/>
      <c r="EI108" s="49"/>
      <c r="EJ108" s="49"/>
      <c r="EK108" s="49"/>
      <c r="EL108" s="49"/>
      <c r="EM108" s="49"/>
      <c r="EN108" s="49"/>
      <c r="EO108" s="49"/>
      <c r="EP108" s="49"/>
      <c r="EQ108" s="49"/>
      <c r="ER108" s="49"/>
      <c r="ES108" s="49"/>
      <c r="ET108" s="49"/>
      <c r="EU108" s="49"/>
      <c r="EV108" s="49"/>
      <c r="EW108" s="49"/>
      <c r="EX108" s="49"/>
      <c r="EY108" s="49"/>
      <c r="EZ108" s="49"/>
      <c r="FA108" s="49"/>
      <c r="FB108" s="49"/>
      <c r="FC108" s="49"/>
      <c r="FD108" s="49"/>
      <c r="FE108" s="49"/>
      <c r="FF108" s="49"/>
      <c r="FG108" s="49"/>
      <c r="FH108" s="49"/>
      <c r="FI108" s="49"/>
      <c r="FJ108" s="49"/>
      <c r="FK108" s="49"/>
      <c r="FL108" s="49"/>
      <c r="FM108" s="49"/>
      <c r="FN108" s="49"/>
      <c r="FO108" s="49"/>
      <c r="FP108" s="49"/>
      <c r="FQ108" s="49"/>
      <c r="FR108" s="49"/>
      <c r="FS108" s="49"/>
      <c r="FT108" s="49"/>
      <c r="FU108" s="49"/>
      <c r="FV108" s="49"/>
      <c r="FW108" s="49"/>
      <c r="FX108" s="49"/>
      <c r="FY108" s="49"/>
      <c r="FZ108" s="49"/>
      <c r="GA108" s="49"/>
      <c r="GB108" s="49"/>
      <c r="GC108" s="49"/>
      <c r="GD108" s="49"/>
      <c r="GE108" s="49"/>
      <c r="GF108" s="49"/>
      <c r="GG108" s="49"/>
      <c r="GH108" s="49"/>
      <c r="GI108" s="49"/>
      <c r="GJ108" s="49"/>
      <c r="GK108" s="49"/>
      <c r="GL108" s="49"/>
      <c r="GM108" s="49"/>
      <c r="GN108" s="49"/>
      <c r="GO108" s="49"/>
      <c r="GP108" s="49"/>
      <c r="GQ108" s="49"/>
      <c r="GR108" s="49"/>
      <c r="GS108" s="49"/>
      <c r="GT108" s="49"/>
      <c r="GU108" s="49"/>
      <c r="GV108" s="49"/>
      <c r="GW108" s="49"/>
      <c r="GX108" s="49"/>
      <c r="GY108" s="49"/>
      <c r="GZ108" s="49"/>
      <c r="HA108" s="49"/>
      <c r="HB108" s="49"/>
      <c r="HC108" s="49"/>
      <c r="HD108" s="49"/>
      <c r="HE108" s="49"/>
      <c r="HF108" s="49"/>
      <c r="HG108" s="49"/>
      <c r="HH108" s="49"/>
      <c r="HI108" s="49"/>
      <c r="HJ108" s="49"/>
      <c r="HK108" s="49"/>
      <c r="HL108" s="49"/>
      <c r="HM108" s="49"/>
      <c r="HN108" s="49"/>
      <c r="HO108" s="49"/>
      <c r="HP108" s="49"/>
      <c r="HQ108" s="49"/>
      <c r="HR108" s="49"/>
      <c r="HS108" s="49"/>
      <c r="HT108" s="49"/>
      <c r="HU108" s="49"/>
    </row>
    <row r="109" spans="1:229" ht="18" x14ac:dyDescent="0.15">
      <c r="A109" s="347"/>
      <c r="B109" s="339"/>
      <c r="C109" s="340"/>
      <c r="D109" s="341"/>
      <c r="E109" s="341"/>
      <c r="F109" s="431">
        <f t="shared" si="2"/>
        <v>0</v>
      </c>
      <c r="G109" s="321" t="s">
        <v>33</v>
      </c>
      <c r="H109" s="320" t="s">
        <v>7</v>
      </c>
      <c r="I109" s="263">
        <f>23*D106</f>
        <v>775.56</v>
      </c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  <c r="DU109" s="49"/>
      <c r="DV109" s="49"/>
      <c r="DW109" s="49"/>
      <c r="DX109" s="49"/>
      <c r="DY109" s="49"/>
      <c r="DZ109" s="49"/>
      <c r="EA109" s="49"/>
      <c r="EB109" s="49"/>
      <c r="EC109" s="49"/>
      <c r="ED109" s="49"/>
      <c r="EE109" s="49"/>
      <c r="EF109" s="49"/>
      <c r="EG109" s="49"/>
      <c r="EH109" s="49"/>
      <c r="EI109" s="49"/>
      <c r="EJ109" s="49"/>
      <c r="EK109" s="49"/>
      <c r="EL109" s="49"/>
      <c r="EM109" s="49"/>
      <c r="EN109" s="49"/>
      <c r="EO109" s="49"/>
      <c r="EP109" s="49"/>
      <c r="EQ109" s="49"/>
      <c r="ER109" s="49"/>
      <c r="ES109" s="49"/>
      <c r="ET109" s="49"/>
      <c r="EU109" s="49"/>
      <c r="EV109" s="49"/>
      <c r="EW109" s="49"/>
      <c r="EX109" s="49"/>
      <c r="EY109" s="49"/>
      <c r="EZ109" s="49"/>
      <c r="FA109" s="49"/>
      <c r="FB109" s="49"/>
      <c r="FC109" s="49"/>
      <c r="FD109" s="49"/>
      <c r="FE109" s="49"/>
      <c r="FF109" s="49"/>
      <c r="FG109" s="49"/>
      <c r="FH109" s="49"/>
      <c r="FI109" s="49"/>
      <c r="FJ109" s="49"/>
      <c r="FK109" s="49"/>
      <c r="FL109" s="49"/>
      <c r="FM109" s="49"/>
      <c r="FN109" s="49"/>
      <c r="FO109" s="49"/>
      <c r="FP109" s="49"/>
      <c r="FQ109" s="49"/>
      <c r="FR109" s="49"/>
      <c r="FS109" s="49"/>
      <c r="FT109" s="49"/>
      <c r="FU109" s="49"/>
      <c r="FV109" s="49"/>
      <c r="FW109" s="49"/>
      <c r="FX109" s="49"/>
      <c r="FY109" s="49"/>
      <c r="FZ109" s="49"/>
      <c r="GA109" s="49"/>
      <c r="GB109" s="49"/>
      <c r="GC109" s="49"/>
      <c r="GD109" s="49"/>
      <c r="GE109" s="49"/>
      <c r="GF109" s="49"/>
      <c r="GG109" s="49"/>
      <c r="GH109" s="49"/>
      <c r="GI109" s="49"/>
      <c r="GJ109" s="49"/>
      <c r="GK109" s="49"/>
      <c r="GL109" s="49"/>
      <c r="GM109" s="49"/>
      <c r="GN109" s="49"/>
      <c r="GO109" s="49"/>
      <c r="GP109" s="49"/>
      <c r="GQ109" s="49"/>
      <c r="GR109" s="49"/>
      <c r="GS109" s="49"/>
      <c r="GT109" s="49"/>
      <c r="GU109" s="49"/>
      <c r="GV109" s="49"/>
      <c r="GW109" s="49"/>
      <c r="GX109" s="49"/>
      <c r="GY109" s="49"/>
      <c r="GZ109" s="49"/>
      <c r="HA109" s="49"/>
      <c r="HB109" s="49"/>
      <c r="HC109" s="49"/>
      <c r="HD109" s="49"/>
      <c r="HE109" s="49"/>
      <c r="HF109" s="49"/>
      <c r="HG109" s="49"/>
      <c r="HH109" s="49"/>
      <c r="HI109" s="49"/>
      <c r="HJ109" s="49"/>
      <c r="HK109" s="49"/>
      <c r="HL109" s="49"/>
      <c r="HM109" s="49"/>
      <c r="HN109" s="49"/>
      <c r="HO109" s="49"/>
      <c r="HP109" s="49"/>
      <c r="HQ109" s="49"/>
      <c r="HR109" s="49"/>
      <c r="HS109" s="49"/>
      <c r="HT109" s="49"/>
      <c r="HU109" s="49"/>
    </row>
    <row r="110" spans="1:229" ht="18" x14ac:dyDescent="0.15">
      <c r="A110" s="347"/>
      <c r="B110" s="339"/>
      <c r="C110" s="340"/>
      <c r="D110" s="341"/>
      <c r="E110" s="341"/>
      <c r="F110" s="431">
        <f t="shared" si="2"/>
        <v>0</v>
      </c>
      <c r="G110" s="274" t="s">
        <v>35</v>
      </c>
      <c r="H110" s="294" t="s">
        <v>7</v>
      </c>
      <c r="I110" s="263">
        <f>20*D106</f>
        <v>674.4</v>
      </c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49"/>
      <c r="EX110" s="49"/>
      <c r="EY110" s="49"/>
      <c r="EZ110" s="49"/>
      <c r="FA110" s="49"/>
      <c r="FB110" s="49"/>
      <c r="FC110" s="49"/>
      <c r="FD110" s="49"/>
      <c r="FE110" s="49"/>
      <c r="FF110" s="49"/>
      <c r="FG110" s="49"/>
      <c r="FH110" s="49"/>
      <c r="FI110" s="49"/>
      <c r="FJ110" s="49"/>
      <c r="FK110" s="49"/>
      <c r="FL110" s="49"/>
      <c r="FM110" s="49"/>
      <c r="FN110" s="49"/>
      <c r="FO110" s="49"/>
      <c r="FP110" s="49"/>
      <c r="FQ110" s="49"/>
      <c r="FR110" s="49"/>
      <c r="FS110" s="49"/>
      <c r="FT110" s="49"/>
      <c r="FU110" s="49"/>
      <c r="FV110" s="49"/>
      <c r="FW110" s="49"/>
      <c r="FX110" s="49"/>
      <c r="FY110" s="49"/>
      <c r="FZ110" s="49"/>
      <c r="GA110" s="49"/>
      <c r="GB110" s="49"/>
      <c r="GC110" s="49"/>
      <c r="GD110" s="49"/>
      <c r="GE110" s="49"/>
      <c r="GF110" s="49"/>
      <c r="GG110" s="49"/>
      <c r="GH110" s="49"/>
      <c r="GI110" s="49"/>
      <c r="GJ110" s="49"/>
      <c r="GK110" s="49"/>
      <c r="GL110" s="49"/>
      <c r="GM110" s="49"/>
      <c r="GN110" s="49"/>
      <c r="GO110" s="49"/>
      <c r="GP110" s="49"/>
      <c r="GQ110" s="49"/>
      <c r="GR110" s="49"/>
      <c r="GS110" s="49"/>
      <c r="GT110" s="49"/>
      <c r="GU110" s="49"/>
      <c r="GV110" s="49"/>
      <c r="GW110" s="49"/>
      <c r="GX110" s="49"/>
      <c r="GY110" s="49"/>
      <c r="GZ110" s="49"/>
      <c r="HA110" s="49"/>
      <c r="HB110" s="49"/>
      <c r="HC110" s="49"/>
      <c r="HD110" s="49"/>
      <c r="HE110" s="49"/>
      <c r="HF110" s="49"/>
      <c r="HG110" s="49"/>
      <c r="HH110" s="49"/>
      <c r="HI110" s="49"/>
      <c r="HJ110" s="49"/>
      <c r="HK110" s="49"/>
      <c r="HL110" s="49"/>
      <c r="HM110" s="49"/>
      <c r="HN110" s="49"/>
      <c r="HO110" s="49"/>
      <c r="HP110" s="49"/>
      <c r="HQ110" s="49"/>
      <c r="HR110" s="49"/>
      <c r="HS110" s="49"/>
      <c r="HT110" s="49"/>
      <c r="HU110" s="49"/>
    </row>
    <row r="111" spans="1:229" ht="18" x14ac:dyDescent="0.15">
      <c r="A111" s="347"/>
      <c r="B111" s="339"/>
      <c r="C111" s="340"/>
      <c r="D111" s="341"/>
      <c r="E111" s="341"/>
      <c r="F111" s="431">
        <f t="shared" si="2"/>
        <v>0</v>
      </c>
      <c r="G111" s="274" t="s">
        <v>36</v>
      </c>
      <c r="H111" s="262" t="s">
        <v>5</v>
      </c>
      <c r="I111" s="263">
        <f>D106*1.1</f>
        <v>37.091999999999999</v>
      </c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  <c r="DV111" s="49"/>
      <c r="DW111" s="49"/>
      <c r="DX111" s="49"/>
      <c r="DY111" s="49"/>
      <c r="DZ111" s="49"/>
      <c r="EA111" s="49"/>
      <c r="EB111" s="49"/>
      <c r="EC111" s="49"/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  <c r="EU111" s="49"/>
      <c r="EV111" s="49"/>
      <c r="EW111" s="49"/>
      <c r="EX111" s="49"/>
      <c r="EY111" s="49"/>
      <c r="EZ111" s="49"/>
      <c r="FA111" s="49"/>
      <c r="FB111" s="49"/>
      <c r="FC111" s="49"/>
      <c r="FD111" s="49"/>
      <c r="FE111" s="49"/>
      <c r="FF111" s="49"/>
      <c r="FG111" s="49"/>
      <c r="FH111" s="49"/>
      <c r="FI111" s="49"/>
      <c r="FJ111" s="49"/>
      <c r="FK111" s="49"/>
      <c r="FL111" s="49"/>
      <c r="FM111" s="49"/>
      <c r="FN111" s="49"/>
      <c r="FO111" s="49"/>
      <c r="FP111" s="49"/>
      <c r="FQ111" s="49"/>
      <c r="FR111" s="49"/>
      <c r="FS111" s="49"/>
      <c r="FT111" s="49"/>
      <c r="FU111" s="49"/>
      <c r="FV111" s="49"/>
      <c r="FW111" s="49"/>
      <c r="FX111" s="49"/>
      <c r="FY111" s="49"/>
      <c r="FZ111" s="49"/>
      <c r="GA111" s="49"/>
      <c r="GB111" s="49"/>
      <c r="GC111" s="49"/>
      <c r="GD111" s="49"/>
      <c r="GE111" s="49"/>
      <c r="GF111" s="49"/>
      <c r="GG111" s="49"/>
      <c r="GH111" s="49"/>
      <c r="GI111" s="49"/>
      <c r="GJ111" s="49"/>
      <c r="GK111" s="49"/>
      <c r="GL111" s="49"/>
      <c r="GM111" s="49"/>
      <c r="GN111" s="49"/>
      <c r="GO111" s="49"/>
      <c r="GP111" s="49"/>
      <c r="GQ111" s="49"/>
      <c r="GR111" s="49"/>
      <c r="GS111" s="49"/>
      <c r="GT111" s="49"/>
      <c r="GU111" s="49"/>
      <c r="GV111" s="49"/>
      <c r="GW111" s="49"/>
      <c r="GX111" s="49"/>
      <c r="GY111" s="49"/>
      <c r="GZ111" s="49"/>
      <c r="HA111" s="49"/>
      <c r="HB111" s="49"/>
      <c r="HC111" s="49"/>
      <c r="HD111" s="49"/>
      <c r="HE111" s="49"/>
      <c r="HF111" s="49"/>
      <c r="HG111" s="49"/>
      <c r="HH111" s="49"/>
      <c r="HI111" s="49"/>
      <c r="HJ111" s="49"/>
      <c r="HK111" s="49"/>
      <c r="HL111" s="49"/>
      <c r="HM111" s="49"/>
      <c r="HN111" s="49"/>
      <c r="HO111" s="49"/>
      <c r="HP111" s="49"/>
      <c r="HQ111" s="49"/>
      <c r="HR111" s="49"/>
      <c r="HS111" s="49"/>
      <c r="HT111" s="49"/>
      <c r="HU111" s="49"/>
    </row>
    <row r="112" spans="1:229" ht="18" x14ac:dyDescent="0.15">
      <c r="A112" s="347"/>
      <c r="B112" s="339"/>
      <c r="C112" s="340"/>
      <c r="D112" s="341"/>
      <c r="E112" s="341"/>
      <c r="F112" s="431">
        <f t="shared" si="2"/>
        <v>0</v>
      </c>
      <c r="G112" s="274" t="s">
        <v>63</v>
      </c>
      <c r="H112" s="262" t="s">
        <v>2</v>
      </c>
      <c r="I112" s="263">
        <f>D106*0.4</f>
        <v>13.488</v>
      </c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49"/>
      <c r="EE112" s="49"/>
      <c r="EF112" s="49"/>
      <c r="EG112" s="49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49"/>
      <c r="ES112" s="49"/>
      <c r="ET112" s="49"/>
      <c r="EU112" s="49"/>
      <c r="EV112" s="49"/>
      <c r="EW112" s="49"/>
      <c r="EX112" s="49"/>
      <c r="EY112" s="49"/>
      <c r="EZ112" s="49"/>
      <c r="FA112" s="49"/>
      <c r="FB112" s="49"/>
      <c r="FC112" s="49"/>
      <c r="FD112" s="49"/>
      <c r="FE112" s="49"/>
      <c r="FF112" s="49"/>
      <c r="FG112" s="49"/>
      <c r="FH112" s="49"/>
      <c r="FI112" s="49"/>
      <c r="FJ112" s="49"/>
      <c r="FK112" s="49"/>
      <c r="FL112" s="49"/>
      <c r="FM112" s="49"/>
      <c r="FN112" s="49"/>
      <c r="FO112" s="49"/>
      <c r="FP112" s="49"/>
      <c r="FQ112" s="49"/>
      <c r="FR112" s="49"/>
      <c r="FS112" s="49"/>
      <c r="FT112" s="49"/>
      <c r="FU112" s="49"/>
      <c r="FV112" s="49"/>
      <c r="FW112" s="49"/>
      <c r="FX112" s="49"/>
      <c r="FY112" s="49"/>
      <c r="FZ112" s="49"/>
      <c r="GA112" s="49"/>
      <c r="GB112" s="49"/>
      <c r="GC112" s="49"/>
      <c r="GD112" s="49"/>
      <c r="GE112" s="49"/>
      <c r="GF112" s="49"/>
      <c r="GG112" s="49"/>
      <c r="GH112" s="49"/>
      <c r="GI112" s="49"/>
      <c r="GJ112" s="49"/>
      <c r="GK112" s="49"/>
      <c r="GL112" s="49"/>
      <c r="GM112" s="49"/>
      <c r="GN112" s="49"/>
      <c r="GO112" s="49"/>
      <c r="GP112" s="49"/>
      <c r="GQ112" s="49"/>
      <c r="GR112" s="49"/>
      <c r="GS112" s="49"/>
      <c r="GT112" s="49"/>
      <c r="GU112" s="49"/>
      <c r="GV112" s="49"/>
      <c r="GW112" s="49"/>
      <c r="GX112" s="49"/>
      <c r="GY112" s="49"/>
      <c r="GZ112" s="49"/>
      <c r="HA112" s="49"/>
      <c r="HB112" s="49"/>
      <c r="HC112" s="49"/>
      <c r="HD112" s="49"/>
      <c r="HE112" s="49"/>
      <c r="HF112" s="49"/>
      <c r="HG112" s="49"/>
      <c r="HH112" s="49"/>
      <c r="HI112" s="49"/>
      <c r="HJ112" s="49"/>
      <c r="HK112" s="49"/>
      <c r="HL112" s="49"/>
      <c r="HM112" s="49"/>
      <c r="HN112" s="49"/>
      <c r="HO112" s="49"/>
      <c r="HP112" s="49"/>
      <c r="HQ112" s="49"/>
      <c r="HR112" s="49"/>
      <c r="HS112" s="49"/>
      <c r="HT112" s="49"/>
      <c r="HU112" s="49"/>
    </row>
    <row r="113" spans="1:229" ht="29.25" x14ac:dyDescent="0.2">
      <c r="A113" s="288">
        <v>18</v>
      </c>
      <c r="B113" s="317" t="s">
        <v>220</v>
      </c>
      <c r="C113" s="340" t="s">
        <v>62</v>
      </c>
      <c r="D113" s="341">
        <f>3.68*8+4.28</f>
        <v>33.72</v>
      </c>
      <c r="E113" s="341">
        <v>4</v>
      </c>
      <c r="F113" s="431">
        <f t="shared" si="2"/>
        <v>134.88</v>
      </c>
      <c r="G113" s="271" t="s">
        <v>8</v>
      </c>
      <c r="H113" s="262" t="s">
        <v>3</v>
      </c>
      <c r="I113" s="263">
        <f>D113*0.25*0.15</f>
        <v>1.2645</v>
      </c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  <c r="DV113" s="49"/>
      <c r="DW113" s="49"/>
      <c r="DX113" s="49"/>
      <c r="DY113" s="49"/>
      <c r="DZ113" s="49"/>
      <c r="EA113" s="49"/>
      <c r="EB113" s="49"/>
      <c r="EC113" s="49"/>
      <c r="ED113" s="49"/>
      <c r="EE113" s="49"/>
      <c r="EF113" s="49"/>
      <c r="EG113" s="49"/>
      <c r="EH113" s="49"/>
      <c r="EI113" s="49"/>
      <c r="EJ113" s="49"/>
      <c r="EK113" s="49"/>
      <c r="EL113" s="49"/>
      <c r="EM113" s="49"/>
      <c r="EN113" s="49"/>
      <c r="EO113" s="49"/>
      <c r="EP113" s="49"/>
      <c r="EQ113" s="49"/>
      <c r="ER113" s="49"/>
      <c r="ES113" s="49"/>
      <c r="ET113" s="49"/>
      <c r="EU113" s="49"/>
      <c r="EV113" s="49"/>
      <c r="EW113" s="49"/>
      <c r="EX113" s="49"/>
      <c r="EY113" s="49"/>
      <c r="EZ113" s="49"/>
      <c r="FA113" s="49"/>
      <c r="FB113" s="49"/>
      <c r="FC113" s="49"/>
      <c r="FD113" s="49"/>
      <c r="FE113" s="49"/>
      <c r="FF113" s="49"/>
      <c r="FG113" s="49"/>
      <c r="FH113" s="49"/>
      <c r="FI113" s="49"/>
      <c r="FJ113" s="49"/>
      <c r="FK113" s="49"/>
      <c r="FL113" s="49"/>
      <c r="FM113" s="49"/>
      <c r="FN113" s="49"/>
      <c r="FO113" s="49"/>
      <c r="FP113" s="49"/>
      <c r="FQ113" s="49"/>
      <c r="FR113" s="49"/>
      <c r="FS113" s="49"/>
      <c r="FT113" s="49"/>
      <c r="FU113" s="49"/>
      <c r="FV113" s="49"/>
      <c r="FW113" s="49"/>
      <c r="FX113" s="49"/>
      <c r="FY113" s="49"/>
      <c r="FZ113" s="49"/>
      <c r="GA113" s="49"/>
      <c r="GB113" s="49"/>
      <c r="GC113" s="49"/>
      <c r="GD113" s="49"/>
      <c r="GE113" s="49"/>
      <c r="GF113" s="49"/>
      <c r="GG113" s="49"/>
      <c r="GH113" s="49"/>
      <c r="GI113" s="49"/>
      <c r="GJ113" s="49"/>
      <c r="GK113" s="49"/>
      <c r="GL113" s="49"/>
      <c r="GM113" s="49"/>
      <c r="GN113" s="49"/>
      <c r="GO113" s="49"/>
      <c r="GP113" s="49"/>
      <c r="GQ113" s="49"/>
      <c r="GR113" s="49"/>
      <c r="GS113" s="49"/>
      <c r="GT113" s="49"/>
      <c r="GU113" s="49"/>
      <c r="GV113" s="49"/>
      <c r="GW113" s="49"/>
      <c r="GX113" s="49"/>
      <c r="GY113" s="49"/>
      <c r="GZ113" s="49"/>
      <c r="HA113" s="49"/>
      <c r="HB113" s="49"/>
      <c r="HC113" s="49"/>
      <c r="HD113" s="49"/>
      <c r="HE113" s="49"/>
      <c r="HF113" s="49"/>
      <c r="HG113" s="49"/>
      <c r="HH113" s="49"/>
      <c r="HI113" s="49"/>
      <c r="HJ113" s="49"/>
      <c r="HK113" s="49"/>
      <c r="HL113" s="49"/>
      <c r="HM113" s="49"/>
      <c r="HN113" s="49"/>
      <c r="HO113" s="49"/>
      <c r="HP113" s="49"/>
      <c r="HQ113" s="49"/>
      <c r="HR113" s="49"/>
      <c r="HS113" s="49"/>
      <c r="HT113" s="49"/>
      <c r="HU113" s="49"/>
    </row>
    <row r="114" spans="1:229" ht="29.25" x14ac:dyDescent="0.2">
      <c r="A114" s="288">
        <v>19</v>
      </c>
      <c r="B114" s="271" t="s">
        <v>221</v>
      </c>
      <c r="C114" s="340" t="s">
        <v>62</v>
      </c>
      <c r="D114" s="341">
        <f>3.68*8+4.28</f>
        <v>33.72</v>
      </c>
      <c r="E114" s="341">
        <v>50</v>
      </c>
      <c r="F114" s="431">
        <f t="shared" si="2"/>
        <v>1686</v>
      </c>
      <c r="G114" s="271" t="s">
        <v>23</v>
      </c>
      <c r="H114" s="262" t="s">
        <v>2</v>
      </c>
      <c r="I114" s="263">
        <f>D114*0.25*1.2*2</f>
        <v>20.231999999999999</v>
      </c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  <c r="DR114" s="49"/>
      <c r="DS114" s="49"/>
      <c r="DT114" s="49"/>
      <c r="DU114" s="49"/>
      <c r="DV114" s="49"/>
      <c r="DW114" s="49"/>
      <c r="DX114" s="49"/>
      <c r="DY114" s="49"/>
      <c r="DZ114" s="49"/>
      <c r="EA114" s="49"/>
      <c r="EB114" s="49"/>
      <c r="EC114" s="49"/>
      <c r="ED114" s="49"/>
      <c r="EE114" s="49"/>
      <c r="EF114" s="49"/>
      <c r="EG114" s="49"/>
      <c r="EH114" s="49"/>
      <c r="EI114" s="49"/>
      <c r="EJ114" s="49"/>
      <c r="EK114" s="49"/>
      <c r="EL114" s="49"/>
      <c r="EM114" s="49"/>
      <c r="EN114" s="49"/>
      <c r="EO114" s="49"/>
      <c r="EP114" s="49"/>
      <c r="EQ114" s="49"/>
      <c r="ER114" s="49"/>
      <c r="ES114" s="49"/>
      <c r="ET114" s="49"/>
      <c r="EU114" s="49"/>
      <c r="EV114" s="49"/>
      <c r="EW114" s="49"/>
      <c r="EX114" s="49"/>
      <c r="EY114" s="49"/>
      <c r="EZ114" s="49"/>
      <c r="FA114" s="49"/>
      <c r="FB114" s="49"/>
      <c r="FC114" s="49"/>
      <c r="FD114" s="49"/>
      <c r="FE114" s="49"/>
      <c r="FF114" s="49"/>
      <c r="FG114" s="49"/>
      <c r="FH114" s="49"/>
      <c r="FI114" s="49"/>
      <c r="FJ114" s="49"/>
      <c r="FK114" s="49"/>
      <c r="FL114" s="49"/>
      <c r="FM114" s="49"/>
      <c r="FN114" s="49"/>
      <c r="FO114" s="49"/>
      <c r="FP114" s="49"/>
      <c r="FQ114" s="49"/>
      <c r="FR114" s="49"/>
      <c r="FS114" s="49"/>
      <c r="FT114" s="49"/>
      <c r="FU114" s="49"/>
      <c r="FV114" s="49"/>
      <c r="FW114" s="49"/>
      <c r="FX114" s="49"/>
      <c r="FY114" s="49"/>
      <c r="FZ114" s="49"/>
      <c r="GA114" s="49"/>
      <c r="GB114" s="49"/>
      <c r="GC114" s="49"/>
      <c r="GD114" s="49"/>
      <c r="GE114" s="49"/>
      <c r="GF114" s="49"/>
      <c r="GG114" s="49"/>
      <c r="GH114" s="49"/>
      <c r="GI114" s="49"/>
      <c r="GJ114" s="49"/>
      <c r="GK114" s="49"/>
      <c r="GL114" s="49"/>
      <c r="GM114" s="49"/>
      <c r="GN114" s="49"/>
      <c r="GO114" s="49"/>
      <c r="GP114" s="49"/>
      <c r="GQ114" s="49"/>
      <c r="GR114" s="49"/>
      <c r="GS114" s="49"/>
      <c r="GT114" s="49"/>
      <c r="GU114" s="49"/>
      <c r="GV114" s="49"/>
      <c r="GW114" s="49"/>
      <c r="GX114" s="49"/>
      <c r="GY114" s="49"/>
      <c r="GZ114" s="49"/>
      <c r="HA114" s="49"/>
      <c r="HB114" s="49"/>
      <c r="HC114" s="49"/>
      <c r="HD114" s="49"/>
      <c r="HE114" s="49"/>
      <c r="HF114" s="49"/>
      <c r="HG114" s="49"/>
      <c r="HH114" s="49"/>
      <c r="HI114" s="49"/>
      <c r="HJ114" s="49"/>
      <c r="HK114" s="49"/>
      <c r="HL114" s="49"/>
      <c r="HM114" s="49"/>
      <c r="HN114" s="49"/>
      <c r="HO114" s="49"/>
      <c r="HP114" s="49"/>
      <c r="HQ114" s="49"/>
      <c r="HR114" s="49"/>
      <c r="HS114" s="49"/>
      <c r="HT114" s="49"/>
      <c r="HU114" s="49"/>
    </row>
    <row r="115" spans="1:229" ht="29.25" x14ac:dyDescent="0.2">
      <c r="A115" s="288">
        <v>20</v>
      </c>
      <c r="B115" s="271" t="s">
        <v>222</v>
      </c>
      <c r="C115" s="340" t="s">
        <v>62</v>
      </c>
      <c r="D115" s="341">
        <f>3.68*8+4.28</f>
        <v>33.72</v>
      </c>
      <c r="E115" s="341">
        <v>4</v>
      </c>
      <c r="F115" s="431">
        <f t="shared" si="2"/>
        <v>134.88</v>
      </c>
      <c r="G115" s="269" t="s">
        <v>8</v>
      </c>
      <c r="H115" s="263" t="s">
        <v>3</v>
      </c>
      <c r="I115" s="263">
        <f>D115*0.25*0.15</f>
        <v>1.2645</v>
      </c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  <c r="DS115" s="49"/>
      <c r="DT115" s="49"/>
      <c r="DU115" s="49"/>
      <c r="DV115" s="49"/>
      <c r="DW115" s="49"/>
      <c r="DX115" s="49"/>
      <c r="DY115" s="49"/>
      <c r="DZ115" s="49"/>
      <c r="EA115" s="49"/>
      <c r="EB115" s="49"/>
      <c r="EC115" s="49"/>
      <c r="ED115" s="49"/>
      <c r="EE115" s="49"/>
      <c r="EF115" s="49"/>
      <c r="EG115" s="49"/>
      <c r="EH115" s="49"/>
      <c r="EI115" s="49"/>
      <c r="EJ115" s="49"/>
      <c r="EK115" s="49"/>
      <c r="EL115" s="49"/>
      <c r="EM115" s="49"/>
      <c r="EN115" s="49"/>
      <c r="EO115" s="49"/>
      <c r="EP115" s="49"/>
      <c r="EQ115" s="49"/>
      <c r="ER115" s="49"/>
      <c r="ES115" s="49"/>
      <c r="ET115" s="49"/>
      <c r="EU115" s="49"/>
      <c r="EV115" s="49"/>
      <c r="EW115" s="49"/>
      <c r="EX115" s="49"/>
      <c r="EY115" s="49"/>
      <c r="EZ115" s="49"/>
      <c r="FA115" s="49"/>
      <c r="FB115" s="49"/>
      <c r="FC115" s="49"/>
      <c r="FD115" s="49"/>
      <c r="FE115" s="49"/>
      <c r="FF115" s="49"/>
      <c r="FG115" s="49"/>
      <c r="FH115" s="49"/>
      <c r="FI115" s="49"/>
      <c r="FJ115" s="49"/>
      <c r="FK115" s="49"/>
      <c r="FL115" s="49"/>
      <c r="FM115" s="49"/>
      <c r="FN115" s="49"/>
      <c r="FO115" s="49"/>
      <c r="FP115" s="49"/>
      <c r="FQ115" s="49"/>
      <c r="FR115" s="49"/>
      <c r="FS115" s="49"/>
      <c r="FT115" s="49"/>
      <c r="FU115" s="49"/>
      <c r="FV115" s="49"/>
      <c r="FW115" s="49"/>
      <c r="FX115" s="49"/>
      <c r="FY115" s="49"/>
      <c r="FZ115" s="49"/>
      <c r="GA115" s="49"/>
      <c r="GB115" s="49"/>
      <c r="GC115" s="49"/>
      <c r="GD115" s="49"/>
      <c r="GE115" s="49"/>
      <c r="GF115" s="49"/>
      <c r="GG115" s="49"/>
      <c r="GH115" s="49"/>
      <c r="GI115" s="49"/>
      <c r="GJ115" s="49"/>
      <c r="GK115" s="49"/>
      <c r="GL115" s="49"/>
      <c r="GM115" s="49"/>
      <c r="GN115" s="49"/>
      <c r="GO115" s="49"/>
      <c r="GP115" s="49"/>
      <c r="GQ115" s="49"/>
      <c r="GR115" s="49"/>
      <c r="GS115" s="49"/>
      <c r="GT115" s="49"/>
      <c r="GU115" s="49"/>
      <c r="GV115" s="49"/>
      <c r="GW115" s="49"/>
      <c r="GX115" s="49"/>
      <c r="GY115" s="49"/>
      <c r="GZ115" s="49"/>
      <c r="HA115" s="49"/>
      <c r="HB115" s="49"/>
      <c r="HC115" s="49"/>
      <c r="HD115" s="49"/>
      <c r="HE115" s="49"/>
      <c r="HF115" s="49"/>
      <c r="HG115" s="49"/>
      <c r="HH115" s="49"/>
      <c r="HI115" s="49"/>
      <c r="HJ115" s="49"/>
      <c r="HK115" s="49"/>
      <c r="HL115" s="49"/>
      <c r="HM115" s="49"/>
      <c r="HN115" s="49"/>
      <c r="HO115" s="49"/>
      <c r="HP115" s="49"/>
      <c r="HQ115" s="49"/>
      <c r="HR115" s="49"/>
      <c r="HS115" s="49"/>
      <c r="HT115" s="49"/>
      <c r="HU115" s="49"/>
    </row>
    <row r="116" spans="1:229" ht="42.75" x14ac:dyDescent="0.2">
      <c r="A116" s="288">
        <v>21</v>
      </c>
      <c r="B116" s="271" t="s">
        <v>223</v>
      </c>
      <c r="C116" s="340" t="s">
        <v>62</v>
      </c>
      <c r="D116" s="341">
        <f>3.68*8+4.28</f>
        <v>33.72</v>
      </c>
      <c r="E116" s="341">
        <v>15</v>
      </c>
      <c r="F116" s="431">
        <f t="shared" si="2"/>
        <v>505.79999999999995</v>
      </c>
      <c r="G116" s="271" t="s">
        <v>158</v>
      </c>
      <c r="H116" s="262" t="s">
        <v>0</v>
      </c>
      <c r="I116" s="263">
        <f>D116*0.25*1.05</f>
        <v>8.8514999999999997</v>
      </c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  <c r="DO116" s="49"/>
      <c r="DP116" s="49"/>
      <c r="DQ116" s="49"/>
      <c r="DR116" s="49"/>
      <c r="DS116" s="49"/>
      <c r="DT116" s="49"/>
      <c r="DU116" s="49"/>
      <c r="DV116" s="49"/>
      <c r="DW116" s="49"/>
      <c r="DX116" s="49"/>
      <c r="DY116" s="49"/>
      <c r="DZ116" s="49"/>
      <c r="EA116" s="49"/>
      <c r="EB116" s="49"/>
      <c r="EC116" s="49"/>
      <c r="ED116" s="49"/>
      <c r="EE116" s="49"/>
      <c r="EF116" s="49"/>
      <c r="EG116" s="49"/>
      <c r="EH116" s="49"/>
      <c r="EI116" s="49"/>
      <c r="EJ116" s="49"/>
      <c r="EK116" s="49"/>
      <c r="EL116" s="49"/>
      <c r="EM116" s="49"/>
      <c r="EN116" s="49"/>
      <c r="EO116" s="49"/>
      <c r="EP116" s="49"/>
      <c r="EQ116" s="49"/>
      <c r="ER116" s="49"/>
      <c r="ES116" s="49"/>
      <c r="ET116" s="49"/>
      <c r="EU116" s="49"/>
      <c r="EV116" s="49"/>
      <c r="EW116" s="49"/>
      <c r="EX116" s="49"/>
      <c r="EY116" s="49"/>
      <c r="EZ116" s="49"/>
      <c r="FA116" s="49"/>
      <c r="FB116" s="49"/>
      <c r="FC116" s="49"/>
      <c r="FD116" s="49"/>
      <c r="FE116" s="49"/>
      <c r="FF116" s="49"/>
      <c r="FG116" s="49"/>
      <c r="FH116" s="49"/>
      <c r="FI116" s="49"/>
      <c r="FJ116" s="49"/>
      <c r="FK116" s="49"/>
      <c r="FL116" s="49"/>
      <c r="FM116" s="49"/>
      <c r="FN116" s="49"/>
      <c r="FO116" s="49"/>
      <c r="FP116" s="49"/>
      <c r="FQ116" s="49"/>
      <c r="FR116" s="49"/>
      <c r="FS116" s="49"/>
      <c r="FT116" s="49"/>
      <c r="FU116" s="49"/>
      <c r="FV116" s="49"/>
      <c r="FW116" s="49"/>
      <c r="FX116" s="49"/>
      <c r="FY116" s="49"/>
      <c r="FZ116" s="49"/>
      <c r="GA116" s="49"/>
      <c r="GB116" s="49"/>
      <c r="GC116" s="49"/>
      <c r="GD116" s="49"/>
      <c r="GE116" s="49"/>
      <c r="GF116" s="49"/>
      <c r="GG116" s="49"/>
      <c r="GH116" s="49"/>
      <c r="GI116" s="49"/>
      <c r="GJ116" s="49"/>
      <c r="GK116" s="49"/>
      <c r="GL116" s="49"/>
      <c r="GM116" s="49"/>
      <c r="GN116" s="49"/>
      <c r="GO116" s="49"/>
      <c r="GP116" s="49"/>
      <c r="GQ116" s="49"/>
      <c r="GR116" s="49"/>
      <c r="GS116" s="49"/>
      <c r="GT116" s="49"/>
      <c r="GU116" s="49"/>
      <c r="GV116" s="49"/>
      <c r="GW116" s="49"/>
      <c r="GX116" s="49"/>
      <c r="GY116" s="49"/>
      <c r="GZ116" s="49"/>
      <c r="HA116" s="49"/>
      <c r="HB116" s="49"/>
      <c r="HC116" s="49"/>
      <c r="HD116" s="49"/>
      <c r="HE116" s="49"/>
      <c r="HF116" s="49"/>
      <c r="HG116" s="49"/>
      <c r="HH116" s="49"/>
      <c r="HI116" s="49"/>
      <c r="HJ116" s="49"/>
      <c r="HK116" s="49"/>
      <c r="HL116" s="49"/>
      <c r="HM116" s="49"/>
      <c r="HN116" s="49"/>
      <c r="HO116" s="49"/>
      <c r="HP116" s="49"/>
      <c r="HQ116" s="49"/>
      <c r="HR116" s="49"/>
      <c r="HS116" s="49"/>
      <c r="HT116" s="49"/>
      <c r="HU116" s="49"/>
    </row>
    <row r="117" spans="1:229" ht="28.5" x14ac:dyDescent="0.15">
      <c r="A117" s="264"/>
      <c r="B117" s="271"/>
      <c r="C117" s="345"/>
      <c r="D117" s="263"/>
      <c r="E117" s="263"/>
      <c r="F117" s="431">
        <f t="shared" si="2"/>
        <v>0</v>
      </c>
      <c r="G117" s="271" t="s">
        <v>159</v>
      </c>
      <c r="H117" s="262" t="s">
        <v>3</v>
      </c>
      <c r="I117" s="263">
        <f>D116*0.25*0.25</f>
        <v>2.1074999999999999</v>
      </c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49"/>
      <c r="DQ117" s="49"/>
      <c r="DR117" s="49"/>
      <c r="DS117" s="49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49"/>
      <c r="EE117" s="49"/>
      <c r="EF117" s="49"/>
      <c r="EG117" s="49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49"/>
      <c r="ES117" s="49"/>
      <c r="ET117" s="49"/>
      <c r="EU117" s="49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49"/>
      <c r="FG117" s="49"/>
      <c r="FH117" s="49"/>
      <c r="FI117" s="49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49"/>
      <c r="FU117" s="49"/>
      <c r="FV117" s="49"/>
      <c r="FW117" s="49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49"/>
      <c r="GI117" s="49"/>
      <c r="GJ117" s="49"/>
      <c r="GK117" s="49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49"/>
      <c r="GW117" s="49"/>
      <c r="GX117" s="49"/>
      <c r="GY117" s="49"/>
      <c r="GZ117" s="49"/>
      <c r="HA117" s="49"/>
      <c r="HB117" s="49"/>
      <c r="HC117" s="49"/>
      <c r="HD117" s="49"/>
      <c r="HE117" s="49"/>
      <c r="HF117" s="49"/>
      <c r="HG117" s="49"/>
      <c r="HH117" s="49"/>
      <c r="HI117" s="49"/>
      <c r="HJ117" s="49"/>
      <c r="HK117" s="49"/>
      <c r="HL117" s="49"/>
      <c r="HM117" s="49"/>
      <c r="HN117" s="49"/>
      <c r="HO117" s="49"/>
      <c r="HP117" s="49"/>
      <c r="HQ117" s="49"/>
      <c r="HR117" s="49"/>
      <c r="HS117" s="49"/>
      <c r="HT117" s="49"/>
      <c r="HU117" s="49"/>
    </row>
    <row r="118" spans="1:229" ht="29.25" x14ac:dyDescent="0.2">
      <c r="A118" s="264">
        <v>22</v>
      </c>
      <c r="B118" s="265" t="s">
        <v>224</v>
      </c>
      <c r="C118" s="340" t="s">
        <v>62</v>
      </c>
      <c r="D118" s="341">
        <f>3.68*8+4.28</f>
        <v>33.72</v>
      </c>
      <c r="E118" s="447">
        <v>80</v>
      </c>
      <c r="F118" s="431">
        <f t="shared" si="2"/>
        <v>2697.6</v>
      </c>
      <c r="G118" s="272" t="s">
        <v>160</v>
      </c>
      <c r="H118" s="263" t="s">
        <v>2</v>
      </c>
      <c r="I118" s="263">
        <f>D118*0.25*0.5*2</f>
        <v>8.43</v>
      </c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</row>
    <row r="119" spans="1:229" ht="29.25" x14ac:dyDescent="0.2">
      <c r="A119" s="291">
        <v>23</v>
      </c>
      <c r="B119" s="289" t="s">
        <v>225</v>
      </c>
      <c r="C119" s="340" t="s">
        <v>62</v>
      </c>
      <c r="D119" s="341">
        <f>3.68*8+4.28</f>
        <v>33.72</v>
      </c>
      <c r="E119" s="341">
        <v>4</v>
      </c>
      <c r="F119" s="431">
        <f t="shared" si="2"/>
        <v>134.88</v>
      </c>
      <c r="G119" s="295" t="s">
        <v>8</v>
      </c>
      <c r="H119" s="262" t="s">
        <v>3</v>
      </c>
      <c r="I119" s="263">
        <f>D119*0.25*0.15</f>
        <v>1.2645</v>
      </c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  <c r="DR119" s="49"/>
      <c r="DS119" s="49"/>
      <c r="DT119" s="49"/>
      <c r="DU119" s="49"/>
      <c r="DV119" s="49"/>
      <c r="DW119" s="49"/>
      <c r="DX119" s="49"/>
      <c r="DY119" s="49"/>
      <c r="DZ119" s="49"/>
      <c r="EA119" s="49"/>
      <c r="EB119" s="49"/>
      <c r="EC119" s="49"/>
      <c r="ED119" s="49"/>
      <c r="EE119" s="49"/>
      <c r="EF119" s="49"/>
      <c r="EG119" s="49"/>
      <c r="EH119" s="49"/>
      <c r="EI119" s="49"/>
      <c r="EJ119" s="49"/>
      <c r="EK119" s="49"/>
      <c r="EL119" s="49"/>
      <c r="EM119" s="49"/>
      <c r="EN119" s="49"/>
      <c r="EO119" s="49"/>
      <c r="EP119" s="49"/>
      <c r="EQ119" s="49"/>
      <c r="ER119" s="49"/>
      <c r="ES119" s="49"/>
      <c r="ET119" s="49"/>
      <c r="EU119" s="49"/>
      <c r="EV119" s="49"/>
      <c r="EW119" s="49"/>
      <c r="EX119" s="49"/>
      <c r="EY119" s="49"/>
      <c r="EZ119" s="49"/>
      <c r="FA119" s="49"/>
      <c r="FB119" s="49"/>
      <c r="FC119" s="49"/>
      <c r="FD119" s="49"/>
      <c r="FE119" s="49"/>
      <c r="FF119" s="49"/>
      <c r="FG119" s="49"/>
      <c r="FH119" s="49"/>
      <c r="FI119" s="49"/>
      <c r="FJ119" s="49"/>
      <c r="FK119" s="49"/>
      <c r="FL119" s="49"/>
      <c r="FM119" s="49"/>
      <c r="FN119" s="49"/>
      <c r="FO119" s="49"/>
      <c r="FP119" s="49"/>
      <c r="FQ119" s="49"/>
      <c r="FR119" s="49"/>
      <c r="FS119" s="49"/>
      <c r="FT119" s="49"/>
      <c r="FU119" s="49"/>
      <c r="FV119" s="49"/>
      <c r="FW119" s="49"/>
      <c r="FX119" s="49"/>
      <c r="FY119" s="49"/>
      <c r="FZ119" s="49"/>
      <c r="GA119" s="49"/>
      <c r="GB119" s="49"/>
      <c r="GC119" s="49"/>
      <c r="GD119" s="49"/>
      <c r="GE119" s="49"/>
      <c r="GF119" s="49"/>
      <c r="GG119" s="49"/>
      <c r="GH119" s="49"/>
      <c r="GI119" s="49"/>
      <c r="GJ119" s="49"/>
      <c r="GK119" s="49"/>
      <c r="GL119" s="49"/>
      <c r="GM119" s="49"/>
      <c r="GN119" s="49"/>
      <c r="GO119" s="49"/>
      <c r="GP119" s="49"/>
      <c r="GQ119" s="49"/>
      <c r="GR119" s="49"/>
      <c r="GS119" s="49"/>
      <c r="GT119" s="49"/>
      <c r="GU119" s="49"/>
      <c r="GV119" s="49"/>
      <c r="GW119" s="49"/>
      <c r="GX119" s="49"/>
      <c r="GY119" s="49"/>
      <c r="GZ119" s="49"/>
      <c r="HA119" s="49"/>
      <c r="HB119" s="49"/>
      <c r="HC119" s="49"/>
      <c r="HD119" s="49"/>
      <c r="HE119" s="49"/>
      <c r="HF119" s="49"/>
      <c r="HG119" s="49"/>
      <c r="HH119" s="49"/>
      <c r="HI119" s="49"/>
      <c r="HJ119" s="49"/>
      <c r="HK119" s="49"/>
      <c r="HL119" s="49"/>
      <c r="HM119" s="49"/>
      <c r="HN119" s="49"/>
      <c r="HO119" s="49"/>
      <c r="HP119" s="49"/>
      <c r="HQ119" s="49"/>
      <c r="HR119" s="49"/>
      <c r="HS119" s="49"/>
      <c r="HT119" s="49"/>
      <c r="HU119" s="49"/>
    </row>
    <row r="120" spans="1:229" ht="29.25" x14ac:dyDescent="0.2">
      <c r="A120" s="288">
        <v>24</v>
      </c>
      <c r="B120" s="289" t="s">
        <v>226</v>
      </c>
      <c r="C120" s="340" t="s">
        <v>62</v>
      </c>
      <c r="D120" s="341">
        <f>3.68*8+4.28</f>
        <v>33.72</v>
      </c>
      <c r="E120" s="341">
        <v>40</v>
      </c>
      <c r="F120" s="431">
        <f t="shared" si="2"/>
        <v>1348.8</v>
      </c>
      <c r="G120" s="318" t="s">
        <v>204</v>
      </c>
      <c r="H120" s="254" t="s">
        <v>2</v>
      </c>
      <c r="I120" s="254">
        <f>D120*0.25*0.3</f>
        <v>2.5289999999999999</v>
      </c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  <c r="DS120" s="49"/>
      <c r="DT120" s="49"/>
      <c r="DU120" s="49"/>
      <c r="DV120" s="49"/>
      <c r="DW120" s="49"/>
      <c r="DX120" s="49"/>
      <c r="DY120" s="49"/>
      <c r="DZ120" s="49"/>
      <c r="EA120" s="49"/>
      <c r="EB120" s="49"/>
      <c r="EC120" s="49"/>
      <c r="ED120" s="49"/>
      <c r="EE120" s="49"/>
      <c r="EF120" s="49"/>
      <c r="EG120" s="49"/>
      <c r="EH120" s="49"/>
      <c r="EI120" s="49"/>
      <c r="EJ120" s="49"/>
      <c r="EK120" s="49"/>
      <c r="EL120" s="49"/>
      <c r="EM120" s="49"/>
      <c r="EN120" s="49"/>
      <c r="EO120" s="49"/>
      <c r="EP120" s="49"/>
      <c r="EQ120" s="49"/>
      <c r="ER120" s="49"/>
      <c r="ES120" s="49"/>
      <c r="ET120" s="49"/>
      <c r="EU120" s="49"/>
      <c r="EV120" s="49"/>
      <c r="EW120" s="49"/>
      <c r="EX120" s="49"/>
      <c r="EY120" s="49"/>
      <c r="EZ120" s="49"/>
      <c r="FA120" s="49"/>
      <c r="FB120" s="49"/>
      <c r="FC120" s="49"/>
      <c r="FD120" s="49"/>
      <c r="FE120" s="49"/>
      <c r="FF120" s="49"/>
      <c r="FG120" s="49"/>
      <c r="FH120" s="49"/>
      <c r="FI120" s="49"/>
      <c r="FJ120" s="49"/>
      <c r="FK120" s="49"/>
      <c r="FL120" s="49"/>
      <c r="FM120" s="49"/>
      <c r="FN120" s="49"/>
      <c r="FO120" s="49"/>
      <c r="FP120" s="49"/>
      <c r="FQ120" s="49"/>
      <c r="FR120" s="49"/>
      <c r="FS120" s="49"/>
      <c r="FT120" s="49"/>
      <c r="FU120" s="49"/>
      <c r="FV120" s="49"/>
      <c r="FW120" s="49"/>
      <c r="FX120" s="49"/>
      <c r="FY120" s="49"/>
      <c r="FZ120" s="49"/>
      <c r="GA120" s="49"/>
      <c r="GB120" s="49"/>
      <c r="GC120" s="49"/>
      <c r="GD120" s="49"/>
      <c r="GE120" s="49"/>
      <c r="GF120" s="49"/>
      <c r="GG120" s="49"/>
      <c r="GH120" s="49"/>
      <c r="GI120" s="49"/>
      <c r="GJ120" s="49"/>
      <c r="GK120" s="49"/>
      <c r="GL120" s="49"/>
      <c r="GM120" s="49"/>
      <c r="GN120" s="49"/>
      <c r="GO120" s="49"/>
      <c r="GP120" s="49"/>
      <c r="GQ120" s="49"/>
      <c r="GR120" s="49"/>
      <c r="GS120" s="49"/>
      <c r="GT120" s="49"/>
      <c r="GU120" s="49"/>
      <c r="GV120" s="49"/>
      <c r="GW120" s="49"/>
      <c r="GX120" s="49"/>
      <c r="GY120" s="49"/>
      <c r="GZ120" s="49"/>
      <c r="HA120" s="49"/>
      <c r="HB120" s="49"/>
      <c r="HC120" s="49"/>
      <c r="HD120" s="49"/>
      <c r="HE120" s="49"/>
      <c r="HF120" s="49"/>
      <c r="HG120" s="49"/>
      <c r="HH120" s="49"/>
      <c r="HI120" s="49"/>
      <c r="HJ120" s="49"/>
      <c r="HK120" s="49"/>
      <c r="HL120" s="49"/>
      <c r="HM120" s="49"/>
      <c r="HN120" s="49"/>
      <c r="HO120" s="49"/>
      <c r="HP120" s="49"/>
      <c r="HQ120" s="49"/>
      <c r="HR120" s="49"/>
      <c r="HS120" s="49"/>
      <c r="HT120" s="49"/>
      <c r="HU120" s="49"/>
    </row>
    <row r="121" spans="1:229" ht="14.25" x14ac:dyDescent="0.15">
      <c r="A121" s="288"/>
      <c r="B121" s="296"/>
      <c r="C121" s="290"/>
      <c r="D121" s="284"/>
      <c r="E121" s="284"/>
      <c r="F121" s="431">
        <f t="shared" si="2"/>
        <v>0</v>
      </c>
      <c r="G121" s="269" t="s">
        <v>163</v>
      </c>
      <c r="H121" s="263" t="s">
        <v>7</v>
      </c>
      <c r="I121" s="263">
        <v>2</v>
      </c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49"/>
      <c r="DC121" s="49"/>
      <c r="DD121" s="49"/>
      <c r="DE121" s="49"/>
      <c r="DF121" s="49"/>
      <c r="DG121" s="49"/>
      <c r="DH121" s="49"/>
      <c r="DI121" s="49"/>
      <c r="DJ121" s="49"/>
      <c r="DK121" s="49"/>
      <c r="DL121" s="49"/>
      <c r="DM121" s="49"/>
      <c r="DN121" s="49"/>
      <c r="DO121" s="49"/>
      <c r="DP121" s="49"/>
      <c r="DQ121" s="49"/>
      <c r="DR121" s="49"/>
      <c r="DS121" s="49"/>
      <c r="DT121" s="49"/>
      <c r="DU121" s="49"/>
      <c r="DV121" s="49"/>
      <c r="DW121" s="49"/>
      <c r="DX121" s="49"/>
      <c r="DY121" s="49"/>
      <c r="DZ121" s="49"/>
      <c r="EA121" s="49"/>
      <c r="EB121" s="49"/>
      <c r="EC121" s="49"/>
      <c r="ED121" s="49"/>
      <c r="EE121" s="49"/>
      <c r="EF121" s="49"/>
      <c r="EG121" s="49"/>
      <c r="EH121" s="49"/>
      <c r="EI121" s="49"/>
      <c r="EJ121" s="49"/>
      <c r="EK121" s="49"/>
      <c r="EL121" s="49"/>
      <c r="EM121" s="49"/>
      <c r="EN121" s="49"/>
      <c r="EO121" s="49"/>
      <c r="EP121" s="49"/>
      <c r="EQ121" s="49"/>
      <c r="ER121" s="49"/>
      <c r="ES121" s="49"/>
      <c r="ET121" s="49"/>
      <c r="EU121" s="49"/>
      <c r="EV121" s="49"/>
      <c r="EW121" s="49"/>
      <c r="EX121" s="49"/>
      <c r="EY121" s="49"/>
      <c r="EZ121" s="49"/>
      <c r="FA121" s="49"/>
      <c r="FB121" s="49"/>
      <c r="FC121" s="49"/>
      <c r="FD121" s="49"/>
      <c r="FE121" s="49"/>
      <c r="FF121" s="49"/>
      <c r="FG121" s="49"/>
      <c r="FH121" s="49"/>
      <c r="FI121" s="49"/>
      <c r="FJ121" s="49"/>
      <c r="FK121" s="49"/>
      <c r="FL121" s="49"/>
      <c r="FM121" s="49"/>
      <c r="FN121" s="49"/>
      <c r="FO121" s="49"/>
      <c r="FP121" s="49"/>
      <c r="FQ121" s="49"/>
      <c r="FR121" s="49"/>
      <c r="FS121" s="49"/>
      <c r="FT121" s="49"/>
      <c r="FU121" s="49"/>
      <c r="FV121" s="49"/>
      <c r="FW121" s="49"/>
      <c r="FX121" s="49"/>
      <c r="FY121" s="49"/>
      <c r="FZ121" s="49"/>
      <c r="GA121" s="49"/>
      <c r="GB121" s="49"/>
      <c r="GC121" s="49"/>
      <c r="GD121" s="49"/>
      <c r="GE121" s="49"/>
      <c r="GF121" s="49"/>
      <c r="GG121" s="49"/>
      <c r="GH121" s="49"/>
      <c r="GI121" s="49"/>
      <c r="GJ121" s="49"/>
      <c r="GK121" s="49"/>
      <c r="GL121" s="49"/>
      <c r="GM121" s="49"/>
      <c r="GN121" s="49"/>
      <c r="GO121" s="49"/>
      <c r="GP121" s="49"/>
      <c r="GQ121" s="49"/>
      <c r="GR121" s="49"/>
      <c r="GS121" s="49"/>
      <c r="GT121" s="49"/>
      <c r="GU121" s="49"/>
      <c r="GV121" s="49"/>
      <c r="GW121" s="49"/>
      <c r="GX121" s="49"/>
      <c r="GY121" s="49"/>
      <c r="GZ121" s="49"/>
      <c r="HA121" s="49"/>
      <c r="HB121" s="49"/>
      <c r="HC121" s="49"/>
      <c r="HD121" s="49"/>
      <c r="HE121" s="49"/>
      <c r="HF121" s="49"/>
      <c r="HG121" s="49"/>
      <c r="HH121" s="49"/>
      <c r="HI121" s="49"/>
      <c r="HJ121" s="49"/>
      <c r="HK121" s="49"/>
      <c r="HL121" s="49"/>
      <c r="HM121" s="49"/>
      <c r="HN121" s="49"/>
      <c r="HO121" s="49"/>
      <c r="HP121" s="49"/>
      <c r="HQ121" s="49"/>
      <c r="HR121" s="49"/>
      <c r="HS121" s="49"/>
      <c r="HT121" s="49"/>
      <c r="HU121" s="49"/>
    </row>
    <row r="122" spans="1:229" ht="14.25" x14ac:dyDescent="0.15">
      <c r="A122" s="298">
        <v>25</v>
      </c>
      <c r="B122" s="317" t="s">
        <v>243</v>
      </c>
      <c r="C122" s="290" t="s">
        <v>5</v>
      </c>
      <c r="D122" s="267">
        <v>205</v>
      </c>
      <c r="E122" s="267">
        <v>15</v>
      </c>
      <c r="F122" s="431">
        <f t="shared" si="2"/>
        <v>3075</v>
      </c>
      <c r="G122" s="269"/>
      <c r="H122" s="263"/>
      <c r="I122" s="263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  <c r="CJ122" s="49"/>
      <c r="CK122" s="49"/>
      <c r="CL122" s="49"/>
      <c r="CM122" s="49"/>
      <c r="CN122" s="49"/>
      <c r="CO122" s="49"/>
      <c r="CP122" s="49"/>
      <c r="CQ122" s="49"/>
      <c r="CR122" s="49"/>
      <c r="CS122" s="49"/>
      <c r="CT122" s="49"/>
      <c r="CU122" s="49"/>
      <c r="CV122" s="49"/>
      <c r="CW122" s="49"/>
      <c r="CX122" s="49"/>
      <c r="CY122" s="49"/>
      <c r="CZ122" s="49"/>
      <c r="DA122" s="49"/>
      <c r="DB122" s="49"/>
      <c r="DC122" s="49"/>
      <c r="DD122" s="49"/>
      <c r="DE122" s="49"/>
      <c r="DF122" s="49"/>
      <c r="DG122" s="49"/>
      <c r="DH122" s="49"/>
      <c r="DI122" s="49"/>
      <c r="DJ122" s="49"/>
      <c r="DK122" s="49"/>
      <c r="DL122" s="49"/>
      <c r="DM122" s="49"/>
      <c r="DN122" s="49"/>
      <c r="DO122" s="49"/>
      <c r="DP122" s="49"/>
      <c r="DQ122" s="49"/>
      <c r="DR122" s="49"/>
      <c r="DS122" s="49"/>
      <c r="DT122" s="49"/>
      <c r="DU122" s="49"/>
      <c r="DV122" s="49"/>
      <c r="DW122" s="49"/>
      <c r="DX122" s="49"/>
      <c r="DY122" s="49"/>
      <c r="DZ122" s="49"/>
      <c r="EA122" s="49"/>
      <c r="EB122" s="49"/>
      <c r="EC122" s="49"/>
      <c r="ED122" s="49"/>
      <c r="EE122" s="49"/>
      <c r="EF122" s="49"/>
      <c r="EG122" s="49"/>
      <c r="EH122" s="49"/>
      <c r="EI122" s="49"/>
      <c r="EJ122" s="49"/>
      <c r="EK122" s="49"/>
      <c r="EL122" s="49"/>
      <c r="EM122" s="49"/>
      <c r="EN122" s="49"/>
      <c r="EO122" s="49"/>
      <c r="EP122" s="49"/>
      <c r="EQ122" s="49"/>
      <c r="ER122" s="49"/>
      <c r="ES122" s="49"/>
      <c r="ET122" s="49"/>
      <c r="EU122" s="49"/>
      <c r="EV122" s="49"/>
      <c r="EW122" s="49"/>
      <c r="EX122" s="49"/>
      <c r="EY122" s="49"/>
      <c r="EZ122" s="49"/>
      <c r="FA122" s="49"/>
      <c r="FB122" s="49"/>
      <c r="FC122" s="49"/>
      <c r="FD122" s="49"/>
      <c r="FE122" s="49"/>
      <c r="FF122" s="49"/>
      <c r="FG122" s="49"/>
      <c r="FH122" s="49"/>
      <c r="FI122" s="49"/>
      <c r="FJ122" s="49"/>
      <c r="FK122" s="49"/>
      <c r="FL122" s="49"/>
      <c r="FM122" s="49"/>
      <c r="FN122" s="49"/>
      <c r="FO122" s="49"/>
      <c r="FP122" s="49"/>
      <c r="FQ122" s="49"/>
      <c r="FR122" s="49"/>
      <c r="FS122" s="49"/>
      <c r="FT122" s="49"/>
      <c r="FU122" s="49"/>
      <c r="FV122" s="49"/>
      <c r="FW122" s="49"/>
      <c r="FX122" s="49"/>
      <c r="FY122" s="49"/>
      <c r="FZ122" s="49"/>
      <c r="GA122" s="49"/>
      <c r="GB122" s="49"/>
      <c r="GC122" s="49"/>
      <c r="GD122" s="49"/>
      <c r="GE122" s="49"/>
      <c r="GF122" s="49"/>
      <c r="GG122" s="49"/>
      <c r="GH122" s="49"/>
      <c r="GI122" s="49"/>
      <c r="GJ122" s="49"/>
      <c r="GK122" s="49"/>
      <c r="GL122" s="49"/>
      <c r="GM122" s="49"/>
      <c r="GN122" s="49"/>
      <c r="GO122" s="49"/>
      <c r="GP122" s="49"/>
      <c r="GQ122" s="49"/>
      <c r="GR122" s="49"/>
      <c r="GS122" s="49"/>
      <c r="GT122" s="49"/>
      <c r="GU122" s="49"/>
      <c r="GV122" s="49"/>
      <c r="GW122" s="49"/>
      <c r="GX122" s="49"/>
      <c r="GY122" s="49"/>
      <c r="GZ122" s="49"/>
      <c r="HA122" s="49"/>
      <c r="HB122" s="49"/>
      <c r="HC122" s="49"/>
      <c r="HD122" s="49"/>
      <c r="HE122" s="49"/>
      <c r="HF122" s="49"/>
      <c r="HG122" s="49"/>
      <c r="HH122" s="49"/>
      <c r="HI122" s="49"/>
      <c r="HJ122" s="49"/>
      <c r="HK122" s="49"/>
      <c r="HL122" s="49"/>
      <c r="HM122" s="49"/>
      <c r="HN122" s="49"/>
      <c r="HO122" s="49"/>
      <c r="HP122" s="49"/>
      <c r="HQ122" s="49"/>
      <c r="HR122" s="49"/>
      <c r="HS122" s="49"/>
      <c r="HT122" s="49"/>
      <c r="HU122" s="49"/>
    </row>
    <row r="123" spans="1:229" ht="28.5" x14ac:dyDescent="0.15">
      <c r="A123" s="291">
        <v>26</v>
      </c>
      <c r="B123" s="334" t="s">
        <v>230</v>
      </c>
      <c r="C123" s="290" t="s">
        <v>5</v>
      </c>
      <c r="D123" s="267">
        <v>205</v>
      </c>
      <c r="E123" s="267">
        <v>10</v>
      </c>
      <c r="F123" s="431">
        <f t="shared" si="2"/>
        <v>2050</v>
      </c>
      <c r="G123" s="329" t="s">
        <v>231</v>
      </c>
      <c r="H123" s="254" t="s">
        <v>5</v>
      </c>
      <c r="I123" s="254">
        <f>D123*1.03</f>
        <v>211.15</v>
      </c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49"/>
      <c r="BX123" s="49"/>
      <c r="BY123" s="49"/>
      <c r="BZ123" s="49"/>
      <c r="CA123" s="49"/>
      <c r="CB123" s="49"/>
      <c r="CC123" s="49"/>
      <c r="CD123" s="49"/>
      <c r="CE123" s="49"/>
      <c r="CF123" s="49"/>
      <c r="CG123" s="49"/>
      <c r="CH123" s="49"/>
      <c r="CI123" s="49"/>
      <c r="CJ123" s="49"/>
      <c r="CK123" s="49"/>
      <c r="CL123" s="49"/>
      <c r="CM123" s="49"/>
      <c r="CN123" s="49"/>
      <c r="CO123" s="49"/>
      <c r="CP123" s="49"/>
      <c r="CQ123" s="49"/>
      <c r="CR123" s="49"/>
      <c r="CS123" s="49"/>
      <c r="CT123" s="49"/>
      <c r="CU123" s="49"/>
      <c r="CV123" s="49"/>
      <c r="CW123" s="49"/>
      <c r="CX123" s="49"/>
      <c r="CY123" s="49"/>
      <c r="CZ123" s="49"/>
      <c r="DA123" s="49"/>
      <c r="DB123" s="49"/>
      <c r="DC123" s="49"/>
      <c r="DD123" s="49"/>
      <c r="DE123" s="49"/>
      <c r="DF123" s="49"/>
      <c r="DG123" s="49"/>
      <c r="DH123" s="49"/>
      <c r="DI123" s="49"/>
      <c r="DJ123" s="49"/>
      <c r="DK123" s="49"/>
      <c r="DL123" s="49"/>
      <c r="DM123" s="49"/>
      <c r="DN123" s="49"/>
      <c r="DO123" s="49"/>
      <c r="DP123" s="49"/>
      <c r="DQ123" s="49"/>
      <c r="DR123" s="49"/>
      <c r="DS123" s="49"/>
      <c r="DT123" s="49"/>
      <c r="DU123" s="49"/>
      <c r="DV123" s="49"/>
      <c r="DW123" s="49"/>
      <c r="DX123" s="49"/>
      <c r="DY123" s="49"/>
      <c r="DZ123" s="49"/>
      <c r="EA123" s="49"/>
      <c r="EB123" s="49"/>
      <c r="EC123" s="49"/>
      <c r="ED123" s="49"/>
      <c r="EE123" s="49"/>
      <c r="EF123" s="49"/>
      <c r="EG123" s="49"/>
      <c r="EH123" s="49"/>
      <c r="EI123" s="49"/>
      <c r="EJ123" s="49"/>
      <c r="EK123" s="49"/>
      <c r="EL123" s="49"/>
      <c r="EM123" s="49"/>
      <c r="EN123" s="49"/>
      <c r="EO123" s="49"/>
      <c r="EP123" s="49"/>
      <c r="EQ123" s="49"/>
      <c r="ER123" s="49"/>
      <c r="ES123" s="49"/>
      <c r="ET123" s="49"/>
      <c r="EU123" s="49"/>
      <c r="EV123" s="49"/>
      <c r="EW123" s="49"/>
      <c r="EX123" s="49"/>
      <c r="EY123" s="49"/>
      <c r="EZ123" s="49"/>
      <c r="FA123" s="49"/>
      <c r="FB123" s="49"/>
      <c r="FC123" s="49"/>
      <c r="FD123" s="49"/>
      <c r="FE123" s="49"/>
      <c r="FF123" s="49"/>
      <c r="FG123" s="49"/>
      <c r="FH123" s="49"/>
      <c r="FI123" s="49"/>
      <c r="FJ123" s="49"/>
      <c r="FK123" s="49"/>
      <c r="FL123" s="49"/>
      <c r="FM123" s="49"/>
      <c r="FN123" s="49"/>
      <c r="FO123" s="49"/>
      <c r="FP123" s="49"/>
      <c r="FQ123" s="49"/>
      <c r="FR123" s="49"/>
      <c r="FS123" s="49"/>
      <c r="FT123" s="49"/>
      <c r="FU123" s="49"/>
      <c r="FV123" s="49"/>
      <c r="FW123" s="49"/>
      <c r="FX123" s="49"/>
      <c r="FY123" s="49"/>
      <c r="FZ123" s="49"/>
      <c r="GA123" s="49"/>
      <c r="GB123" s="49"/>
      <c r="GC123" s="49"/>
      <c r="GD123" s="49"/>
      <c r="GE123" s="49"/>
      <c r="GF123" s="49"/>
      <c r="GG123" s="49"/>
      <c r="GH123" s="49"/>
      <c r="GI123" s="49"/>
      <c r="GJ123" s="49"/>
      <c r="GK123" s="49"/>
      <c r="GL123" s="49"/>
      <c r="GM123" s="49"/>
      <c r="GN123" s="49"/>
      <c r="GO123" s="49"/>
      <c r="GP123" s="49"/>
      <c r="GQ123" s="49"/>
      <c r="GR123" s="49"/>
      <c r="GS123" s="49"/>
      <c r="GT123" s="49"/>
      <c r="GU123" s="49"/>
      <c r="GV123" s="49"/>
      <c r="GW123" s="49"/>
      <c r="GX123" s="49"/>
      <c r="GY123" s="49"/>
      <c r="GZ123" s="49"/>
      <c r="HA123" s="49"/>
      <c r="HB123" s="49"/>
      <c r="HC123" s="49"/>
      <c r="HD123" s="49"/>
      <c r="HE123" s="49"/>
      <c r="HF123" s="49"/>
      <c r="HG123" s="49"/>
      <c r="HH123" s="49"/>
      <c r="HI123" s="49"/>
      <c r="HJ123" s="49"/>
      <c r="HK123" s="49"/>
      <c r="HL123" s="49"/>
      <c r="HM123" s="49"/>
      <c r="HN123" s="49"/>
      <c r="HO123" s="49"/>
      <c r="HP123" s="49"/>
      <c r="HQ123" s="49"/>
      <c r="HR123" s="49"/>
      <c r="HS123" s="49"/>
      <c r="HT123" s="49"/>
      <c r="HU123" s="49"/>
    </row>
    <row r="124" spans="1:229" ht="14.25" x14ac:dyDescent="0.15">
      <c r="A124" s="288"/>
      <c r="B124" s="430"/>
      <c r="C124" s="290"/>
      <c r="D124" s="284"/>
      <c r="E124" s="284"/>
      <c r="F124" s="431"/>
      <c r="G124" s="322"/>
      <c r="H124" s="323"/>
      <c r="I124" s="263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49"/>
      <c r="CT124" s="49"/>
      <c r="CU124" s="49"/>
      <c r="CV124" s="49"/>
      <c r="CW124" s="49"/>
      <c r="CX124" s="49"/>
      <c r="CY124" s="49"/>
      <c r="CZ124" s="49"/>
      <c r="DA124" s="49"/>
      <c r="DB124" s="49"/>
      <c r="DC124" s="49"/>
      <c r="DD124" s="49"/>
      <c r="DE124" s="49"/>
      <c r="DF124" s="49"/>
      <c r="DG124" s="49"/>
      <c r="DH124" s="49"/>
      <c r="DI124" s="49"/>
      <c r="DJ124" s="49"/>
      <c r="DK124" s="49"/>
      <c r="DL124" s="49"/>
      <c r="DM124" s="49"/>
      <c r="DN124" s="49"/>
      <c r="DO124" s="49"/>
      <c r="DP124" s="49"/>
      <c r="DQ124" s="49"/>
      <c r="DR124" s="49"/>
      <c r="DS124" s="49"/>
      <c r="DT124" s="49"/>
      <c r="DU124" s="49"/>
      <c r="DV124" s="49"/>
      <c r="DW124" s="49"/>
      <c r="DX124" s="49"/>
      <c r="DY124" s="49"/>
      <c r="DZ124" s="49"/>
      <c r="EA124" s="49"/>
      <c r="EB124" s="49"/>
      <c r="EC124" s="49"/>
      <c r="ED124" s="49"/>
      <c r="EE124" s="49"/>
      <c r="EF124" s="49"/>
      <c r="EG124" s="49"/>
      <c r="EH124" s="49"/>
      <c r="EI124" s="49"/>
      <c r="EJ124" s="49"/>
      <c r="EK124" s="49"/>
      <c r="EL124" s="49"/>
      <c r="EM124" s="49"/>
      <c r="EN124" s="49"/>
      <c r="EO124" s="49"/>
      <c r="EP124" s="49"/>
      <c r="EQ124" s="49"/>
      <c r="ER124" s="49"/>
      <c r="ES124" s="49"/>
      <c r="ET124" s="49"/>
      <c r="EU124" s="49"/>
      <c r="EV124" s="49"/>
      <c r="EW124" s="49"/>
      <c r="EX124" s="49"/>
      <c r="EY124" s="49"/>
      <c r="EZ124" s="49"/>
      <c r="FA124" s="49"/>
      <c r="FB124" s="49"/>
      <c r="FC124" s="49"/>
      <c r="FD124" s="49"/>
      <c r="FE124" s="49"/>
      <c r="FF124" s="49"/>
      <c r="FG124" s="49"/>
      <c r="FH124" s="49"/>
      <c r="FI124" s="49"/>
      <c r="FJ124" s="49"/>
      <c r="FK124" s="49"/>
      <c r="FL124" s="49"/>
      <c r="FM124" s="49"/>
      <c r="FN124" s="49"/>
      <c r="FO124" s="49"/>
      <c r="FP124" s="49"/>
      <c r="FQ124" s="49"/>
      <c r="FR124" s="49"/>
      <c r="FS124" s="49"/>
      <c r="FT124" s="49"/>
      <c r="FU124" s="49"/>
      <c r="FV124" s="49"/>
      <c r="FW124" s="49"/>
      <c r="FX124" s="49"/>
      <c r="FY124" s="49"/>
      <c r="FZ124" s="49"/>
      <c r="GA124" s="49"/>
      <c r="GB124" s="49"/>
      <c r="GC124" s="49"/>
      <c r="GD124" s="49"/>
      <c r="GE124" s="49"/>
      <c r="GF124" s="49"/>
      <c r="GG124" s="49"/>
      <c r="GH124" s="49"/>
      <c r="GI124" s="49"/>
      <c r="GJ124" s="49"/>
      <c r="GK124" s="49"/>
      <c r="GL124" s="49"/>
      <c r="GM124" s="49"/>
      <c r="GN124" s="49"/>
      <c r="GO124" s="49"/>
      <c r="GP124" s="49"/>
      <c r="GQ124" s="49"/>
      <c r="GR124" s="49"/>
      <c r="GS124" s="49"/>
      <c r="GT124" s="49"/>
      <c r="GU124" s="49"/>
      <c r="GV124" s="49"/>
      <c r="GW124" s="49"/>
      <c r="GX124" s="49"/>
      <c r="GY124" s="49"/>
      <c r="GZ124" s="49"/>
      <c r="HA124" s="49"/>
      <c r="HB124" s="49"/>
      <c r="HC124" s="49"/>
      <c r="HD124" s="49"/>
      <c r="HE124" s="49"/>
      <c r="HF124" s="49"/>
      <c r="HG124" s="49"/>
      <c r="HH124" s="49"/>
      <c r="HI124" s="49"/>
      <c r="HJ124" s="49"/>
      <c r="HK124" s="49"/>
      <c r="HL124" s="49"/>
      <c r="HM124" s="49"/>
      <c r="HN124" s="49"/>
      <c r="HO124" s="49"/>
      <c r="HP124" s="49"/>
      <c r="HQ124" s="49"/>
      <c r="HR124" s="49"/>
      <c r="HS124" s="49"/>
      <c r="HT124" s="49"/>
      <c r="HU124" s="49"/>
    </row>
    <row r="125" spans="1:229" ht="14.25" x14ac:dyDescent="0.15">
      <c r="A125" s="276"/>
      <c r="B125" s="277" t="s">
        <v>27</v>
      </c>
      <c r="C125" s="277"/>
      <c r="D125" s="278"/>
      <c r="E125" s="278"/>
      <c r="F125" s="445">
        <f>SUM(F70:F124)</f>
        <v>48617.619999999995</v>
      </c>
      <c r="G125" s="299"/>
      <c r="H125" s="300"/>
      <c r="I125" s="279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  <c r="EF125" s="33"/>
      <c r="EG125" s="33"/>
      <c r="EH125" s="33"/>
      <c r="EI125" s="33"/>
      <c r="EJ125" s="33"/>
      <c r="EK125" s="33"/>
      <c r="EL125" s="33"/>
      <c r="EM125" s="33"/>
      <c r="EN125" s="33"/>
      <c r="EO125" s="33"/>
      <c r="EP125" s="33"/>
      <c r="EQ125" s="33"/>
      <c r="ER125" s="33"/>
      <c r="ES125" s="33"/>
      <c r="ET125" s="33"/>
      <c r="EU125" s="33"/>
      <c r="EV125" s="33"/>
      <c r="EW125" s="33"/>
      <c r="EX125" s="33"/>
      <c r="EY125" s="33"/>
      <c r="EZ125" s="33"/>
      <c r="FA125" s="33"/>
      <c r="FB125" s="33"/>
      <c r="FC125" s="33"/>
      <c r="FD125" s="33"/>
      <c r="FE125" s="33"/>
      <c r="FF125" s="33"/>
      <c r="FG125" s="33"/>
      <c r="FH125" s="33"/>
      <c r="FI125" s="33"/>
      <c r="FJ125" s="33"/>
      <c r="FK125" s="33"/>
      <c r="FL125" s="33"/>
      <c r="FM125" s="33"/>
      <c r="FN125" s="33"/>
      <c r="FO125" s="33"/>
      <c r="FP125" s="33"/>
      <c r="FQ125" s="33"/>
      <c r="FR125" s="33"/>
      <c r="FS125" s="33"/>
      <c r="FT125" s="33"/>
      <c r="FU125" s="33"/>
      <c r="FV125" s="33"/>
      <c r="FW125" s="33"/>
      <c r="FX125" s="33"/>
      <c r="FY125" s="33"/>
      <c r="FZ125" s="33"/>
      <c r="GA125" s="33"/>
      <c r="GB125" s="33"/>
      <c r="GC125" s="33"/>
      <c r="GD125" s="33"/>
      <c r="GE125" s="33"/>
      <c r="GF125" s="33"/>
      <c r="GG125" s="33"/>
      <c r="GH125" s="33"/>
      <c r="GI125" s="33"/>
      <c r="GJ125" s="33"/>
      <c r="GK125" s="33"/>
      <c r="GL125" s="33"/>
      <c r="GM125" s="33"/>
      <c r="GN125" s="33"/>
      <c r="GO125" s="33"/>
      <c r="GP125" s="33"/>
      <c r="GQ125" s="33"/>
      <c r="GR125" s="33"/>
      <c r="GS125" s="33"/>
      <c r="GT125" s="33"/>
      <c r="GU125" s="33"/>
      <c r="GV125" s="33"/>
      <c r="GW125" s="33"/>
      <c r="GX125" s="33"/>
      <c r="GY125" s="33"/>
      <c r="GZ125" s="33"/>
      <c r="HA125" s="33"/>
      <c r="HB125" s="33"/>
      <c r="HC125" s="33"/>
      <c r="HD125" s="33"/>
      <c r="HE125" s="33"/>
      <c r="HF125" s="33"/>
      <c r="HG125" s="33"/>
      <c r="HH125" s="33"/>
      <c r="HI125" s="33"/>
      <c r="HJ125" s="33"/>
      <c r="HK125" s="33"/>
      <c r="HL125" s="33"/>
      <c r="HM125" s="33"/>
      <c r="HN125" s="33"/>
      <c r="HO125" s="33"/>
      <c r="HP125" s="33"/>
      <c r="HQ125" s="33"/>
      <c r="HR125" s="33"/>
      <c r="HS125" s="33"/>
      <c r="HT125" s="33"/>
      <c r="HU125" s="33"/>
    </row>
    <row r="126" spans="1:229" ht="28.5" x14ac:dyDescent="0.15">
      <c r="A126" s="285"/>
      <c r="B126" s="282" t="s">
        <v>239</v>
      </c>
      <c r="C126" s="286"/>
      <c r="D126" s="283"/>
      <c r="E126" s="283"/>
      <c r="F126" s="432">
        <f t="shared" si="2"/>
        <v>0</v>
      </c>
      <c r="G126" s="287"/>
      <c r="H126" s="260"/>
      <c r="I126" s="261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/>
      <c r="CX126" s="49"/>
      <c r="CY126" s="49"/>
      <c r="CZ126" s="49"/>
      <c r="DA126" s="49"/>
      <c r="DB126" s="49"/>
      <c r="DC126" s="49"/>
      <c r="DD126" s="49"/>
      <c r="DE126" s="49"/>
      <c r="DF126" s="49"/>
      <c r="DG126" s="49"/>
      <c r="DH126" s="49"/>
      <c r="DI126" s="49"/>
      <c r="DJ126" s="49"/>
      <c r="DK126" s="49"/>
      <c r="DL126" s="49"/>
      <c r="DM126" s="49"/>
      <c r="DN126" s="49"/>
      <c r="DO126" s="49"/>
      <c r="DP126" s="49"/>
      <c r="DQ126" s="49"/>
      <c r="DR126" s="49"/>
      <c r="DS126" s="49"/>
      <c r="DT126" s="49"/>
      <c r="DU126" s="49"/>
      <c r="DV126" s="49"/>
      <c r="DW126" s="49"/>
      <c r="DX126" s="49"/>
      <c r="DY126" s="49"/>
      <c r="DZ126" s="49"/>
      <c r="EA126" s="49"/>
      <c r="EB126" s="49"/>
      <c r="EC126" s="49"/>
      <c r="ED126" s="49"/>
      <c r="EE126" s="49"/>
      <c r="EF126" s="49"/>
      <c r="EG126" s="49"/>
      <c r="EH126" s="49"/>
      <c r="EI126" s="49"/>
      <c r="EJ126" s="49"/>
      <c r="EK126" s="49"/>
      <c r="EL126" s="49"/>
      <c r="EM126" s="49"/>
      <c r="EN126" s="49"/>
      <c r="EO126" s="49"/>
      <c r="EP126" s="49"/>
      <c r="EQ126" s="49"/>
      <c r="ER126" s="49"/>
      <c r="ES126" s="49"/>
      <c r="ET126" s="49"/>
      <c r="EU126" s="49"/>
      <c r="EV126" s="49"/>
      <c r="EW126" s="49"/>
      <c r="EX126" s="49"/>
      <c r="EY126" s="49"/>
      <c r="EZ126" s="49"/>
      <c r="FA126" s="49"/>
      <c r="FB126" s="49"/>
      <c r="FC126" s="49"/>
      <c r="FD126" s="49"/>
      <c r="FE126" s="49"/>
      <c r="FF126" s="49"/>
      <c r="FG126" s="49"/>
      <c r="FH126" s="49"/>
      <c r="FI126" s="49"/>
      <c r="FJ126" s="49"/>
      <c r="FK126" s="49"/>
      <c r="FL126" s="49"/>
      <c r="FM126" s="49"/>
      <c r="FN126" s="49"/>
      <c r="FO126" s="49"/>
      <c r="FP126" s="49"/>
      <c r="FQ126" s="49"/>
      <c r="FR126" s="49"/>
      <c r="FS126" s="49"/>
      <c r="FT126" s="49"/>
      <c r="FU126" s="49"/>
      <c r="FV126" s="49"/>
      <c r="FW126" s="49"/>
      <c r="FX126" s="49"/>
      <c r="FY126" s="49"/>
      <c r="FZ126" s="49"/>
      <c r="GA126" s="49"/>
      <c r="GB126" s="49"/>
      <c r="GC126" s="49"/>
      <c r="GD126" s="49"/>
      <c r="GE126" s="49"/>
      <c r="GF126" s="49"/>
      <c r="GG126" s="49"/>
      <c r="GH126" s="49"/>
      <c r="GI126" s="49"/>
      <c r="GJ126" s="49"/>
      <c r="GK126" s="49"/>
      <c r="GL126" s="49"/>
      <c r="GM126" s="49"/>
      <c r="GN126" s="49"/>
      <c r="GO126" s="49"/>
      <c r="GP126" s="49"/>
      <c r="GQ126" s="49"/>
      <c r="GR126" s="49"/>
      <c r="GS126" s="49"/>
      <c r="GT126" s="49"/>
      <c r="GU126" s="49"/>
      <c r="GV126" s="49"/>
      <c r="GW126" s="49"/>
      <c r="GX126" s="49"/>
      <c r="GY126" s="49"/>
      <c r="GZ126" s="49"/>
      <c r="HA126" s="49"/>
      <c r="HB126" s="49"/>
      <c r="HC126" s="49"/>
      <c r="HD126" s="49"/>
      <c r="HE126" s="49"/>
      <c r="HF126" s="49"/>
      <c r="HG126" s="49"/>
      <c r="HH126" s="49"/>
      <c r="HI126" s="49"/>
      <c r="HJ126" s="49"/>
      <c r="HK126" s="49"/>
      <c r="HL126" s="49"/>
      <c r="HM126" s="49"/>
      <c r="HN126" s="49"/>
      <c r="HO126" s="49"/>
      <c r="HP126" s="49"/>
      <c r="HQ126" s="49"/>
      <c r="HR126" s="49"/>
      <c r="HS126" s="49"/>
      <c r="HT126" s="49"/>
      <c r="HU126" s="49"/>
    </row>
    <row r="127" spans="1:229" ht="18" x14ac:dyDescent="0.2">
      <c r="A127" s="288">
        <v>1</v>
      </c>
      <c r="B127" s="289" t="s">
        <v>144</v>
      </c>
      <c r="C127" s="340" t="s">
        <v>157</v>
      </c>
      <c r="D127" s="341">
        <v>33</v>
      </c>
      <c r="E127" s="341"/>
      <c r="F127" s="431">
        <f t="shared" si="2"/>
        <v>0</v>
      </c>
      <c r="G127" s="318"/>
      <c r="H127" s="254"/>
      <c r="I127" s="254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  <c r="DF127" s="49"/>
      <c r="DG127" s="49"/>
      <c r="DH127" s="49"/>
      <c r="DI127" s="49"/>
      <c r="DJ127" s="49"/>
      <c r="DK127" s="49"/>
      <c r="DL127" s="49"/>
      <c r="DM127" s="49"/>
      <c r="DN127" s="49"/>
      <c r="DO127" s="49"/>
      <c r="DP127" s="49"/>
      <c r="DQ127" s="49"/>
      <c r="DR127" s="49"/>
      <c r="DS127" s="49"/>
      <c r="DT127" s="49"/>
      <c r="DU127" s="49"/>
      <c r="DV127" s="49"/>
      <c r="DW127" s="49"/>
      <c r="DX127" s="49"/>
      <c r="DY127" s="49"/>
      <c r="DZ127" s="49"/>
      <c r="EA127" s="49"/>
      <c r="EB127" s="49"/>
      <c r="EC127" s="49"/>
      <c r="ED127" s="49"/>
      <c r="EE127" s="49"/>
      <c r="EF127" s="49"/>
      <c r="EG127" s="49"/>
      <c r="EH127" s="49"/>
      <c r="EI127" s="49"/>
      <c r="EJ127" s="49"/>
      <c r="EK127" s="49"/>
      <c r="EL127" s="49"/>
      <c r="EM127" s="49"/>
      <c r="EN127" s="49"/>
      <c r="EO127" s="49"/>
      <c r="EP127" s="49"/>
      <c r="EQ127" s="49"/>
      <c r="ER127" s="49"/>
      <c r="ES127" s="49"/>
      <c r="ET127" s="49"/>
      <c r="EU127" s="49"/>
      <c r="EV127" s="49"/>
      <c r="EW127" s="49"/>
      <c r="EX127" s="49"/>
      <c r="EY127" s="49"/>
      <c r="EZ127" s="49"/>
      <c r="FA127" s="49"/>
      <c r="FB127" s="49"/>
      <c r="FC127" s="49"/>
      <c r="FD127" s="49"/>
      <c r="FE127" s="49"/>
      <c r="FF127" s="49"/>
      <c r="FG127" s="49"/>
      <c r="FH127" s="49"/>
      <c r="FI127" s="49"/>
      <c r="FJ127" s="49"/>
      <c r="FK127" s="49"/>
      <c r="FL127" s="49"/>
      <c r="FM127" s="49"/>
      <c r="FN127" s="49"/>
      <c r="FO127" s="49"/>
      <c r="FP127" s="49"/>
      <c r="FQ127" s="49"/>
      <c r="FR127" s="49"/>
      <c r="FS127" s="49"/>
      <c r="FT127" s="49"/>
      <c r="FU127" s="49"/>
      <c r="FV127" s="49"/>
      <c r="FW127" s="49"/>
      <c r="FX127" s="49"/>
      <c r="FY127" s="49"/>
      <c r="FZ127" s="49"/>
      <c r="GA127" s="49"/>
      <c r="GB127" s="49"/>
      <c r="GC127" s="49"/>
      <c r="GD127" s="49"/>
      <c r="GE127" s="49"/>
      <c r="GF127" s="49"/>
      <c r="GG127" s="49"/>
      <c r="GH127" s="49"/>
      <c r="GI127" s="49"/>
      <c r="GJ127" s="49"/>
      <c r="GK127" s="49"/>
      <c r="GL127" s="49"/>
      <c r="GM127" s="49"/>
      <c r="GN127" s="49"/>
      <c r="GO127" s="49"/>
      <c r="GP127" s="49"/>
      <c r="GQ127" s="49"/>
      <c r="GR127" s="49"/>
      <c r="GS127" s="49"/>
      <c r="GT127" s="49"/>
      <c r="GU127" s="49"/>
      <c r="GV127" s="49"/>
      <c r="GW127" s="49"/>
      <c r="GX127" s="49"/>
      <c r="GY127" s="49"/>
      <c r="GZ127" s="49"/>
      <c r="HA127" s="49"/>
      <c r="HB127" s="49"/>
      <c r="HC127" s="49"/>
      <c r="HD127" s="49"/>
      <c r="HE127" s="49"/>
      <c r="HF127" s="49"/>
      <c r="HG127" s="49"/>
      <c r="HH127" s="49"/>
      <c r="HI127" s="49"/>
      <c r="HJ127" s="49"/>
      <c r="HK127" s="49"/>
      <c r="HL127" s="49"/>
      <c r="HM127" s="49"/>
      <c r="HN127" s="49"/>
      <c r="HO127" s="49"/>
      <c r="HP127" s="49"/>
      <c r="HQ127" s="49"/>
      <c r="HR127" s="49"/>
      <c r="HS127" s="49"/>
      <c r="HT127" s="49"/>
      <c r="HU127" s="49"/>
    </row>
    <row r="128" spans="1:229" ht="18" x14ac:dyDescent="0.2">
      <c r="A128" s="288">
        <v>2</v>
      </c>
      <c r="B128" s="289" t="s">
        <v>244</v>
      </c>
      <c r="C128" s="340" t="s">
        <v>112</v>
      </c>
      <c r="D128" s="341">
        <v>4</v>
      </c>
      <c r="E128" s="341"/>
      <c r="F128" s="431">
        <f t="shared" si="2"/>
        <v>0</v>
      </c>
      <c r="G128" s="269" t="s">
        <v>116</v>
      </c>
      <c r="H128" s="263" t="s">
        <v>7</v>
      </c>
      <c r="I128" s="263">
        <v>800</v>
      </c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9"/>
      <c r="CK128" s="49"/>
      <c r="CL128" s="49"/>
      <c r="CM128" s="49"/>
      <c r="CN128" s="49"/>
      <c r="CO128" s="49"/>
      <c r="CP128" s="49"/>
      <c r="CQ128" s="49"/>
      <c r="CR128" s="49"/>
      <c r="CS128" s="49"/>
      <c r="CT128" s="49"/>
      <c r="CU128" s="49"/>
      <c r="CV128" s="49"/>
      <c r="CW128" s="49"/>
      <c r="CX128" s="49"/>
      <c r="CY128" s="49"/>
      <c r="CZ128" s="49"/>
      <c r="DA128" s="49"/>
      <c r="DB128" s="49"/>
      <c r="DC128" s="49"/>
      <c r="DD128" s="49"/>
      <c r="DE128" s="49"/>
      <c r="DF128" s="49"/>
      <c r="DG128" s="49"/>
      <c r="DH128" s="49"/>
      <c r="DI128" s="49"/>
      <c r="DJ128" s="49"/>
      <c r="DK128" s="49"/>
      <c r="DL128" s="49"/>
      <c r="DM128" s="49"/>
      <c r="DN128" s="49"/>
      <c r="DO128" s="49"/>
      <c r="DP128" s="49"/>
      <c r="DQ128" s="49"/>
      <c r="DR128" s="49"/>
      <c r="DS128" s="49"/>
      <c r="DT128" s="49"/>
      <c r="DU128" s="49"/>
      <c r="DV128" s="49"/>
      <c r="DW128" s="49"/>
      <c r="DX128" s="49"/>
      <c r="DY128" s="49"/>
      <c r="DZ128" s="49"/>
      <c r="EA128" s="49"/>
      <c r="EB128" s="49"/>
      <c r="EC128" s="49"/>
      <c r="ED128" s="49"/>
      <c r="EE128" s="49"/>
      <c r="EF128" s="49"/>
      <c r="EG128" s="49"/>
      <c r="EH128" s="49"/>
      <c r="EI128" s="49"/>
      <c r="EJ128" s="49"/>
      <c r="EK128" s="49"/>
      <c r="EL128" s="49"/>
      <c r="EM128" s="49"/>
      <c r="EN128" s="49"/>
      <c r="EO128" s="49"/>
      <c r="EP128" s="49"/>
      <c r="EQ128" s="49"/>
      <c r="ER128" s="49"/>
      <c r="ES128" s="49"/>
      <c r="ET128" s="49"/>
      <c r="EU128" s="49"/>
      <c r="EV128" s="49"/>
      <c r="EW128" s="49"/>
      <c r="EX128" s="49"/>
      <c r="EY128" s="49"/>
      <c r="EZ128" s="49"/>
      <c r="FA128" s="49"/>
      <c r="FB128" s="49"/>
      <c r="FC128" s="49"/>
      <c r="FD128" s="49"/>
      <c r="FE128" s="49"/>
      <c r="FF128" s="49"/>
      <c r="FG128" s="49"/>
      <c r="FH128" s="49"/>
      <c r="FI128" s="49"/>
      <c r="FJ128" s="49"/>
      <c r="FK128" s="49"/>
      <c r="FL128" s="49"/>
      <c r="FM128" s="49"/>
      <c r="FN128" s="49"/>
      <c r="FO128" s="49"/>
      <c r="FP128" s="49"/>
      <c r="FQ128" s="49"/>
      <c r="FR128" s="49"/>
      <c r="FS128" s="49"/>
      <c r="FT128" s="49"/>
      <c r="FU128" s="49"/>
      <c r="FV128" s="49"/>
      <c r="FW128" s="49"/>
      <c r="FX128" s="49"/>
      <c r="FY128" s="49"/>
      <c r="FZ128" s="49"/>
      <c r="GA128" s="49"/>
      <c r="GB128" s="49"/>
      <c r="GC128" s="49"/>
      <c r="GD128" s="49"/>
      <c r="GE128" s="49"/>
      <c r="GF128" s="49"/>
      <c r="GG128" s="49"/>
      <c r="GH128" s="49"/>
      <c r="GI128" s="49"/>
      <c r="GJ128" s="49"/>
      <c r="GK128" s="49"/>
      <c r="GL128" s="49"/>
      <c r="GM128" s="49"/>
      <c r="GN128" s="49"/>
      <c r="GO128" s="49"/>
      <c r="GP128" s="49"/>
      <c r="GQ128" s="49"/>
      <c r="GR128" s="49"/>
      <c r="GS128" s="49"/>
      <c r="GT128" s="49"/>
      <c r="GU128" s="49"/>
      <c r="GV128" s="49"/>
      <c r="GW128" s="49"/>
      <c r="GX128" s="49"/>
      <c r="GY128" s="49"/>
      <c r="GZ128" s="49"/>
      <c r="HA128" s="49"/>
      <c r="HB128" s="49"/>
      <c r="HC128" s="49"/>
      <c r="HD128" s="49"/>
      <c r="HE128" s="49"/>
      <c r="HF128" s="49"/>
      <c r="HG128" s="49"/>
      <c r="HH128" s="49"/>
      <c r="HI128" s="49"/>
      <c r="HJ128" s="49"/>
      <c r="HK128" s="49"/>
      <c r="HL128" s="49"/>
      <c r="HM128" s="49"/>
      <c r="HN128" s="49"/>
      <c r="HO128" s="49"/>
      <c r="HP128" s="49"/>
      <c r="HQ128" s="49"/>
      <c r="HR128" s="49"/>
      <c r="HS128" s="49"/>
      <c r="HT128" s="49"/>
      <c r="HU128" s="49"/>
    </row>
    <row r="129" spans="1:229" ht="18" x14ac:dyDescent="0.2">
      <c r="A129" s="288">
        <v>3</v>
      </c>
      <c r="B129" s="289" t="s">
        <v>245</v>
      </c>
      <c r="C129" s="340" t="s">
        <v>0</v>
      </c>
      <c r="D129" s="341">
        <v>300</v>
      </c>
      <c r="E129" s="341"/>
      <c r="F129" s="431">
        <f t="shared" si="2"/>
        <v>0</v>
      </c>
      <c r="G129" s="269" t="s">
        <v>246</v>
      </c>
      <c r="H129" s="263" t="s">
        <v>247</v>
      </c>
      <c r="I129" s="263">
        <v>60</v>
      </c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I129" s="49"/>
      <c r="CJ129" s="49"/>
      <c r="CK129" s="49"/>
      <c r="CL129" s="49"/>
      <c r="CM129" s="49"/>
      <c r="CN129" s="49"/>
      <c r="CO129" s="49"/>
      <c r="CP129" s="49"/>
      <c r="CQ129" s="49"/>
      <c r="CR129" s="49"/>
      <c r="CS129" s="49"/>
      <c r="CT129" s="49"/>
      <c r="CU129" s="49"/>
      <c r="CV129" s="49"/>
      <c r="CW129" s="49"/>
      <c r="CX129" s="49"/>
      <c r="CY129" s="49"/>
      <c r="CZ129" s="49"/>
      <c r="DA129" s="49"/>
      <c r="DB129" s="49"/>
      <c r="DC129" s="49"/>
      <c r="DD129" s="49"/>
      <c r="DE129" s="49"/>
      <c r="DF129" s="49"/>
      <c r="DG129" s="49"/>
      <c r="DH129" s="49"/>
      <c r="DI129" s="49"/>
      <c r="DJ129" s="49"/>
      <c r="DK129" s="49"/>
      <c r="DL129" s="49"/>
      <c r="DM129" s="49"/>
      <c r="DN129" s="49"/>
      <c r="DO129" s="49"/>
      <c r="DP129" s="49"/>
      <c r="DQ129" s="49"/>
      <c r="DR129" s="49"/>
      <c r="DS129" s="49"/>
      <c r="DT129" s="49"/>
      <c r="DU129" s="49"/>
      <c r="DV129" s="49"/>
      <c r="DW129" s="49"/>
      <c r="DX129" s="49"/>
      <c r="DY129" s="49"/>
      <c r="DZ129" s="49"/>
      <c r="EA129" s="49"/>
      <c r="EB129" s="49"/>
      <c r="EC129" s="49"/>
      <c r="ED129" s="49"/>
      <c r="EE129" s="49"/>
      <c r="EF129" s="49"/>
      <c r="EG129" s="49"/>
      <c r="EH129" s="49"/>
      <c r="EI129" s="49"/>
      <c r="EJ129" s="49"/>
      <c r="EK129" s="49"/>
      <c r="EL129" s="49"/>
      <c r="EM129" s="49"/>
      <c r="EN129" s="49"/>
      <c r="EO129" s="49"/>
      <c r="EP129" s="49"/>
      <c r="EQ129" s="49"/>
      <c r="ER129" s="49"/>
      <c r="ES129" s="49"/>
      <c r="ET129" s="49"/>
      <c r="EU129" s="49"/>
      <c r="EV129" s="49"/>
      <c r="EW129" s="49"/>
      <c r="EX129" s="49"/>
      <c r="EY129" s="49"/>
      <c r="EZ129" s="49"/>
      <c r="FA129" s="49"/>
      <c r="FB129" s="49"/>
      <c r="FC129" s="49"/>
      <c r="FD129" s="49"/>
      <c r="FE129" s="49"/>
      <c r="FF129" s="49"/>
      <c r="FG129" s="49"/>
      <c r="FH129" s="49"/>
      <c r="FI129" s="49"/>
      <c r="FJ129" s="49"/>
      <c r="FK129" s="49"/>
      <c r="FL129" s="49"/>
      <c r="FM129" s="49"/>
      <c r="FN129" s="49"/>
      <c r="FO129" s="49"/>
      <c r="FP129" s="49"/>
      <c r="FQ129" s="49"/>
      <c r="FR129" s="49"/>
      <c r="FS129" s="49"/>
      <c r="FT129" s="49"/>
      <c r="FU129" s="49"/>
      <c r="FV129" s="49"/>
      <c r="FW129" s="49"/>
      <c r="FX129" s="49"/>
      <c r="FY129" s="49"/>
      <c r="FZ129" s="49"/>
      <c r="GA129" s="49"/>
      <c r="GB129" s="49"/>
      <c r="GC129" s="49"/>
      <c r="GD129" s="49"/>
      <c r="GE129" s="49"/>
      <c r="GF129" s="49"/>
      <c r="GG129" s="49"/>
      <c r="GH129" s="49"/>
      <c r="GI129" s="49"/>
      <c r="GJ129" s="49"/>
      <c r="GK129" s="49"/>
      <c r="GL129" s="49"/>
      <c r="GM129" s="49"/>
      <c r="GN129" s="49"/>
      <c r="GO129" s="49"/>
      <c r="GP129" s="49"/>
      <c r="GQ129" s="49"/>
      <c r="GR129" s="49"/>
      <c r="GS129" s="49"/>
      <c r="GT129" s="49"/>
      <c r="GU129" s="49"/>
      <c r="GV129" s="49"/>
      <c r="GW129" s="49"/>
      <c r="GX129" s="49"/>
      <c r="GY129" s="49"/>
      <c r="GZ129" s="49"/>
      <c r="HA129" s="49"/>
      <c r="HB129" s="49"/>
      <c r="HC129" s="49"/>
      <c r="HD129" s="49"/>
      <c r="HE129" s="49"/>
      <c r="HF129" s="49"/>
      <c r="HG129" s="49"/>
      <c r="HH129" s="49"/>
      <c r="HI129" s="49"/>
      <c r="HJ129" s="49"/>
      <c r="HK129" s="49"/>
      <c r="HL129" s="49"/>
      <c r="HM129" s="49"/>
      <c r="HN129" s="49"/>
      <c r="HO129" s="49"/>
      <c r="HP129" s="49"/>
      <c r="HQ129" s="49"/>
      <c r="HR129" s="49"/>
      <c r="HS129" s="49"/>
      <c r="HT129" s="49"/>
      <c r="HU129" s="49"/>
    </row>
    <row r="130" spans="1:229" ht="14.25" x14ac:dyDescent="0.15">
      <c r="A130" s="276"/>
      <c r="B130" s="277" t="s">
        <v>27</v>
      </c>
      <c r="C130" s="277"/>
      <c r="D130" s="278"/>
      <c r="E130" s="278"/>
      <c r="F130" s="445">
        <f t="shared" si="2"/>
        <v>0</v>
      </c>
      <c r="G130" s="280"/>
      <c r="H130" s="279"/>
      <c r="I130" s="279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  <c r="DF130" s="33"/>
      <c r="DG130" s="33"/>
      <c r="DH130" s="33"/>
      <c r="DI130" s="33"/>
      <c r="DJ130" s="33"/>
      <c r="DK130" s="33"/>
      <c r="DL130" s="33"/>
      <c r="DM130" s="33"/>
      <c r="DN130" s="33"/>
      <c r="DO130" s="33"/>
      <c r="DP130" s="33"/>
      <c r="DQ130" s="33"/>
      <c r="DR130" s="33"/>
      <c r="DS130" s="33"/>
      <c r="DT130" s="33"/>
      <c r="DU130" s="33"/>
      <c r="DV130" s="33"/>
      <c r="DW130" s="33"/>
      <c r="DX130" s="33"/>
      <c r="DY130" s="33"/>
      <c r="DZ130" s="33"/>
      <c r="EA130" s="33"/>
      <c r="EB130" s="33"/>
      <c r="EC130" s="33"/>
      <c r="ED130" s="33"/>
      <c r="EE130" s="33"/>
      <c r="EF130" s="33"/>
      <c r="EG130" s="33"/>
      <c r="EH130" s="33"/>
      <c r="EI130" s="33"/>
      <c r="EJ130" s="33"/>
      <c r="EK130" s="33"/>
      <c r="EL130" s="33"/>
      <c r="EM130" s="33"/>
      <c r="EN130" s="33"/>
      <c r="EO130" s="33"/>
      <c r="EP130" s="33"/>
      <c r="EQ130" s="33"/>
      <c r="ER130" s="33"/>
      <c r="ES130" s="33"/>
      <c r="ET130" s="33"/>
      <c r="EU130" s="33"/>
      <c r="EV130" s="33"/>
      <c r="EW130" s="33"/>
      <c r="EX130" s="33"/>
      <c r="EY130" s="33"/>
      <c r="EZ130" s="33"/>
      <c r="FA130" s="33"/>
      <c r="FB130" s="33"/>
      <c r="FC130" s="33"/>
      <c r="FD130" s="33"/>
      <c r="FE130" s="33"/>
      <c r="FF130" s="33"/>
      <c r="FG130" s="33"/>
      <c r="FH130" s="33"/>
      <c r="FI130" s="33"/>
      <c r="FJ130" s="33"/>
      <c r="FK130" s="33"/>
      <c r="FL130" s="33"/>
      <c r="FM130" s="33"/>
      <c r="FN130" s="33"/>
      <c r="FO130" s="33"/>
      <c r="FP130" s="33"/>
      <c r="FQ130" s="33"/>
      <c r="FR130" s="33"/>
      <c r="FS130" s="33"/>
      <c r="FT130" s="33"/>
      <c r="FU130" s="33"/>
      <c r="FV130" s="33"/>
      <c r="FW130" s="33"/>
      <c r="FX130" s="33"/>
      <c r="FY130" s="33"/>
      <c r="FZ130" s="33"/>
      <c r="GA130" s="33"/>
      <c r="GB130" s="33"/>
      <c r="GC130" s="33"/>
      <c r="GD130" s="33"/>
      <c r="GE130" s="33"/>
      <c r="GF130" s="33"/>
      <c r="GG130" s="33"/>
      <c r="GH130" s="33"/>
      <c r="GI130" s="33"/>
      <c r="GJ130" s="33"/>
      <c r="GK130" s="33"/>
      <c r="GL130" s="33"/>
      <c r="GM130" s="33"/>
      <c r="GN130" s="33"/>
      <c r="GO130" s="33"/>
      <c r="GP130" s="33"/>
      <c r="GQ130" s="33"/>
      <c r="GR130" s="33"/>
      <c r="GS130" s="33"/>
      <c r="GT130" s="33"/>
      <c r="GU130" s="33"/>
      <c r="GV130" s="33"/>
      <c r="GW130" s="33"/>
      <c r="GX130" s="33"/>
      <c r="GY130" s="33"/>
      <c r="GZ130" s="33"/>
      <c r="HA130" s="33"/>
      <c r="HB130" s="33"/>
      <c r="HC130" s="33"/>
      <c r="HD130" s="33"/>
      <c r="HE130" s="33"/>
      <c r="HF130" s="33"/>
      <c r="HG130" s="33"/>
      <c r="HH130" s="33"/>
      <c r="HI130" s="33"/>
      <c r="HJ130" s="33"/>
      <c r="HK130" s="33"/>
      <c r="HL130" s="33"/>
      <c r="HM130" s="33"/>
      <c r="HN130" s="33"/>
      <c r="HO130" s="33"/>
      <c r="HP130" s="33"/>
      <c r="HQ130" s="33"/>
      <c r="HR130" s="33"/>
      <c r="HS130" s="33"/>
      <c r="HT130" s="33"/>
      <c r="HU130" s="33"/>
    </row>
    <row r="131" spans="1:229" ht="28.5" x14ac:dyDescent="0.15">
      <c r="A131" s="285"/>
      <c r="B131" s="282" t="s">
        <v>239</v>
      </c>
      <c r="C131" s="286"/>
      <c r="D131" s="283"/>
      <c r="E131" s="283"/>
      <c r="F131" s="432">
        <f t="shared" si="2"/>
        <v>0</v>
      </c>
      <c r="G131" s="287"/>
      <c r="H131" s="260"/>
      <c r="I131" s="261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  <c r="DR131" s="49"/>
      <c r="DS131" s="49"/>
      <c r="DT131" s="49"/>
      <c r="DU131" s="49"/>
      <c r="DV131" s="49"/>
      <c r="DW131" s="49"/>
      <c r="DX131" s="49"/>
      <c r="DY131" s="49"/>
      <c r="DZ131" s="49"/>
      <c r="EA131" s="49"/>
      <c r="EB131" s="49"/>
      <c r="EC131" s="49"/>
      <c r="ED131" s="49"/>
      <c r="EE131" s="49"/>
      <c r="EF131" s="49"/>
      <c r="EG131" s="49"/>
      <c r="EH131" s="49"/>
      <c r="EI131" s="49"/>
      <c r="EJ131" s="49"/>
      <c r="EK131" s="49"/>
      <c r="EL131" s="49"/>
      <c r="EM131" s="49"/>
      <c r="EN131" s="49"/>
      <c r="EO131" s="49"/>
      <c r="EP131" s="49"/>
      <c r="EQ131" s="49"/>
      <c r="ER131" s="49"/>
      <c r="ES131" s="49"/>
      <c r="ET131" s="49"/>
      <c r="EU131" s="49"/>
      <c r="EV131" s="49"/>
      <c r="EW131" s="49"/>
      <c r="EX131" s="49"/>
      <c r="EY131" s="49"/>
      <c r="EZ131" s="49"/>
      <c r="FA131" s="49"/>
      <c r="FB131" s="49"/>
      <c r="FC131" s="49"/>
      <c r="FD131" s="49"/>
      <c r="FE131" s="49"/>
      <c r="FF131" s="49"/>
      <c r="FG131" s="49"/>
      <c r="FH131" s="49"/>
      <c r="FI131" s="49"/>
      <c r="FJ131" s="49"/>
      <c r="FK131" s="49"/>
      <c r="FL131" s="49"/>
      <c r="FM131" s="49"/>
      <c r="FN131" s="49"/>
      <c r="FO131" s="49"/>
      <c r="FP131" s="49"/>
      <c r="FQ131" s="49"/>
      <c r="FR131" s="49"/>
      <c r="FS131" s="49"/>
      <c r="FT131" s="49"/>
      <c r="FU131" s="49"/>
      <c r="FV131" s="49"/>
      <c r="FW131" s="49"/>
      <c r="FX131" s="49"/>
      <c r="FY131" s="49"/>
      <c r="FZ131" s="49"/>
      <c r="GA131" s="49"/>
      <c r="GB131" s="49"/>
      <c r="GC131" s="49"/>
      <c r="GD131" s="49"/>
      <c r="GE131" s="49"/>
      <c r="GF131" s="49"/>
      <c r="GG131" s="49"/>
      <c r="GH131" s="49"/>
      <c r="GI131" s="49"/>
      <c r="GJ131" s="49"/>
      <c r="GK131" s="49"/>
      <c r="GL131" s="49"/>
      <c r="GM131" s="49"/>
      <c r="GN131" s="49"/>
      <c r="GO131" s="49"/>
      <c r="GP131" s="49"/>
      <c r="GQ131" s="49"/>
      <c r="GR131" s="49"/>
      <c r="GS131" s="49"/>
      <c r="GT131" s="49"/>
      <c r="GU131" s="49"/>
      <c r="GV131" s="49"/>
      <c r="GW131" s="49"/>
      <c r="GX131" s="49"/>
      <c r="GY131" s="49"/>
      <c r="GZ131" s="49"/>
      <c r="HA131" s="49"/>
      <c r="HB131" s="49"/>
      <c r="HC131" s="49"/>
      <c r="HD131" s="49"/>
      <c r="HE131" s="49"/>
      <c r="HF131" s="49"/>
      <c r="HG131" s="49"/>
      <c r="HH131" s="49"/>
      <c r="HI131" s="49"/>
      <c r="HJ131" s="49"/>
      <c r="HK131" s="49"/>
      <c r="HL131" s="49"/>
      <c r="HM131" s="49"/>
      <c r="HN131" s="49"/>
      <c r="HO131" s="49"/>
      <c r="HP131" s="49"/>
      <c r="HQ131" s="49"/>
      <c r="HR131" s="49"/>
      <c r="HS131" s="49"/>
      <c r="HT131" s="49"/>
      <c r="HU131" s="49"/>
    </row>
    <row r="132" spans="1:229" ht="18" x14ac:dyDescent="0.15">
      <c r="A132" s="288">
        <v>1</v>
      </c>
      <c r="B132" s="289" t="s">
        <v>227</v>
      </c>
      <c r="C132" s="340"/>
      <c r="D132" s="341"/>
      <c r="E132" s="341"/>
      <c r="F132" s="431">
        <f t="shared" si="2"/>
        <v>0</v>
      </c>
      <c r="G132" s="318"/>
      <c r="H132" s="254"/>
      <c r="I132" s="254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49"/>
      <c r="CD132" s="49"/>
      <c r="CE132" s="49"/>
      <c r="CF132" s="49"/>
      <c r="CG132" s="49"/>
      <c r="CH132" s="49"/>
      <c r="CI132" s="49"/>
      <c r="CJ132" s="49"/>
      <c r="CK132" s="49"/>
      <c r="CL132" s="49"/>
      <c r="CM132" s="49"/>
      <c r="CN132" s="49"/>
      <c r="CO132" s="49"/>
      <c r="CP132" s="49"/>
      <c r="CQ132" s="49"/>
      <c r="CR132" s="49"/>
      <c r="CS132" s="49"/>
      <c r="CT132" s="49"/>
      <c r="CU132" s="49"/>
      <c r="CV132" s="49"/>
      <c r="CW132" s="49"/>
      <c r="CX132" s="49"/>
      <c r="CY132" s="49"/>
      <c r="CZ132" s="49"/>
      <c r="DA132" s="49"/>
      <c r="DB132" s="49"/>
      <c r="DC132" s="49"/>
      <c r="DD132" s="49"/>
      <c r="DE132" s="49"/>
      <c r="DF132" s="49"/>
      <c r="DG132" s="49"/>
      <c r="DH132" s="49"/>
      <c r="DI132" s="49"/>
      <c r="DJ132" s="49"/>
      <c r="DK132" s="49"/>
      <c r="DL132" s="49"/>
      <c r="DM132" s="49"/>
      <c r="DN132" s="49"/>
      <c r="DO132" s="49"/>
      <c r="DP132" s="49"/>
      <c r="DQ132" s="49"/>
      <c r="DR132" s="49"/>
      <c r="DS132" s="49"/>
      <c r="DT132" s="49"/>
      <c r="DU132" s="49"/>
      <c r="DV132" s="49"/>
      <c r="DW132" s="49"/>
      <c r="DX132" s="49"/>
      <c r="DY132" s="49"/>
      <c r="DZ132" s="49"/>
      <c r="EA132" s="49"/>
      <c r="EB132" s="49"/>
      <c r="EC132" s="49"/>
      <c r="ED132" s="49"/>
      <c r="EE132" s="49"/>
      <c r="EF132" s="49"/>
      <c r="EG132" s="49"/>
      <c r="EH132" s="49"/>
      <c r="EI132" s="49"/>
      <c r="EJ132" s="49"/>
      <c r="EK132" s="49"/>
      <c r="EL132" s="49"/>
      <c r="EM132" s="49"/>
      <c r="EN132" s="49"/>
      <c r="EO132" s="49"/>
      <c r="EP132" s="49"/>
      <c r="EQ132" s="49"/>
      <c r="ER132" s="49"/>
      <c r="ES132" s="49"/>
      <c r="ET132" s="49"/>
      <c r="EU132" s="49"/>
      <c r="EV132" s="49"/>
      <c r="EW132" s="49"/>
      <c r="EX132" s="49"/>
      <c r="EY132" s="49"/>
      <c r="EZ132" s="49"/>
      <c r="FA132" s="49"/>
      <c r="FB132" s="49"/>
      <c r="FC132" s="49"/>
      <c r="FD132" s="49"/>
      <c r="FE132" s="49"/>
      <c r="FF132" s="49"/>
      <c r="FG132" s="49"/>
      <c r="FH132" s="49"/>
      <c r="FI132" s="49"/>
      <c r="FJ132" s="49"/>
      <c r="FK132" s="49"/>
      <c r="FL132" s="49"/>
      <c r="FM132" s="49"/>
      <c r="FN132" s="49"/>
      <c r="FO132" s="49"/>
      <c r="FP132" s="49"/>
      <c r="FQ132" s="49"/>
      <c r="FR132" s="49"/>
      <c r="FS132" s="49"/>
      <c r="FT132" s="49"/>
      <c r="FU132" s="49"/>
      <c r="FV132" s="49"/>
      <c r="FW132" s="49"/>
      <c r="FX132" s="49"/>
      <c r="FY132" s="49"/>
      <c r="FZ132" s="49"/>
      <c r="GA132" s="49"/>
      <c r="GB132" s="49"/>
      <c r="GC132" s="49"/>
      <c r="GD132" s="49"/>
      <c r="GE132" s="49"/>
      <c r="GF132" s="49"/>
      <c r="GG132" s="49"/>
      <c r="GH132" s="49"/>
      <c r="GI132" s="49"/>
      <c r="GJ132" s="49"/>
      <c r="GK132" s="49"/>
      <c r="GL132" s="49"/>
      <c r="GM132" s="49"/>
      <c r="GN132" s="49"/>
      <c r="GO132" s="49"/>
      <c r="GP132" s="49"/>
      <c r="GQ132" s="49"/>
      <c r="GR132" s="49"/>
      <c r="GS132" s="49"/>
      <c r="GT132" s="49"/>
      <c r="GU132" s="49"/>
      <c r="GV132" s="49"/>
      <c r="GW132" s="49"/>
      <c r="GX132" s="49"/>
      <c r="GY132" s="49"/>
      <c r="GZ132" s="49"/>
      <c r="HA132" s="49"/>
      <c r="HB132" s="49"/>
      <c r="HC132" s="49"/>
      <c r="HD132" s="49"/>
      <c r="HE132" s="49"/>
      <c r="HF132" s="49"/>
      <c r="HG132" s="49"/>
      <c r="HH132" s="49"/>
      <c r="HI132" s="49"/>
      <c r="HJ132" s="49"/>
      <c r="HK132" s="49"/>
      <c r="HL132" s="49"/>
      <c r="HM132" s="49"/>
      <c r="HN132" s="49"/>
      <c r="HO132" s="49"/>
      <c r="HP132" s="49"/>
      <c r="HQ132" s="49"/>
      <c r="HR132" s="49"/>
      <c r="HS132" s="49"/>
      <c r="HT132" s="49"/>
      <c r="HU132" s="49"/>
    </row>
    <row r="133" spans="1:229" ht="18.75" customHeight="1" x14ac:dyDescent="0.15">
      <c r="A133" s="288">
        <v>2</v>
      </c>
      <c r="B133" s="289" t="s">
        <v>240</v>
      </c>
      <c r="C133" s="340"/>
      <c r="D133" s="341"/>
      <c r="E133" s="341"/>
      <c r="F133" s="431">
        <f t="shared" si="2"/>
        <v>0</v>
      </c>
      <c r="G133" s="318"/>
      <c r="H133" s="254"/>
      <c r="I133" s="254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49"/>
      <c r="CZ133" s="49"/>
      <c r="DA133" s="49"/>
      <c r="DB133" s="49"/>
      <c r="DC133" s="49"/>
      <c r="DD133" s="49"/>
      <c r="DE133" s="49"/>
      <c r="DF133" s="49"/>
      <c r="DG133" s="49"/>
      <c r="DH133" s="49"/>
      <c r="DI133" s="49"/>
      <c r="DJ133" s="49"/>
      <c r="DK133" s="49"/>
      <c r="DL133" s="49"/>
      <c r="DM133" s="49"/>
      <c r="DN133" s="49"/>
      <c r="DO133" s="49"/>
      <c r="DP133" s="49"/>
      <c r="DQ133" s="49"/>
      <c r="DR133" s="49"/>
      <c r="DS133" s="49"/>
      <c r="DT133" s="49"/>
      <c r="DU133" s="49"/>
      <c r="DV133" s="49"/>
      <c r="DW133" s="49"/>
      <c r="DX133" s="49"/>
      <c r="DY133" s="49"/>
      <c r="DZ133" s="49"/>
      <c r="EA133" s="49"/>
      <c r="EB133" s="49"/>
      <c r="EC133" s="49"/>
      <c r="ED133" s="49"/>
      <c r="EE133" s="49"/>
      <c r="EF133" s="49"/>
      <c r="EG133" s="49"/>
      <c r="EH133" s="49"/>
      <c r="EI133" s="49"/>
      <c r="EJ133" s="49"/>
      <c r="EK133" s="49"/>
      <c r="EL133" s="49"/>
      <c r="EM133" s="49"/>
      <c r="EN133" s="49"/>
      <c r="EO133" s="49"/>
      <c r="EP133" s="49"/>
      <c r="EQ133" s="49"/>
      <c r="ER133" s="49"/>
      <c r="ES133" s="49"/>
      <c r="ET133" s="49"/>
      <c r="EU133" s="49"/>
      <c r="EV133" s="49"/>
      <c r="EW133" s="49"/>
      <c r="EX133" s="49"/>
      <c r="EY133" s="49"/>
      <c r="EZ133" s="49"/>
      <c r="FA133" s="49"/>
      <c r="FB133" s="49"/>
      <c r="FC133" s="49"/>
      <c r="FD133" s="49"/>
      <c r="FE133" s="49"/>
      <c r="FF133" s="49"/>
      <c r="FG133" s="49"/>
      <c r="FH133" s="49"/>
      <c r="FI133" s="49"/>
      <c r="FJ133" s="49"/>
      <c r="FK133" s="49"/>
      <c r="FL133" s="49"/>
      <c r="FM133" s="49"/>
      <c r="FN133" s="49"/>
      <c r="FO133" s="49"/>
      <c r="FP133" s="49"/>
      <c r="FQ133" s="49"/>
      <c r="FR133" s="49"/>
      <c r="FS133" s="49"/>
      <c r="FT133" s="49"/>
      <c r="FU133" s="49"/>
      <c r="FV133" s="49"/>
      <c r="FW133" s="49"/>
      <c r="FX133" s="49"/>
      <c r="FY133" s="49"/>
      <c r="FZ133" s="49"/>
      <c r="GA133" s="49"/>
      <c r="GB133" s="49"/>
      <c r="GC133" s="49"/>
      <c r="GD133" s="49"/>
      <c r="GE133" s="49"/>
      <c r="GF133" s="49"/>
      <c r="GG133" s="49"/>
      <c r="GH133" s="49"/>
      <c r="GI133" s="49"/>
      <c r="GJ133" s="49"/>
      <c r="GK133" s="49"/>
      <c r="GL133" s="49"/>
      <c r="GM133" s="49"/>
      <c r="GN133" s="49"/>
      <c r="GO133" s="49"/>
      <c r="GP133" s="49"/>
      <c r="GQ133" s="49"/>
      <c r="GR133" s="49"/>
      <c r="GS133" s="49"/>
      <c r="GT133" s="49"/>
      <c r="GU133" s="49"/>
      <c r="GV133" s="49"/>
      <c r="GW133" s="49"/>
      <c r="GX133" s="49"/>
      <c r="GY133" s="49"/>
      <c r="GZ133" s="49"/>
      <c r="HA133" s="49"/>
      <c r="HB133" s="49"/>
      <c r="HC133" s="49"/>
      <c r="HD133" s="49"/>
      <c r="HE133" s="49"/>
      <c r="HF133" s="49"/>
      <c r="HG133" s="49"/>
      <c r="HH133" s="49"/>
      <c r="HI133" s="49"/>
      <c r="HJ133" s="49"/>
      <c r="HK133" s="49"/>
      <c r="HL133" s="49"/>
      <c r="HM133" s="49"/>
      <c r="HN133" s="49"/>
      <c r="HO133" s="49"/>
      <c r="HP133" s="49"/>
      <c r="HQ133" s="49"/>
      <c r="HR133" s="49"/>
      <c r="HS133" s="49"/>
      <c r="HT133" s="49"/>
      <c r="HU133" s="49"/>
    </row>
    <row r="134" spans="1:229" ht="18" x14ac:dyDescent="0.15">
      <c r="A134" s="288">
        <v>3</v>
      </c>
      <c r="B134" s="289" t="s">
        <v>241</v>
      </c>
      <c r="C134" s="340"/>
      <c r="D134" s="341"/>
      <c r="E134" s="341"/>
      <c r="F134" s="431">
        <f t="shared" si="2"/>
        <v>0</v>
      </c>
      <c r="G134" s="318"/>
      <c r="H134" s="254"/>
      <c r="I134" s="254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  <c r="CA134" s="49"/>
      <c r="CB134" s="49"/>
      <c r="CC134" s="49"/>
      <c r="CD134" s="49"/>
      <c r="CE134" s="49"/>
      <c r="CF134" s="49"/>
      <c r="CG134" s="49"/>
      <c r="CH134" s="49"/>
      <c r="CI134" s="49"/>
      <c r="CJ134" s="49"/>
      <c r="CK134" s="49"/>
      <c r="CL134" s="49"/>
      <c r="CM134" s="49"/>
      <c r="CN134" s="49"/>
      <c r="CO134" s="49"/>
      <c r="CP134" s="49"/>
      <c r="CQ134" s="49"/>
      <c r="CR134" s="49"/>
      <c r="CS134" s="49"/>
      <c r="CT134" s="49"/>
      <c r="CU134" s="49"/>
      <c r="CV134" s="49"/>
      <c r="CW134" s="49"/>
      <c r="CX134" s="49"/>
      <c r="CY134" s="49"/>
      <c r="CZ134" s="49"/>
      <c r="DA134" s="49"/>
      <c r="DB134" s="49"/>
      <c r="DC134" s="49"/>
      <c r="DD134" s="49"/>
      <c r="DE134" s="49"/>
      <c r="DF134" s="49"/>
      <c r="DG134" s="49"/>
      <c r="DH134" s="49"/>
      <c r="DI134" s="49"/>
      <c r="DJ134" s="49"/>
      <c r="DK134" s="49"/>
      <c r="DL134" s="49"/>
      <c r="DM134" s="49"/>
      <c r="DN134" s="49"/>
      <c r="DO134" s="49"/>
      <c r="DP134" s="49"/>
      <c r="DQ134" s="49"/>
      <c r="DR134" s="49"/>
      <c r="DS134" s="49"/>
      <c r="DT134" s="49"/>
      <c r="DU134" s="49"/>
      <c r="DV134" s="49"/>
      <c r="DW134" s="49"/>
      <c r="DX134" s="49"/>
      <c r="DY134" s="49"/>
      <c r="DZ134" s="49"/>
      <c r="EA134" s="49"/>
      <c r="EB134" s="49"/>
      <c r="EC134" s="49"/>
      <c r="ED134" s="49"/>
      <c r="EE134" s="49"/>
      <c r="EF134" s="49"/>
      <c r="EG134" s="49"/>
      <c r="EH134" s="49"/>
      <c r="EI134" s="49"/>
      <c r="EJ134" s="49"/>
      <c r="EK134" s="49"/>
      <c r="EL134" s="49"/>
      <c r="EM134" s="49"/>
      <c r="EN134" s="49"/>
      <c r="EO134" s="49"/>
      <c r="EP134" s="49"/>
      <c r="EQ134" s="49"/>
      <c r="ER134" s="49"/>
      <c r="ES134" s="49"/>
      <c r="ET134" s="49"/>
      <c r="EU134" s="49"/>
      <c r="EV134" s="49"/>
      <c r="EW134" s="49"/>
      <c r="EX134" s="49"/>
      <c r="EY134" s="49"/>
      <c r="EZ134" s="49"/>
      <c r="FA134" s="49"/>
      <c r="FB134" s="49"/>
      <c r="FC134" s="49"/>
      <c r="FD134" s="49"/>
      <c r="FE134" s="49"/>
      <c r="FF134" s="49"/>
      <c r="FG134" s="49"/>
      <c r="FH134" s="49"/>
      <c r="FI134" s="49"/>
      <c r="FJ134" s="49"/>
      <c r="FK134" s="49"/>
      <c r="FL134" s="49"/>
      <c r="FM134" s="49"/>
      <c r="FN134" s="49"/>
      <c r="FO134" s="49"/>
      <c r="FP134" s="49"/>
      <c r="FQ134" s="49"/>
      <c r="FR134" s="49"/>
      <c r="FS134" s="49"/>
      <c r="FT134" s="49"/>
      <c r="FU134" s="49"/>
      <c r="FV134" s="49"/>
      <c r="FW134" s="49"/>
      <c r="FX134" s="49"/>
      <c r="FY134" s="49"/>
      <c r="FZ134" s="49"/>
      <c r="GA134" s="49"/>
      <c r="GB134" s="49"/>
      <c r="GC134" s="49"/>
      <c r="GD134" s="49"/>
      <c r="GE134" s="49"/>
      <c r="GF134" s="49"/>
      <c r="GG134" s="49"/>
      <c r="GH134" s="49"/>
      <c r="GI134" s="49"/>
      <c r="GJ134" s="49"/>
      <c r="GK134" s="49"/>
      <c r="GL134" s="49"/>
      <c r="GM134" s="49"/>
      <c r="GN134" s="49"/>
      <c r="GO134" s="49"/>
      <c r="GP134" s="49"/>
      <c r="GQ134" s="49"/>
      <c r="GR134" s="49"/>
      <c r="GS134" s="49"/>
      <c r="GT134" s="49"/>
      <c r="GU134" s="49"/>
      <c r="GV134" s="49"/>
      <c r="GW134" s="49"/>
      <c r="GX134" s="49"/>
      <c r="GY134" s="49"/>
      <c r="GZ134" s="49"/>
      <c r="HA134" s="49"/>
      <c r="HB134" s="49"/>
      <c r="HC134" s="49"/>
      <c r="HD134" s="49"/>
      <c r="HE134" s="49"/>
      <c r="HF134" s="49"/>
      <c r="HG134" s="49"/>
      <c r="HH134" s="49"/>
      <c r="HI134" s="49"/>
      <c r="HJ134" s="49"/>
      <c r="HK134" s="49"/>
      <c r="HL134" s="49"/>
      <c r="HM134" s="49"/>
      <c r="HN134" s="49"/>
      <c r="HO134" s="49"/>
      <c r="HP134" s="49"/>
      <c r="HQ134" s="49"/>
      <c r="HR134" s="49"/>
      <c r="HS134" s="49"/>
      <c r="HT134" s="49"/>
      <c r="HU134" s="49"/>
    </row>
    <row r="135" spans="1:229" ht="28.5" x14ac:dyDescent="0.15">
      <c r="A135" s="288">
        <v>4</v>
      </c>
      <c r="B135" s="289" t="s">
        <v>228</v>
      </c>
      <c r="C135" s="340"/>
      <c r="D135" s="341"/>
      <c r="E135" s="341"/>
      <c r="F135" s="431">
        <f t="shared" si="2"/>
        <v>0</v>
      </c>
      <c r="G135" s="318"/>
      <c r="H135" s="254"/>
      <c r="I135" s="254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  <c r="DP135" s="49"/>
      <c r="DQ135" s="49"/>
      <c r="DR135" s="49"/>
      <c r="DS135" s="49"/>
      <c r="DT135" s="49"/>
      <c r="DU135" s="49"/>
      <c r="DV135" s="49"/>
      <c r="DW135" s="49"/>
      <c r="DX135" s="49"/>
      <c r="DY135" s="49"/>
      <c r="DZ135" s="49"/>
      <c r="EA135" s="49"/>
      <c r="EB135" s="49"/>
      <c r="EC135" s="49"/>
      <c r="ED135" s="49"/>
      <c r="EE135" s="49"/>
      <c r="EF135" s="49"/>
      <c r="EG135" s="49"/>
      <c r="EH135" s="49"/>
      <c r="EI135" s="49"/>
      <c r="EJ135" s="49"/>
      <c r="EK135" s="49"/>
      <c r="EL135" s="49"/>
      <c r="EM135" s="49"/>
      <c r="EN135" s="49"/>
      <c r="EO135" s="49"/>
      <c r="EP135" s="49"/>
      <c r="EQ135" s="49"/>
      <c r="ER135" s="49"/>
      <c r="ES135" s="49"/>
      <c r="ET135" s="49"/>
      <c r="EU135" s="49"/>
      <c r="EV135" s="49"/>
      <c r="EW135" s="49"/>
      <c r="EX135" s="49"/>
      <c r="EY135" s="49"/>
      <c r="EZ135" s="49"/>
      <c r="FA135" s="49"/>
      <c r="FB135" s="49"/>
      <c r="FC135" s="49"/>
      <c r="FD135" s="49"/>
      <c r="FE135" s="49"/>
      <c r="FF135" s="49"/>
      <c r="FG135" s="49"/>
      <c r="FH135" s="49"/>
      <c r="FI135" s="49"/>
      <c r="FJ135" s="49"/>
      <c r="FK135" s="49"/>
      <c r="FL135" s="49"/>
      <c r="FM135" s="49"/>
      <c r="FN135" s="49"/>
      <c r="FO135" s="49"/>
      <c r="FP135" s="49"/>
      <c r="FQ135" s="49"/>
      <c r="FR135" s="49"/>
      <c r="FS135" s="49"/>
      <c r="FT135" s="49"/>
      <c r="FU135" s="49"/>
      <c r="FV135" s="49"/>
      <c r="FW135" s="49"/>
      <c r="FX135" s="49"/>
      <c r="FY135" s="49"/>
      <c r="FZ135" s="49"/>
      <c r="GA135" s="49"/>
      <c r="GB135" s="49"/>
      <c r="GC135" s="49"/>
      <c r="GD135" s="49"/>
      <c r="GE135" s="49"/>
      <c r="GF135" s="49"/>
      <c r="GG135" s="49"/>
      <c r="GH135" s="49"/>
      <c r="GI135" s="49"/>
      <c r="GJ135" s="49"/>
      <c r="GK135" s="49"/>
      <c r="GL135" s="49"/>
      <c r="GM135" s="49"/>
      <c r="GN135" s="49"/>
      <c r="GO135" s="49"/>
      <c r="GP135" s="49"/>
      <c r="GQ135" s="49"/>
      <c r="GR135" s="49"/>
      <c r="GS135" s="49"/>
      <c r="GT135" s="49"/>
      <c r="GU135" s="49"/>
      <c r="GV135" s="49"/>
      <c r="GW135" s="49"/>
      <c r="GX135" s="49"/>
      <c r="GY135" s="49"/>
      <c r="GZ135" s="49"/>
      <c r="HA135" s="49"/>
      <c r="HB135" s="49"/>
      <c r="HC135" s="49"/>
      <c r="HD135" s="49"/>
      <c r="HE135" s="49"/>
      <c r="HF135" s="49"/>
      <c r="HG135" s="49"/>
      <c r="HH135" s="49"/>
      <c r="HI135" s="49"/>
      <c r="HJ135" s="49"/>
      <c r="HK135" s="49"/>
      <c r="HL135" s="49"/>
      <c r="HM135" s="49"/>
      <c r="HN135" s="49"/>
      <c r="HO135" s="49"/>
      <c r="HP135" s="49"/>
      <c r="HQ135" s="49"/>
      <c r="HR135" s="49"/>
      <c r="HS135" s="49"/>
      <c r="HT135" s="49"/>
      <c r="HU135" s="49"/>
    </row>
    <row r="136" spans="1:229" ht="18" x14ac:dyDescent="0.15">
      <c r="A136" s="288">
        <v>5</v>
      </c>
      <c r="B136" s="289" t="s">
        <v>229</v>
      </c>
      <c r="C136" s="340"/>
      <c r="D136" s="341"/>
      <c r="E136" s="341"/>
      <c r="F136" s="431">
        <f t="shared" si="2"/>
        <v>0</v>
      </c>
      <c r="G136" s="318"/>
      <c r="H136" s="254"/>
      <c r="I136" s="254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  <c r="CA136" s="49"/>
      <c r="CB136" s="49"/>
      <c r="CC136" s="4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49"/>
      <c r="CO136" s="49"/>
      <c r="CP136" s="49"/>
      <c r="CQ136" s="4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49"/>
      <c r="DC136" s="49"/>
      <c r="DD136" s="49"/>
      <c r="DE136" s="4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49"/>
      <c r="DQ136" s="49"/>
      <c r="DR136" s="49"/>
      <c r="DS136" s="49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49"/>
      <c r="EE136" s="49"/>
      <c r="EF136" s="49"/>
      <c r="EG136" s="49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49"/>
      <c r="ES136" s="49"/>
      <c r="ET136" s="49"/>
      <c r="EU136" s="49"/>
      <c r="EV136" s="49"/>
      <c r="EW136" s="49"/>
      <c r="EX136" s="49"/>
      <c r="EY136" s="49"/>
      <c r="EZ136" s="49"/>
      <c r="FA136" s="49"/>
      <c r="FB136" s="49"/>
      <c r="FC136" s="49"/>
      <c r="FD136" s="49"/>
      <c r="FE136" s="49"/>
      <c r="FF136" s="49"/>
      <c r="FG136" s="49"/>
      <c r="FH136" s="49"/>
      <c r="FI136" s="49"/>
      <c r="FJ136" s="49"/>
      <c r="FK136" s="49"/>
      <c r="FL136" s="49"/>
      <c r="FM136" s="49"/>
      <c r="FN136" s="49"/>
      <c r="FO136" s="49"/>
      <c r="FP136" s="49"/>
      <c r="FQ136" s="49"/>
      <c r="FR136" s="49"/>
      <c r="FS136" s="49"/>
      <c r="FT136" s="49"/>
      <c r="FU136" s="49"/>
      <c r="FV136" s="49"/>
      <c r="FW136" s="49"/>
      <c r="FX136" s="49"/>
      <c r="FY136" s="49"/>
      <c r="FZ136" s="49"/>
      <c r="GA136" s="49"/>
      <c r="GB136" s="49"/>
      <c r="GC136" s="49"/>
      <c r="GD136" s="49"/>
      <c r="GE136" s="49"/>
      <c r="GF136" s="49"/>
      <c r="GG136" s="49"/>
      <c r="GH136" s="49"/>
      <c r="GI136" s="49"/>
      <c r="GJ136" s="49"/>
      <c r="GK136" s="49"/>
      <c r="GL136" s="49"/>
      <c r="GM136" s="49"/>
      <c r="GN136" s="49"/>
      <c r="GO136" s="49"/>
      <c r="GP136" s="49"/>
      <c r="GQ136" s="49"/>
      <c r="GR136" s="49"/>
      <c r="GS136" s="49"/>
      <c r="GT136" s="49"/>
      <c r="GU136" s="49"/>
      <c r="GV136" s="49"/>
      <c r="GW136" s="49"/>
      <c r="GX136" s="49"/>
      <c r="GY136" s="49"/>
      <c r="GZ136" s="49"/>
      <c r="HA136" s="49"/>
      <c r="HB136" s="49"/>
      <c r="HC136" s="49"/>
      <c r="HD136" s="49"/>
      <c r="HE136" s="49"/>
      <c r="HF136" s="49"/>
      <c r="HG136" s="49"/>
      <c r="HH136" s="49"/>
      <c r="HI136" s="49"/>
      <c r="HJ136" s="49"/>
      <c r="HK136" s="49"/>
      <c r="HL136" s="49"/>
      <c r="HM136" s="49"/>
      <c r="HN136" s="49"/>
      <c r="HO136" s="49"/>
      <c r="HP136" s="49"/>
      <c r="HQ136" s="49"/>
      <c r="HR136" s="49"/>
      <c r="HS136" s="49"/>
      <c r="HT136" s="49"/>
      <c r="HU136" s="49"/>
    </row>
    <row r="137" spans="1:229" ht="14.25" x14ac:dyDescent="0.15">
      <c r="A137" s="276"/>
      <c r="B137" s="277" t="s">
        <v>27</v>
      </c>
      <c r="C137" s="277"/>
      <c r="D137" s="278"/>
      <c r="E137" s="278"/>
      <c r="F137" s="445"/>
      <c r="G137" s="299"/>
      <c r="H137" s="300"/>
      <c r="I137" s="279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  <c r="GU137" s="33"/>
      <c r="GV137" s="33"/>
      <c r="GW137" s="33"/>
      <c r="GX137" s="33"/>
      <c r="GY137" s="33"/>
      <c r="GZ137" s="33"/>
      <c r="HA137" s="33"/>
      <c r="HB137" s="33"/>
      <c r="HC137" s="33"/>
      <c r="HD137" s="33"/>
      <c r="HE137" s="33"/>
      <c r="HF137" s="33"/>
      <c r="HG137" s="33"/>
      <c r="HH137" s="33"/>
      <c r="HI137" s="33"/>
      <c r="HJ137" s="33"/>
      <c r="HK137" s="33"/>
      <c r="HL137" s="33"/>
      <c r="HM137" s="33"/>
      <c r="HN137" s="33"/>
      <c r="HO137" s="33"/>
      <c r="HP137" s="33"/>
      <c r="HQ137" s="33"/>
      <c r="HR137" s="33"/>
      <c r="HS137" s="33"/>
      <c r="HT137" s="33"/>
      <c r="HU137" s="33"/>
    </row>
    <row r="138" spans="1:229" ht="15" thickBot="1" x14ac:dyDescent="0.2">
      <c r="A138" s="301"/>
      <c r="B138" s="302" t="s">
        <v>165</v>
      </c>
      <c r="C138" s="302"/>
      <c r="D138" s="303"/>
      <c r="E138" s="303"/>
      <c r="F138" s="439">
        <f>SUM(F11,F53,F67,F125)</f>
        <v>189192.41312499999</v>
      </c>
      <c r="G138" s="305" t="s">
        <v>166</v>
      </c>
      <c r="H138" s="306"/>
      <c r="I138" s="304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  <c r="DF138" s="33"/>
      <c r="DG138" s="33"/>
      <c r="DH138" s="33"/>
      <c r="DI138" s="33"/>
      <c r="DJ138" s="33"/>
      <c r="DK138" s="33"/>
      <c r="DL138" s="33"/>
      <c r="DM138" s="33"/>
      <c r="DN138" s="33"/>
      <c r="DO138" s="33"/>
      <c r="DP138" s="33"/>
      <c r="DQ138" s="33"/>
      <c r="DR138" s="33"/>
      <c r="DS138" s="33"/>
      <c r="DT138" s="33"/>
      <c r="DU138" s="33"/>
      <c r="DV138" s="33"/>
      <c r="DW138" s="33"/>
      <c r="DX138" s="33"/>
      <c r="DY138" s="33"/>
      <c r="DZ138" s="33"/>
      <c r="EA138" s="33"/>
      <c r="EB138" s="33"/>
      <c r="EC138" s="33"/>
      <c r="ED138" s="33"/>
      <c r="EE138" s="33"/>
      <c r="EF138" s="33"/>
      <c r="EG138" s="33"/>
      <c r="EH138" s="33"/>
      <c r="EI138" s="33"/>
      <c r="EJ138" s="33"/>
      <c r="EK138" s="33"/>
      <c r="EL138" s="33"/>
      <c r="EM138" s="33"/>
      <c r="EN138" s="33"/>
      <c r="EO138" s="33"/>
      <c r="EP138" s="33"/>
      <c r="EQ138" s="33"/>
      <c r="ER138" s="33"/>
      <c r="ES138" s="33"/>
      <c r="ET138" s="33"/>
      <c r="EU138" s="33"/>
      <c r="EV138" s="33"/>
      <c r="EW138" s="33"/>
      <c r="EX138" s="33"/>
      <c r="EY138" s="33"/>
      <c r="EZ138" s="33"/>
      <c r="FA138" s="33"/>
      <c r="FB138" s="33"/>
      <c r="FC138" s="33"/>
      <c r="FD138" s="33"/>
      <c r="FE138" s="33"/>
      <c r="FF138" s="33"/>
      <c r="FG138" s="33"/>
      <c r="FH138" s="33"/>
      <c r="FI138" s="33"/>
      <c r="FJ138" s="33"/>
      <c r="FK138" s="33"/>
      <c r="FL138" s="33"/>
      <c r="FM138" s="33"/>
      <c r="FN138" s="33"/>
      <c r="FO138" s="33"/>
      <c r="FP138" s="33"/>
      <c r="FQ138" s="33"/>
      <c r="FR138" s="33"/>
      <c r="FS138" s="33"/>
      <c r="FT138" s="33"/>
      <c r="FU138" s="33"/>
      <c r="FV138" s="33"/>
      <c r="FW138" s="33"/>
      <c r="FX138" s="33"/>
      <c r="FY138" s="33"/>
      <c r="FZ138" s="33"/>
      <c r="GA138" s="33"/>
      <c r="GB138" s="33"/>
      <c r="GC138" s="33"/>
      <c r="GD138" s="33"/>
      <c r="GE138" s="33"/>
      <c r="GF138" s="33"/>
      <c r="GG138" s="33"/>
      <c r="GH138" s="33"/>
      <c r="GI138" s="33"/>
      <c r="GJ138" s="33"/>
      <c r="GK138" s="33"/>
      <c r="GL138" s="33"/>
      <c r="GM138" s="33"/>
      <c r="GN138" s="33"/>
      <c r="GO138" s="33"/>
      <c r="GP138" s="33"/>
      <c r="GQ138" s="33"/>
      <c r="GR138" s="33"/>
      <c r="GS138" s="33"/>
      <c r="GT138" s="33"/>
      <c r="GU138" s="33"/>
      <c r="GV138" s="33"/>
      <c r="GW138" s="33"/>
      <c r="GX138" s="33"/>
      <c r="GY138" s="33"/>
      <c r="GZ138" s="33"/>
      <c r="HA138" s="33"/>
      <c r="HB138" s="33"/>
      <c r="HC138" s="33"/>
      <c r="HD138" s="33"/>
      <c r="HE138" s="33"/>
      <c r="HF138" s="33"/>
      <c r="HG138" s="33"/>
      <c r="HH138" s="33"/>
      <c r="HI138" s="33"/>
      <c r="HJ138" s="33"/>
      <c r="HK138" s="33"/>
      <c r="HL138" s="33"/>
      <c r="HM138" s="33"/>
      <c r="HN138" s="33"/>
      <c r="HO138" s="33"/>
      <c r="HP138" s="33"/>
      <c r="HQ138" s="33"/>
      <c r="HR138" s="33"/>
      <c r="HS138" s="33"/>
      <c r="HT138" s="33"/>
      <c r="HU138" s="33"/>
    </row>
    <row r="139" spans="1:229" s="351" customFormat="1" ht="26.25" customHeight="1" x14ac:dyDescent="0.15">
      <c r="A139" s="348"/>
      <c r="B139" s="349" t="s">
        <v>165</v>
      </c>
      <c r="C139" s="307"/>
      <c r="D139" s="308"/>
      <c r="E139" s="308"/>
      <c r="F139" s="438">
        <f>F138</f>
        <v>189192.41312499999</v>
      </c>
      <c r="G139" s="350"/>
      <c r="H139" s="253"/>
      <c r="I139" s="309"/>
    </row>
    <row r="140" spans="1:229" ht="15" thickBot="1" x14ac:dyDescent="0.2">
      <c r="A140" s="433"/>
      <c r="B140" s="434" t="s">
        <v>166</v>
      </c>
      <c r="C140" s="435"/>
      <c r="D140" s="436"/>
      <c r="E140" s="436"/>
      <c r="F140" s="437"/>
      <c r="G140" s="324"/>
      <c r="H140" s="325"/>
      <c r="I140" s="417"/>
    </row>
  </sheetData>
  <mergeCells count="3">
    <mergeCell ref="A1:I1"/>
    <mergeCell ref="A2:I2"/>
    <mergeCell ref="A3:I3"/>
  </mergeCells>
  <pageMargins left="0.23622047244094491" right="0.23622047244094491" top="0.74803149606299213" bottom="0.74803149606299213" header="0.31496062992125984" footer="0.31496062992125984"/>
  <pageSetup paperSize="9" scale="48" orientation="landscape" r:id="rId1"/>
  <headerFooter>
    <oddFooter xml:space="preserve">&amp;L  "Генпідрядник"    _________________ В.І. Старинець&amp;C &amp;R                       "Підрядник" ___________________ О. С Петрівський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zoomScale="85" zoomScaleNormal="85" workbookViewId="0" xr3:uid="{958C4451-9541-5A59-BF78-D2F731DF1C81}">
      <pane ySplit="5" topLeftCell="A6" activePane="bottomLeft" state="frozen"/>
      <selection pane="bottomLeft" activeCell="C9" sqref="C9"/>
    </sheetView>
  </sheetViews>
  <sheetFormatPr defaultRowHeight="12.75" x14ac:dyDescent="0.15"/>
  <cols>
    <col min="1" max="1" width="2.01953125" customWidth="1"/>
    <col min="2" max="2" width="7.28125" bestFit="1" customWidth="1"/>
    <col min="3" max="3" width="60.81640625" customWidth="1"/>
    <col min="4" max="4" width="8.8984375" bestFit="1" customWidth="1"/>
    <col min="5" max="6" width="11.4609375" customWidth="1"/>
    <col min="7" max="7" width="38.56640625" customWidth="1"/>
    <col min="8" max="8" width="11.4609375" customWidth="1"/>
    <col min="9" max="9" width="10.3828125" customWidth="1"/>
    <col min="10" max="10" width="15.1015625" customWidth="1"/>
    <col min="11" max="11" width="18.33984375" style="450" customWidth="1"/>
  </cols>
  <sheetData>
    <row r="1" spans="1:11" ht="20.25" customHeight="1" x14ac:dyDescent="0.15">
      <c r="A1" s="353"/>
      <c r="B1" s="464" t="s">
        <v>310</v>
      </c>
      <c r="C1" s="464"/>
      <c r="D1" s="464"/>
      <c r="E1" s="464"/>
      <c r="F1" s="464"/>
      <c r="G1" s="464"/>
      <c r="H1" s="464"/>
      <c r="I1" s="464"/>
      <c r="J1" s="464"/>
      <c r="K1" s="464"/>
    </row>
    <row r="2" spans="1:11" ht="18.75" customHeight="1" x14ac:dyDescent="0.15">
      <c r="A2" s="467" t="s">
        <v>309</v>
      </c>
      <c r="B2" s="467"/>
      <c r="C2" s="467"/>
      <c r="D2" s="467"/>
      <c r="E2" s="467"/>
      <c r="F2" s="467"/>
      <c r="G2" s="467"/>
      <c r="H2" s="467"/>
      <c r="I2" s="467"/>
      <c r="J2" s="467"/>
    </row>
    <row r="3" spans="1:11" ht="20.25" customHeight="1" thickBot="1" x14ac:dyDescent="0.2">
      <c r="A3" s="467" t="s">
        <v>311</v>
      </c>
      <c r="B3" s="467"/>
      <c r="C3" s="467"/>
      <c r="D3" s="467"/>
      <c r="E3" s="467"/>
      <c r="F3" s="467"/>
      <c r="G3" s="467"/>
      <c r="H3" s="467"/>
      <c r="I3" s="467"/>
      <c r="J3" s="467"/>
    </row>
    <row r="4" spans="1:11" ht="17.25" customHeight="1" x14ac:dyDescent="0.15">
      <c r="A4" s="352"/>
      <c r="B4" s="468" t="s">
        <v>1</v>
      </c>
      <c r="C4" s="470" t="s">
        <v>13</v>
      </c>
      <c r="D4" s="470" t="s">
        <v>14</v>
      </c>
      <c r="E4" s="472" t="s">
        <v>15</v>
      </c>
      <c r="F4" s="426"/>
      <c r="G4" s="474" t="s">
        <v>168</v>
      </c>
      <c r="H4" s="474"/>
      <c r="I4" s="474"/>
      <c r="J4" s="474"/>
      <c r="K4" s="475"/>
    </row>
    <row r="5" spans="1:11" ht="51.75" customHeight="1" thickBot="1" x14ac:dyDescent="0.2">
      <c r="A5" s="352"/>
      <c r="B5" s="469"/>
      <c r="C5" s="471"/>
      <c r="D5" s="471"/>
      <c r="E5" s="473"/>
      <c r="F5" s="427" t="s">
        <v>314</v>
      </c>
      <c r="G5" s="355" t="s">
        <v>19</v>
      </c>
      <c r="H5" s="355" t="s">
        <v>14</v>
      </c>
      <c r="I5" s="354" t="s">
        <v>15</v>
      </c>
      <c r="J5" s="354" t="s">
        <v>242</v>
      </c>
      <c r="K5" s="356" t="s">
        <v>308</v>
      </c>
    </row>
    <row r="6" spans="1:11" ht="14.25" x14ac:dyDescent="0.15">
      <c r="B6" s="387"/>
      <c r="C6" s="388" t="s">
        <v>76</v>
      </c>
      <c r="D6" s="389"/>
      <c r="E6" s="389"/>
      <c r="F6" s="389"/>
      <c r="G6" s="390"/>
      <c r="H6" s="390"/>
      <c r="I6" s="390"/>
      <c r="J6" s="391"/>
      <c r="K6" s="451"/>
    </row>
    <row r="7" spans="1:11" ht="14.25" x14ac:dyDescent="0.15">
      <c r="B7" s="357"/>
      <c r="C7" s="358" t="s">
        <v>248</v>
      </c>
      <c r="D7" s="359" t="s">
        <v>249</v>
      </c>
      <c r="E7" s="360">
        <f>[1]Обєми!L8</f>
        <v>1019.802</v>
      </c>
      <c r="F7" s="362">
        <v>200</v>
      </c>
      <c r="G7" s="362"/>
      <c r="H7" s="362"/>
      <c r="I7" s="363"/>
      <c r="J7" s="364"/>
      <c r="K7" s="452">
        <f>E7*F7</f>
        <v>203960.4</v>
      </c>
    </row>
    <row r="8" spans="1:11" ht="14.25" x14ac:dyDescent="0.15">
      <c r="B8" s="357"/>
      <c r="C8" s="366" t="s">
        <v>250</v>
      </c>
      <c r="D8" s="359" t="s">
        <v>249</v>
      </c>
      <c r="E8" s="368">
        <f>E7-E9-E10</f>
        <v>913.96932000000004</v>
      </c>
      <c r="F8" s="361"/>
      <c r="G8" s="362"/>
      <c r="H8" s="362"/>
      <c r="I8" s="363"/>
      <c r="J8" s="364"/>
      <c r="K8" s="452">
        <f t="shared" ref="K8:K36" si="0">E8*F8</f>
        <v>0</v>
      </c>
    </row>
    <row r="9" spans="1:11" ht="14.25" x14ac:dyDescent="0.15">
      <c r="B9" s="357"/>
      <c r="C9" s="413" t="s">
        <v>251</v>
      </c>
      <c r="D9" s="359" t="s">
        <v>249</v>
      </c>
      <c r="E9" s="368">
        <f>[1]Двері!J29+[1]Двері!S29+[1]Двері!AB30</f>
        <v>49.486999999999995</v>
      </c>
      <c r="F9" s="361"/>
      <c r="G9" s="362"/>
      <c r="H9" s="362"/>
      <c r="I9" s="363"/>
      <c r="J9" s="364"/>
      <c r="K9" s="452">
        <f t="shared" si="0"/>
        <v>0</v>
      </c>
    </row>
    <row r="10" spans="1:11" ht="14.25" x14ac:dyDescent="0.15">
      <c r="B10" s="357"/>
      <c r="C10" s="413" t="s">
        <v>252</v>
      </c>
      <c r="D10" s="359" t="s">
        <v>249</v>
      </c>
      <c r="E10" s="368">
        <f>[1]Обєми!L29</f>
        <v>56.345680000000002</v>
      </c>
      <c r="F10" s="361"/>
      <c r="G10" s="362"/>
      <c r="H10" s="362"/>
      <c r="I10" s="363"/>
      <c r="J10" s="364"/>
      <c r="K10" s="452">
        <f t="shared" si="0"/>
        <v>0</v>
      </c>
    </row>
    <row r="11" spans="1:11" ht="14.25" x14ac:dyDescent="0.15">
      <c r="B11" s="357"/>
      <c r="C11" s="365" t="s">
        <v>253</v>
      </c>
      <c r="D11" s="359" t="s">
        <v>5</v>
      </c>
      <c r="E11" s="360">
        <v>585.9</v>
      </c>
      <c r="F11" s="362">
        <v>10</v>
      </c>
      <c r="G11" s="362"/>
      <c r="H11" s="362"/>
      <c r="I11" s="363"/>
      <c r="J11" s="364"/>
      <c r="K11" s="452">
        <f t="shared" si="0"/>
        <v>5859</v>
      </c>
    </row>
    <row r="12" spans="1:11" ht="14.25" x14ac:dyDescent="0.15">
      <c r="B12" s="357"/>
      <c r="C12" s="365" t="s">
        <v>254</v>
      </c>
      <c r="D12" s="359" t="s">
        <v>5</v>
      </c>
      <c r="E12" s="360">
        <v>716.7</v>
      </c>
      <c r="F12" s="362">
        <v>10</v>
      </c>
      <c r="G12" s="362"/>
      <c r="H12" s="362"/>
      <c r="I12" s="363"/>
      <c r="J12" s="364"/>
      <c r="K12" s="452">
        <f t="shared" si="0"/>
        <v>7167</v>
      </c>
    </row>
    <row r="13" spans="1:11" ht="14.25" x14ac:dyDescent="0.15">
      <c r="B13" s="357"/>
      <c r="C13" s="366" t="s">
        <v>255</v>
      </c>
      <c r="D13" s="367" t="s">
        <v>249</v>
      </c>
      <c r="E13" s="368">
        <f>'[1]Опорядження стін'!Y5*1.05</f>
        <v>646.70550000000003</v>
      </c>
      <c r="F13" s="361"/>
      <c r="G13" s="362"/>
      <c r="H13" s="362"/>
      <c r="I13" s="363"/>
      <c r="J13" s="364"/>
      <c r="K13" s="452">
        <f t="shared" si="0"/>
        <v>0</v>
      </c>
    </row>
    <row r="14" spans="1:11" ht="14.25" x14ac:dyDescent="0.15">
      <c r="B14" s="357"/>
      <c r="C14" s="369" t="s">
        <v>256</v>
      </c>
      <c r="D14" s="367" t="s">
        <v>249</v>
      </c>
      <c r="E14" s="368">
        <f>'[1]Опорядження стін'!Y6*1.05</f>
        <v>234.57000000000002</v>
      </c>
      <c r="F14" s="361"/>
      <c r="G14" s="362"/>
      <c r="H14" s="362"/>
      <c r="I14" s="363"/>
      <c r="J14" s="364"/>
      <c r="K14" s="452">
        <f t="shared" si="0"/>
        <v>0</v>
      </c>
    </row>
    <row r="15" spans="1:11" ht="14.25" x14ac:dyDescent="0.15">
      <c r="B15" s="357"/>
      <c r="C15" s="369" t="s">
        <v>257</v>
      </c>
      <c r="D15" s="367" t="s">
        <v>249</v>
      </c>
      <c r="E15" s="368">
        <f>'[1]Опорядження стін'!Y7*1.05</f>
        <v>63.714000000000006</v>
      </c>
      <c r="F15" s="361"/>
      <c r="G15" s="361"/>
      <c r="H15" s="370"/>
      <c r="I15" s="371"/>
      <c r="J15" s="364"/>
      <c r="K15" s="452">
        <f t="shared" si="0"/>
        <v>0</v>
      </c>
    </row>
    <row r="16" spans="1:11" ht="28.5" x14ac:dyDescent="0.15">
      <c r="B16" s="357"/>
      <c r="C16" s="372" t="s">
        <v>298</v>
      </c>
      <c r="D16" s="367" t="s">
        <v>5</v>
      </c>
      <c r="E16" s="368">
        <f>'[1]Опорядження стін'!Y8*2.7</f>
        <v>515.70000000000005</v>
      </c>
      <c r="F16" s="361"/>
      <c r="G16" s="361"/>
      <c r="H16" s="370"/>
      <c r="I16" s="371"/>
      <c r="J16" s="364"/>
      <c r="K16" s="452">
        <f t="shared" si="0"/>
        <v>0</v>
      </c>
    </row>
    <row r="17" spans="2:11" ht="14.25" x14ac:dyDescent="0.15">
      <c r="B17" s="357"/>
      <c r="C17" s="414" t="s">
        <v>302</v>
      </c>
      <c r="D17" s="367" t="s">
        <v>249</v>
      </c>
      <c r="E17" s="368">
        <v>13.66</v>
      </c>
      <c r="F17" s="361">
        <v>200</v>
      </c>
      <c r="G17" s="361"/>
      <c r="H17" s="370"/>
      <c r="I17" s="371"/>
      <c r="J17" s="364"/>
      <c r="K17" s="452">
        <f t="shared" si="0"/>
        <v>2732</v>
      </c>
    </row>
    <row r="18" spans="2:11" ht="14.25" x14ac:dyDescent="0.15">
      <c r="B18" s="357"/>
      <c r="C18" s="465" t="s">
        <v>258</v>
      </c>
      <c r="D18" s="367" t="s">
        <v>7</v>
      </c>
      <c r="E18" s="368">
        <v>26</v>
      </c>
      <c r="F18" s="361"/>
      <c r="G18" s="361"/>
      <c r="H18" s="370"/>
      <c r="I18" s="371"/>
      <c r="J18" s="364"/>
      <c r="K18" s="452">
        <f t="shared" si="0"/>
        <v>0</v>
      </c>
    </row>
    <row r="19" spans="2:11" ht="14.25" x14ac:dyDescent="0.15">
      <c r="B19" s="357"/>
      <c r="C19" s="466"/>
      <c r="D19" s="367" t="s">
        <v>249</v>
      </c>
      <c r="E19" s="368">
        <f>'[1]Опорядження стін'!Y9*1.05</f>
        <v>11.901750000000002</v>
      </c>
      <c r="F19" s="361"/>
      <c r="G19" s="361"/>
      <c r="H19" s="370"/>
      <c r="I19" s="371"/>
      <c r="J19" s="364"/>
      <c r="K19" s="452">
        <f t="shared" si="0"/>
        <v>0</v>
      </c>
    </row>
    <row r="20" spans="2:11" ht="14.25" x14ac:dyDescent="0.15">
      <c r="B20" s="357"/>
      <c r="C20" s="465" t="s">
        <v>259</v>
      </c>
      <c r="D20" s="367" t="s">
        <v>7</v>
      </c>
      <c r="E20" s="368">
        <v>2</v>
      </c>
      <c r="F20" s="361"/>
      <c r="G20" s="361"/>
      <c r="H20" s="370"/>
      <c r="I20" s="371"/>
      <c r="J20" s="364"/>
      <c r="K20" s="452">
        <f t="shared" si="0"/>
        <v>0</v>
      </c>
    </row>
    <row r="21" spans="2:11" ht="14.25" x14ac:dyDescent="0.15">
      <c r="B21" s="357"/>
      <c r="C21" s="466"/>
      <c r="D21" s="367" t="s">
        <v>249</v>
      </c>
      <c r="E21" s="368">
        <f>'[1]Опорядження стін'!Y10*1.05</f>
        <v>1.1812500000000001</v>
      </c>
      <c r="F21" s="361"/>
      <c r="G21" s="361"/>
      <c r="H21" s="370"/>
      <c r="I21" s="371"/>
      <c r="J21" s="364"/>
      <c r="K21" s="452">
        <f t="shared" si="0"/>
        <v>0</v>
      </c>
    </row>
    <row r="22" spans="2:11" ht="14.25" hidden="1" x14ac:dyDescent="0.15">
      <c r="B22" s="357"/>
      <c r="C22" s="415"/>
      <c r="D22" s="367"/>
      <c r="E22" s="368"/>
      <c r="F22" s="361"/>
      <c r="G22" s="361"/>
      <c r="H22" s="370"/>
      <c r="I22" s="371"/>
      <c r="J22" s="364"/>
      <c r="K22" s="452">
        <f t="shared" si="0"/>
        <v>0</v>
      </c>
    </row>
    <row r="23" spans="2:11" ht="14.25" x14ac:dyDescent="0.15">
      <c r="B23" s="357"/>
      <c r="C23" s="416" t="s">
        <v>303</v>
      </c>
      <c r="D23" s="367" t="s">
        <v>249</v>
      </c>
      <c r="E23" s="368">
        <f>'[1]Опорядження стін'!Y11*1.05</f>
        <v>16.329599999999999</v>
      </c>
      <c r="F23" s="361">
        <v>210</v>
      </c>
      <c r="G23" s="361"/>
      <c r="H23" s="370"/>
      <c r="I23" s="371"/>
      <c r="J23" s="364"/>
      <c r="K23" s="452">
        <f t="shared" si="0"/>
        <v>3429.2159999999999</v>
      </c>
    </row>
    <row r="24" spans="2:11" ht="26.25" x14ac:dyDescent="0.15">
      <c r="B24" s="357"/>
      <c r="C24" s="372" t="s">
        <v>260</v>
      </c>
      <c r="D24" s="367" t="s">
        <v>7</v>
      </c>
      <c r="E24" s="373">
        <v>29</v>
      </c>
      <c r="F24" s="418"/>
      <c r="G24" s="361"/>
      <c r="H24" s="370"/>
      <c r="I24" s="371"/>
      <c r="J24" s="364"/>
      <c r="K24" s="452">
        <f t="shared" si="0"/>
        <v>0</v>
      </c>
    </row>
    <row r="25" spans="2:11" ht="26.25" x14ac:dyDescent="0.15">
      <c r="B25" s="357"/>
      <c r="C25" s="372" t="s">
        <v>261</v>
      </c>
      <c r="D25" s="367" t="s">
        <v>7</v>
      </c>
      <c r="E25" s="373">
        <v>40</v>
      </c>
      <c r="F25" s="418"/>
      <c r="G25" s="361"/>
      <c r="H25" s="370"/>
      <c r="I25" s="371"/>
      <c r="J25" s="364"/>
      <c r="K25" s="452">
        <f t="shared" si="0"/>
        <v>0</v>
      </c>
    </row>
    <row r="26" spans="2:11" ht="38.25" x14ac:dyDescent="0.15">
      <c r="B26" s="357"/>
      <c r="C26" s="372" t="s">
        <v>262</v>
      </c>
      <c r="D26" s="367" t="s">
        <v>7</v>
      </c>
      <c r="E26" s="373">
        <v>127</v>
      </c>
      <c r="F26" s="418"/>
      <c r="G26" s="361"/>
      <c r="H26" s="370"/>
      <c r="I26" s="371"/>
      <c r="J26" s="364"/>
      <c r="K26" s="452">
        <f t="shared" si="0"/>
        <v>0</v>
      </c>
    </row>
    <row r="27" spans="2:11" ht="26.25" x14ac:dyDescent="0.15">
      <c r="B27" s="357"/>
      <c r="C27" s="372" t="s">
        <v>263</v>
      </c>
      <c r="D27" s="367" t="s">
        <v>249</v>
      </c>
      <c r="E27" s="368">
        <f>'[1]Опорядження стін'!Y16*1.05</f>
        <v>37.380000000000003</v>
      </c>
      <c r="F27" s="361"/>
      <c r="G27" s="374"/>
      <c r="H27" s="376"/>
      <c r="I27" s="377"/>
      <c r="J27" s="364"/>
      <c r="K27" s="452">
        <f t="shared" si="0"/>
        <v>0</v>
      </c>
    </row>
    <row r="28" spans="2:11" ht="26.25" x14ac:dyDescent="0.15">
      <c r="B28" s="357"/>
      <c r="C28" s="372" t="s">
        <v>264</v>
      </c>
      <c r="D28" s="367" t="s">
        <v>249</v>
      </c>
      <c r="E28" s="368">
        <f>'[1]Опорядження стін'!Y18*1.05</f>
        <v>17.482499999999998</v>
      </c>
      <c r="F28" s="361"/>
      <c r="G28" s="374"/>
      <c r="H28" s="376"/>
      <c r="I28" s="377"/>
      <c r="J28" s="364"/>
      <c r="K28" s="452">
        <f t="shared" si="0"/>
        <v>0</v>
      </c>
    </row>
    <row r="29" spans="2:11" ht="26.25" x14ac:dyDescent="0.15">
      <c r="B29" s="357"/>
      <c r="C29" s="372" t="s">
        <v>265</v>
      </c>
      <c r="D29" s="367" t="s">
        <v>249</v>
      </c>
      <c r="E29" s="368">
        <f>'[1]Опорядження стін'!Y19*1.05</f>
        <v>17.4405</v>
      </c>
      <c r="F29" s="361"/>
      <c r="G29" s="374"/>
      <c r="H29" s="376"/>
      <c r="I29" s="377"/>
      <c r="J29" s="364"/>
      <c r="K29" s="452">
        <f t="shared" si="0"/>
        <v>0</v>
      </c>
    </row>
    <row r="30" spans="2:11" ht="26.25" x14ac:dyDescent="0.15">
      <c r="B30" s="357"/>
      <c r="C30" s="372" t="s">
        <v>266</v>
      </c>
      <c r="D30" s="367" t="s">
        <v>249</v>
      </c>
      <c r="E30" s="368">
        <f>'[1]Опорядження стін'!Y17*1.05</f>
        <v>37.17</v>
      </c>
      <c r="F30" s="361"/>
      <c r="G30" s="374"/>
      <c r="H30" s="376"/>
      <c r="I30" s="377"/>
      <c r="J30" s="364"/>
      <c r="K30" s="452">
        <f t="shared" si="0"/>
        <v>0</v>
      </c>
    </row>
    <row r="31" spans="2:11" ht="28.5" x14ac:dyDescent="0.15">
      <c r="B31" s="357"/>
      <c r="C31" s="366" t="s">
        <v>299</v>
      </c>
      <c r="D31" s="367" t="s">
        <v>5</v>
      </c>
      <c r="E31" s="368">
        <f>26*2.7</f>
        <v>70.2</v>
      </c>
      <c r="F31" s="361"/>
      <c r="G31" s="361"/>
      <c r="H31" s="370"/>
      <c r="I31" s="371"/>
      <c r="J31" s="364"/>
      <c r="K31" s="452">
        <f t="shared" si="0"/>
        <v>0</v>
      </c>
    </row>
    <row r="32" spans="2:11" ht="14.25" x14ac:dyDescent="0.15">
      <c r="B32" s="357"/>
      <c r="C32" s="378" t="s">
        <v>267</v>
      </c>
      <c r="D32" s="379" t="s">
        <v>5</v>
      </c>
      <c r="E32" s="368">
        <v>716.7</v>
      </c>
      <c r="F32" s="361"/>
      <c r="G32" s="361"/>
      <c r="H32" s="370"/>
      <c r="I32" s="371"/>
      <c r="J32" s="364"/>
      <c r="K32" s="452">
        <f t="shared" si="0"/>
        <v>0</v>
      </c>
    </row>
    <row r="33" spans="2:11" ht="14.25" x14ac:dyDescent="0.15">
      <c r="B33" s="357"/>
      <c r="C33" s="369" t="s">
        <v>304</v>
      </c>
      <c r="D33" s="379" t="s">
        <v>2</v>
      </c>
      <c r="E33" s="368">
        <v>203.96</v>
      </c>
      <c r="F33" s="361"/>
      <c r="G33" s="361"/>
      <c r="H33" s="370"/>
      <c r="I33" s="371"/>
      <c r="J33" s="364"/>
      <c r="K33" s="452">
        <f t="shared" si="0"/>
        <v>0</v>
      </c>
    </row>
    <row r="34" spans="2:11" ht="14.25" x14ac:dyDescent="0.15">
      <c r="B34" s="357"/>
      <c r="C34" s="369" t="s">
        <v>305</v>
      </c>
      <c r="D34" s="367" t="s">
        <v>2</v>
      </c>
      <c r="E34" s="368">
        <v>5483.82</v>
      </c>
      <c r="F34" s="361"/>
      <c r="G34" s="361"/>
      <c r="H34" s="370"/>
      <c r="I34" s="371"/>
      <c r="J34" s="364"/>
      <c r="K34" s="452">
        <f t="shared" si="0"/>
        <v>0</v>
      </c>
    </row>
    <row r="35" spans="2:11" ht="14.25" x14ac:dyDescent="0.15">
      <c r="B35" s="357"/>
      <c r="C35" s="369" t="s">
        <v>306</v>
      </c>
      <c r="D35" s="367" t="s">
        <v>2</v>
      </c>
      <c r="E35" s="368">
        <v>428.23</v>
      </c>
      <c r="F35" s="361"/>
      <c r="G35" s="361"/>
      <c r="H35" s="370"/>
      <c r="I35" s="371"/>
      <c r="J35" s="364"/>
      <c r="K35" s="452">
        <f t="shared" si="0"/>
        <v>0</v>
      </c>
    </row>
    <row r="36" spans="2:11" ht="14.25" x14ac:dyDescent="0.15">
      <c r="B36" s="357"/>
      <c r="C36" s="369" t="s">
        <v>268</v>
      </c>
      <c r="D36" s="367" t="s">
        <v>2</v>
      </c>
      <c r="E36" s="368">
        <v>5.48</v>
      </c>
      <c r="F36" s="361"/>
      <c r="G36" s="361"/>
      <c r="H36" s="370"/>
      <c r="I36" s="371"/>
      <c r="J36" s="364"/>
      <c r="K36" s="452">
        <f t="shared" si="0"/>
        <v>0</v>
      </c>
    </row>
    <row r="37" spans="2:11" ht="14.25" x14ac:dyDescent="0.15">
      <c r="B37" s="403"/>
      <c r="C37" s="411" t="s">
        <v>300</v>
      </c>
      <c r="D37" s="412"/>
      <c r="E37" s="406"/>
      <c r="F37" s="407"/>
      <c r="G37" s="407"/>
      <c r="H37" s="408"/>
      <c r="I37" s="409"/>
      <c r="J37" s="410"/>
      <c r="K37" s="454">
        <f>SUM(K7:K36)</f>
        <v>223147.61599999998</v>
      </c>
    </row>
    <row r="38" spans="2:11" ht="14.25" x14ac:dyDescent="0.15">
      <c r="B38" s="392"/>
      <c r="C38" s="393" t="s">
        <v>269</v>
      </c>
      <c r="D38" s="394"/>
      <c r="E38" s="395"/>
      <c r="F38" s="396"/>
      <c r="G38" s="396"/>
      <c r="H38" s="397"/>
      <c r="I38" s="398"/>
      <c r="J38" s="399"/>
      <c r="K38" s="453"/>
    </row>
    <row r="39" spans="2:11" ht="14.25" x14ac:dyDescent="0.15">
      <c r="B39" s="357"/>
      <c r="C39" s="365" t="s">
        <v>270</v>
      </c>
      <c r="D39" s="359" t="s">
        <v>249</v>
      </c>
      <c r="E39" s="360">
        <v>125.06</v>
      </c>
      <c r="F39" s="428">
        <v>100</v>
      </c>
      <c r="G39" s="361"/>
      <c r="H39" s="370"/>
      <c r="I39" s="371"/>
      <c r="J39" s="364"/>
      <c r="K39" s="452">
        <f>E39*F39</f>
        <v>12506</v>
      </c>
    </row>
    <row r="40" spans="2:11" ht="14.25" x14ac:dyDescent="0.15">
      <c r="B40" s="357"/>
      <c r="C40" s="380" t="s">
        <v>271</v>
      </c>
      <c r="D40" s="367" t="s">
        <v>249</v>
      </c>
      <c r="E40" s="381">
        <f>E39*2*1.05</f>
        <v>262.62600000000003</v>
      </c>
      <c r="F40" s="419"/>
      <c r="G40" s="361"/>
      <c r="H40" s="370"/>
      <c r="I40" s="371"/>
      <c r="J40" s="364"/>
      <c r="K40" s="452">
        <f t="shared" ref="K40:K60" si="1">E40*F40</f>
        <v>0</v>
      </c>
    </row>
    <row r="41" spans="2:11" ht="14.25" x14ac:dyDescent="0.15">
      <c r="B41" s="357"/>
      <c r="C41" s="380" t="s">
        <v>272</v>
      </c>
      <c r="D41" s="367" t="s">
        <v>5</v>
      </c>
      <c r="E41" s="382">
        <f>E39*2.9</f>
        <v>362.67399999999998</v>
      </c>
      <c r="F41" s="420"/>
      <c r="G41" s="361"/>
      <c r="H41" s="370"/>
      <c r="I41" s="371"/>
      <c r="J41" s="364"/>
      <c r="K41" s="452">
        <f t="shared" si="1"/>
        <v>0</v>
      </c>
    </row>
    <row r="42" spans="2:11" ht="14.25" x14ac:dyDescent="0.15">
      <c r="B42" s="357"/>
      <c r="C42" s="380" t="s">
        <v>273</v>
      </c>
      <c r="D42" s="367" t="s">
        <v>5</v>
      </c>
      <c r="E42" s="382">
        <f>E39*0.4</f>
        <v>50.024000000000001</v>
      </c>
      <c r="F42" s="420"/>
      <c r="G42" s="361"/>
      <c r="H42" s="370"/>
      <c r="I42" s="371"/>
      <c r="J42" s="364"/>
      <c r="K42" s="452">
        <f t="shared" si="1"/>
        <v>0</v>
      </c>
    </row>
    <row r="43" spans="2:11" ht="14.25" x14ac:dyDescent="0.15">
      <c r="B43" s="357"/>
      <c r="C43" s="380" t="s">
        <v>274</v>
      </c>
      <c r="D43" s="367" t="s">
        <v>7</v>
      </c>
      <c r="E43" s="382">
        <f>E39*0.2</f>
        <v>25.012</v>
      </c>
      <c r="F43" s="420"/>
      <c r="G43" s="361"/>
      <c r="H43" s="370"/>
      <c r="I43" s="371"/>
      <c r="J43" s="364"/>
      <c r="K43" s="452">
        <f t="shared" si="1"/>
        <v>0</v>
      </c>
    </row>
    <row r="44" spans="2:11" ht="14.25" x14ac:dyDescent="0.15">
      <c r="B44" s="357"/>
      <c r="C44" s="380" t="s">
        <v>275</v>
      </c>
      <c r="D44" s="367" t="s">
        <v>7</v>
      </c>
      <c r="E44" s="382">
        <f>E39*1.7</f>
        <v>212.602</v>
      </c>
      <c r="F44" s="420"/>
      <c r="G44" s="361"/>
      <c r="H44" s="370"/>
      <c r="I44" s="371"/>
      <c r="J44" s="364"/>
      <c r="K44" s="452">
        <f t="shared" si="1"/>
        <v>0</v>
      </c>
    </row>
    <row r="45" spans="2:11" ht="14.25" x14ac:dyDescent="0.15">
      <c r="B45" s="357"/>
      <c r="C45" s="380" t="s">
        <v>276</v>
      </c>
      <c r="D45" s="367" t="s">
        <v>7</v>
      </c>
      <c r="E45" s="382">
        <f>E39*0.7</f>
        <v>87.542000000000002</v>
      </c>
      <c r="F45" s="420"/>
      <c r="G45" s="361"/>
      <c r="H45" s="370"/>
      <c r="I45" s="371"/>
      <c r="J45" s="364"/>
      <c r="K45" s="452">
        <f t="shared" si="1"/>
        <v>0</v>
      </c>
    </row>
    <row r="46" spans="2:11" ht="14.25" x14ac:dyDescent="0.15">
      <c r="B46" s="357"/>
      <c r="C46" s="380" t="s">
        <v>277</v>
      </c>
      <c r="D46" s="367" t="s">
        <v>7</v>
      </c>
      <c r="E46" s="382">
        <f>E39*1.4</f>
        <v>175.084</v>
      </c>
      <c r="F46" s="420"/>
      <c r="G46" s="361"/>
      <c r="H46" s="370"/>
      <c r="I46" s="371"/>
      <c r="J46" s="364"/>
      <c r="K46" s="452">
        <f t="shared" si="1"/>
        <v>0</v>
      </c>
    </row>
    <row r="47" spans="2:11" ht="14.25" x14ac:dyDescent="0.15">
      <c r="B47" s="357"/>
      <c r="C47" s="380" t="s">
        <v>278</v>
      </c>
      <c r="D47" s="367" t="s">
        <v>7</v>
      </c>
      <c r="E47" s="383">
        <f>E39*23</f>
        <v>2876.38</v>
      </c>
      <c r="F47" s="421"/>
      <c r="G47" s="361"/>
      <c r="H47" s="370"/>
      <c r="I47" s="371"/>
      <c r="J47" s="364"/>
      <c r="K47" s="452">
        <f t="shared" si="1"/>
        <v>0</v>
      </c>
    </row>
    <row r="48" spans="2:11" ht="14.25" x14ac:dyDescent="0.15">
      <c r="B48" s="357"/>
      <c r="C48" s="380" t="s">
        <v>279</v>
      </c>
      <c r="D48" s="367" t="s">
        <v>7</v>
      </c>
      <c r="E48" s="383">
        <f>E39*0.7</f>
        <v>87.542000000000002</v>
      </c>
      <c r="F48" s="421"/>
      <c r="G48" s="361"/>
      <c r="H48" s="370"/>
      <c r="I48" s="371"/>
      <c r="J48" s="364"/>
      <c r="K48" s="452">
        <f t="shared" si="1"/>
        <v>0</v>
      </c>
    </row>
    <row r="49" spans="2:11" ht="14.25" x14ac:dyDescent="0.15">
      <c r="B49" s="357"/>
      <c r="C49" s="380" t="s">
        <v>280</v>
      </c>
      <c r="D49" s="367" t="s">
        <v>7</v>
      </c>
      <c r="E49" s="383">
        <f>E39*0.7</f>
        <v>87.542000000000002</v>
      </c>
      <c r="F49" s="421"/>
      <c r="G49" s="361"/>
      <c r="H49" s="370"/>
      <c r="I49" s="371"/>
      <c r="J49" s="364"/>
      <c r="K49" s="452">
        <f t="shared" si="1"/>
        <v>0</v>
      </c>
    </row>
    <row r="50" spans="2:11" ht="14.25" x14ac:dyDescent="0.15">
      <c r="B50" s="357"/>
      <c r="C50" s="380" t="s">
        <v>281</v>
      </c>
      <c r="D50" s="367" t="s">
        <v>282</v>
      </c>
      <c r="E50" s="368">
        <f>E39*0.4</f>
        <v>50.024000000000001</v>
      </c>
      <c r="F50" s="361"/>
      <c r="G50" s="361"/>
      <c r="H50" s="370"/>
      <c r="I50" s="371"/>
      <c r="J50" s="364"/>
      <c r="K50" s="452">
        <f t="shared" si="1"/>
        <v>0</v>
      </c>
    </row>
    <row r="51" spans="2:11" ht="14.25" x14ac:dyDescent="0.15">
      <c r="B51" s="357"/>
      <c r="C51" s="380" t="s">
        <v>283</v>
      </c>
      <c r="D51" s="367" t="s">
        <v>5</v>
      </c>
      <c r="E51" s="368">
        <f>E39*1.2</f>
        <v>150.072</v>
      </c>
      <c r="F51" s="361"/>
      <c r="G51" s="361"/>
      <c r="H51" s="370"/>
      <c r="I51" s="371"/>
      <c r="J51" s="364"/>
      <c r="K51" s="452">
        <f t="shared" si="1"/>
        <v>0</v>
      </c>
    </row>
    <row r="52" spans="2:11" ht="14.25" x14ac:dyDescent="0.15">
      <c r="B52" s="357"/>
      <c r="C52" s="380" t="s">
        <v>284</v>
      </c>
      <c r="D52" s="367" t="s">
        <v>3</v>
      </c>
      <c r="E52" s="368">
        <f>E39*0.1</f>
        <v>12.506</v>
      </c>
      <c r="F52" s="361"/>
      <c r="G52" s="361"/>
      <c r="H52" s="370"/>
      <c r="I52" s="371"/>
      <c r="J52" s="364"/>
      <c r="K52" s="452">
        <f t="shared" si="1"/>
        <v>0</v>
      </c>
    </row>
    <row r="53" spans="2:11" ht="14.25" x14ac:dyDescent="0.15">
      <c r="B53" s="357"/>
      <c r="C53" s="380" t="s">
        <v>285</v>
      </c>
      <c r="D53" s="367" t="s">
        <v>5</v>
      </c>
      <c r="E53" s="368">
        <f>E39*0.4</f>
        <v>50.024000000000001</v>
      </c>
      <c r="F53" s="361"/>
      <c r="G53" s="361"/>
      <c r="H53" s="370"/>
      <c r="I53" s="371"/>
      <c r="J53" s="364"/>
      <c r="K53" s="452">
        <f t="shared" si="1"/>
        <v>0</v>
      </c>
    </row>
    <row r="54" spans="2:11" ht="14.25" x14ac:dyDescent="0.15">
      <c r="B54" s="357"/>
      <c r="C54" s="380" t="s">
        <v>286</v>
      </c>
      <c r="D54" s="367" t="s">
        <v>5</v>
      </c>
      <c r="E54" s="368">
        <f>E39*0.4</f>
        <v>50.024000000000001</v>
      </c>
      <c r="F54" s="361"/>
      <c r="G54" s="361"/>
      <c r="H54" s="370"/>
      <c r="I54" s="371"/>
      <c r="J54" s="364"/>
      <c r="K54" s="452">
        <f t="shared" si="1"/>
        <v>0</v>
      </c>
    </row>
    <row r="55" spans="2:11" ht="14.25" x14ac:dyDescent="0.15">
      <c r="B55" s="357"/>
      <c r="C55" s="384" t="s">
        <v>287</v>
      </c>
      <c r="D55" s="367" t="s">
        <v>2</v>
      </c>
      <c r="E55" s="368">
        <v>17.91</v>
      </c>
      <c r="F55" s="361"/>
      <c r="G55" s="361"/>
      <c r="H55" s="370"/>
      <c r="I55" s="371"/>
      <c r="J55" s="364"/>
      <c r="K55" s="452">
        <f t="shared" si="1"/>
        <v>0</v>
      </c>
    </row>
    <row r="56" spans="2:11" ht="14.25" x14ac:dyDescent="0.15">
      <c r="B56" s="357"/>
      <c r="C56" s="384" t="s">
        <v>288</v>
      </c>
      <c r="D56" s="367" t="s">
        <v>2</v>
      </c>
      <c r="E56" s="368">
        <v>7.1</v>
      </c>
      <c r="F56" s="361"/>
      <c r="G56" s="361"/>
      <c r="H56" s="370"/>
      <c r="I56" s="371"/>
      <c r="J56" s="364"/>
      <c r="K56" s="452">
        <f t="shared" si="1"/>
        <v>0</v>
      </c>
    </row>
    <row r="57" spans="2:11" ht="38.25" x14ac:dyDescent="0.15">
      <c r="B57" s="357"/>
      <c r="C57" s="365" t="s">
        <v>289</v>
      </c>
      <c r="D57" s="359" t="s">
        <v>249</v>
      </c>
      <c r="E57" s="360">
        <v>240.54</v>
      </c>
      <c r="F57" s="428">
        <v>60</v>
      </c>
      <c r="G57" s="361"/>
      <c r="H57" s="370"/>
      <c r="I57" s="371"/>
      <c r="J57" s="364"/>
      <c r="K57" s="452">
        <f t="shared" si="1"/>
        <v>14432.4</v>
      </c>
    </row>
    <row r="58" spans="2:11" ht="14.25" x14ac:dyDescent="0.15">
      <c r="B58" s="357"/>
      <c r="C58" s="384" t="s">
        <v>290</v>
      </c>
      <c r="D58" s="367"/>
      <c r="E58" s="385"/>
      <c r="F58" s="422"/>
      <c r="G58" s="361"/>
      <c r="H58" s="370"/>
      <c r="I58" s="371"/>
      <c r="J58" s="364"/>
      <c r="K58" s="452">
        <f t="shared" si="1"/>
        <v>0</v>
      </c>
    </row>
    <row r="59" spans="2:11" ht="14.25" x14ac:dyDescent="0.15">
      <c r="B59" s="357"/>
      <c r="C59" s="365" t="s">
        <v>254</v>
      </c>
      <c r="D59" s="359" t="s">
        <v>5</v>
      </c>
      <c r="E59" s="360">
        <f>E60</f>
        <v>226.29999999999998</v>
      </c>
      <c r="F59" s="362">
        <v>10</v>
      </c>
      <c r="G59" s="361"/>
      <c r="H59" s="370"/>
      <c r="I59" s="371"/>
      <c r="J59" s="364"/>
      <c r="K59" s="452">
        <f t="shared" si="1"/>
        <v>2263</v>
      </c>
    </row>
    <row r="60" spans="2:11" ht="14.25" x14ac:dyDescent="0.15">
      <c r="B60" s="357"/>
      <c r="C60" s="378" t="s">
        <v>267</v>
      </c>
      <c r="D60" s="379" t="s">
        <v>5</v>
      </c>
      <c r="E60" s="368">
        <f>76.1+76.1+74.1</f>
        <v>226.29999999999998</v>
      </c>
      <c r="F60" s="361"/>
      <c r="G60" s="361"/>
      <c r="H60" s="370"/>
      <c r="I60" s="371"/>
      <c r="J60" s="364"/>
      <c r="K60" s="452">
        <f t="shared" si="1"/>
        <v>0</v>
      </c>
    </row>
    <row r="61" spans="2:11" ht="14.25" x14ac:dyDescent="0.15">
      <c r="B61" s="403"/>
      <c r="C61" s="404" t="s">
        <v>300</v>
      </c>
      <c r="D61" s="405"/>
      <c r="E61" s="406"/>
      <c r="F61" s="407"/>
      <c r="G61" s="407"/>
      <c r="H61" s="408"/>
      <c r="I61" s="409"/>
      <c r="J61" s="410"/>
      <c r="K61" s="454">
        <f>SUM(K39:K60)</f>
        <v>29201.4</v>
      </c>
    </row>
    <row r="62" spans="2:11" ht="14.25" x14ac:dyDescent="0.15">
      <c r="B62" s="392"/>
      <c r="C62" s="393" t="s">
        <v>291</v>
      </c>
      <c r="D62" s="394"/>
      <c r="E62" s="400"/>
      <c r="F62" s="423"/>
      <c r="G62" s="396"/>
      <c r="H62" s="397"/>
      <c r="I62" s="398"/>
      <c r="J62" s="399"/>
      <c r="K62" s="453"/>
    </row>
    <row r="63" spans="2:11" ht="14.25" x14ac:dyDescent="0.15">
      <c r="B63" s="357"/>
      <c r="C63" s="365" t="s">
        <v>292</v>
      </c>
      <c r="D63" s="359" t="s">
        <v>249</v>
      </c>
      <c r="E63" s="386">
        <v>428.08</v>
      </c>
      <c r="F63" s="424">
        <v>150</v>
      </c>
      <c r="G63" s="361"/>
      <c r="H63" s="370"/>
      <c r="I63" s="371"/>
      <c r="J63" s="364"/>
      <c r="K63" s="452">
        <f>E63*F63</f>
        <v>64212</v>
      </c>
    </row>
    <row r="64" spans="2:11" ht="14.25" x14ac:dyDescent="0.15">
      <c r="B64" s="357"/>
      <c r="C64" s="372" t="s">
        <v>293</v>
      </c>
      <c r="D64" s="367" t="s">
        <v>294</v>
      </c>
      <c r="E64" s="375">
        <v>419.37</v>
      </c>
      <c r="F64" s="374"/>
      <c r="G64" s="361"/>
      <c r="H64" s="370"/>
      <c r="I64" s="371"/>
      <c r="J64" s="364"/>
      <c r="K64" s="452">
        <f t="shared" ref="K64:K69" si="2">E64*F64</f>
        <v>0</v>
      </c>
    </row>
    <row r="65" spans="2:11" ht="14.25" x14ac:dyDescent="0.15">
      <c r="B65" s="357"/>
      <c r="C65" s="372" t="s">
        <v>295</v>
      </c>
      <c r="D65" s="367" t="s">
        <v>294</v>
      </c>
      <c r="E65" s="375">
        <v>9.5399999999999991</v>
      </c>
      <c r="F65" s="374"/>
      <c r="G65" s="361"/>
      <c r="H65" s="370"/>
      <c r="I65" s="371"/>
      <c r="J65" s="364"/>
      <c r="K65" s="452">
        <f t="shared" si="2"/>
        <v>0</v>
      </c>
    </row>
    <row r="66" spans="2:11" ht="14.25" x14ac:dyDescent="0.15">
      <c r="B66" s="357"/>
      <c r="C66" s="372" t="s">
        <v>296</v>
      </c>
      <c r="D66" s="367" t="s">
        <v>294</v>
      </c>
      <c r="E66" s="375">
        <v>10.210000000000001</v>
      </c>
      <c r="F66" s="374"/>
      <c r="G66" s="361"/>
      <c r="H66" s="370"/>
      <c r="I66" s="371"/>
      <c r="J66" s="364"/>
      <c r="K66" s="452">
        <f t="shared" si="2"/>
        <v>0</v>
      </c>
    </row>
    <row r="67" spans="2:11" ht="14.25" x14ac:dyDescent="0.15">
      <c r="B67" s="357"/>
      <c r="C67" s="372" t="s">
        <v>297</v>
      </c>
      <c r="D67" s="367" t="s">
        <v>294</v>
      </c>
      <c r="E67" s="375">
        <v>10.36</v>
      </c>
      <c r="F67" s="374"/>
      <c r="G67" s="361"/>
      <c r="H67" s="370"/>
      <c r="I67" s="371"/>
      <c r="J67" s="364"/>
      <c r="K67" s="452">
        <f t="shared" si="2"/>
        <v>0</v>
      </c>
    </row>
    <row r="68" spans="2:11" ht="14.25" x14ac:dyDescent="0.15">
      <c r="B68" s="357"/>
      <c r="C68" s="369" t="s">
        <v>304</v>
      </c>
      <c r="D68" s="379" t="s">
        <v>2</v>
      </c>
      <c r="E68" s="375">
        <f>E63*0.2</f>
        <v>85.616</v>
      </c>
      <c r="F68" s="374"/>
      <c r="G68" s="361"/>
      <c r="H68" s="370"/>
      <c r="I68" s="371"/>
      <c r="J68" s="364"/>
      <c r="K68" s="452">
        <f t="shared" si="2"/>
        <v>0</v>
      </c>
    </row>
    <row r="69" spans="2:11" ht="14.25" x14ac:dyDescent="0.15">
      <c r="B69" s="357"/>
      <c r="C69" s="369" t="s">
        <v>307</v>
      </c>
      <c r="D69" s="367" t="s">
        <v>2</v>
      </c>
      <c r="E69" s="368">
        <f>E63*6</f>
        <v>2568.48</v>
      </c>
      <c r="F69" s="361"/>
      <c r="G69" s="361"/>
      <c r="H69" s="370"/>
      <c r="I69" s="371"/>
      <c r="J69" s="364"/>
      <c r="K69" s="452">
        <f t="shared" si="2"/>
        <v>0</v>
      </c>
    </row>
    <row r="70" spans="2:11" ht="16.5" customHeight="1" thickBot="1" x14ac:dyDescent="0.2">
      <c r="B70" s="401"/>
      <c r="C70" s="402" t="s">
        <v>300</v>
      </c>
      <c r="D70" s="401"/>
      <c r="E70" s="401"/>
      <c r="F70" s="401"/>
      <c r="G70" s="401"/>
      <c r="H70" s="401"/>
      <c r="I70" s="401"/>
      <c r="J70" s="401"/>
      <c r="K70" s="455">
        <f>SUM(K63:K69)</f>
        <v>64212</v>
      </c>
    </row>
    <row r="71" spans="2:11" s="456" customFormat="1" ht="26.25" customHeight="1" x14ac:dyDescent="0.15">
      <c r="B71" s="457"/>
      <c r="C71" s="458" t="s">
        <v>301</v>
      </c>
      <c r="D71" s="459"/>
      <c r="E71" s="459"/>
      <c r="F71" s="459"/>
      <c r="G71" s="459"/>
      <c r="H71" s="459"/>
      <c r="I71" s="459"/>
      <c r="J71" s="459"/>
      <c r="K71" s="460">
        <f>K70+K61+K37</f>
        <v>316561.01599999995</v>
      </c>
    </row>
  </sheetData>
  <mergeCells count="10">
    <mergeCell ref="B1:K1"/>
    <mergeCell ref="C20:C21"/>
    <mergeCell ref="C18:C19"/>
    <mergeCell ref="A2:J2"/>
    <mergeCell ref="A3:J3"/>
    <mergeCell ref="B4:B5"/>
    <mergeCell ref="C4:C5"/>
    <mergeCell ref="D4:D5"/>
    <mergeCell ref="E4:E5"/>
    <mergeCell ref="G4:K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V134"/>
  <sheetViews>
    <sheetView topLeftCell="A111" zoomScale="60" zoomScaleNormal="60" workbookViewId="0" xr3:uid="{842E5F09-E766-5B8D-85AF-A39847EA96FD}">
      <selection activeCell="D119" sqref="D119"/>
    </sheetView>
  </sheetViews>
  <sheetFormatPr defaultColWidth="9.16796875" defaultRowHeight="12.75" x14ac:dyDescent="0.15"/>
  <cols>
    <col min="1" max="1" width="8.62890625" style="1" customWidth="1"/>
    <col min="2" max="2" width="57.3125" style="2" customWidth="1"/>
    <col min="3" max="3" width="10.78515625" style="3" customWidth="1"/>
    <col min="4" max="4" width="15.1015625" style="4" customWidth="1"/>
    <col min="5" max="5" width="21.44140625" style="218" customWidth="1"/>
    <col min="6" max="7" width="21.44140625" style="5" customWidth="1"/>
    <col min="8" max="8" width="24.40625" style="246" customWidth="1"/>
    <col min="9" max="9" width="59.19921875" style="1" customWidth="1"/>
    <col min="10" max="10" width="12.5390625" style="3" customWidth="1"/>
    <col min="11" max="11" width="17.2578125" style="3" customWidth="1"/>
    <col min="12" max="12" width="18.47265625" style="4" customWidth="1"/>
    <col min="13" max="13" width="25.62109375" style="3" customWidth="1"/>
    <col min="14" max="14" width="31.41796875" style="1" customWidth="1"/>
    <col min="15" max="15" width="15.23828125" style="1" customWidth="1"/>
    <col min="16" max="18" width="9.16796875" style="1" customWidth="1"/>
    <col min="19" max="19" width="29.125" style="1" customWidth="1"/>
    <col min="20" max="251" width="9.16796875" style="1" customWidth="1"/>
    <col min="252" max="252" width="4.1796875" style="1" customWidth="1"/>
    <col min="253" max="253" width="37.21875" style="1" customWidth="1"/>
    <col min="254" max="254" width="5.12109375" style="1" customWidth="1"/>
    <col min="255" max="255" width="6.60546875" style="1" customWidth="1"/>
    <col min="256" max="16384" width="9.16796875" style="1"/>
  </cols>
  <sheetData>
    <row r="1" spans="1:256" ht="30" customHeight="1" x14ac:dyDescent="0.3">
      <c r="A1" s="479" t="s">
        <v>68</v>
      </c>
      <c r="B1" s="479"/>
      <c r="C1" s="479"/>
      <c r="D1" s="479"/>
      <c r="E1" s="479"/>
      <c r="F1" s="479"/>
      <c r="G1" s="479"/>
      <c r="H1" s="479"/>
      <c r="I1" s="479"/>
      <c r="J1" s="480"/>
      <c r="K1" s="480"/>
      <c r="L1" s="480"/>
      <c r="M1" s="480"/>
      <c r="N1" s="13" t="s">
        <v>148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30" customHeight="1" x14ac:dyDescent="0.3">
      <c r="A2" s="479" t="s">
        <v>9</v>
      </c>
      <c r="B2" s="479"/>
      <c r="C2" s="479"/>
      <c r="D2" s="479"/>
      <c r="E2" s="479"/>
      <c r="F2" s="479"/>
      <c r="G2" s="479"/>
      <c r="H2" s="479"/>
      <c r="I2" s="479"/>
      <c r="J2" s="12"/>
      <c r="K2" s="12"/>
      <c r="L2" s="15"/>
      <c r="M2" s="12"/>
      <c r="N2" s="13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</row>
    <row r="3" spans="1:256" ht="30" customHeight="1" x14ac:dyDescent="0.3">
      <c r="A3" s="12"/>
      <c r="B3" s="12"/>
      <c r="C3" s="12"/>
      <c r="D3" s="15"/>
      <c r="E3" s="197"/>
      <c r="F3" s="12"/>
      <c r="G3" s="12"/>
      <c r="H3" s="225"/>
      <c r="I3" s="12"/>
      <c r="J3" s="12"/>
      <c r="K3" s="12"/>
      <c r="L3" s="15"/>
      <c r="M3" s="12"/>
      <c r="N3" s="13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spans="1:256" s="18" customFormat="1" ht="30" customHeight="1" x14ac:dyDescent="0.3">
      <c r="A4" s="481" t="s">
        <v>138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pans="1:256" s="18" customFormat="1" ht="30" customHeight="1" x14ac:dyDescent="0.15">
      <c r="A5" s="481" t="s">
        <v>130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</row>
    <row r="6" spans="1:256" ht="30" customHeight="1" x14ac:dyDescent="0.3">
      <c r="A6" s="20"/>
      <c r="B6" s="21"/>
      <c r="C6" s="22"/>
      <c r="D6" s="23"/>
      <c r="E6" s="198"/>
      <c r="F6" s="22"/>
      <c r="G6" s="22"/>
      <c r="H6" s="226"/>
      <c r="I6" s="24"/>
      <c r="J6" s="22"/>
      <c r="K6" s="22"/>
      <c r="L6" s="23"/>
      <c r="M6" s="22"/>
      <c r="N6" s="25"/>
    </row>
    <row r="7" spans="1:256" ht="25.5" x14ac:dyDescent="0.3">
      <c r="A7" s="20"/>
      <c r="B7" s="21"/>
      <c r="C7" s="22"/>
      <c r="D7" s="23"/>
      <c r="E7" s="198"/>
      <c r="F7" s="22"/>
      <c r="G7" s="22"/>
      <c r="H7" s="226"/>
      <c r="I7" s="160" t="s">
        <v>135</v>
      </c>
      <c r="J7" s="26" t="s">
        <v>6</v>
      </c>
      <c r="K7" s="27"/>
      <c r="L7" s="28"/>
      <c r="M7" s="482">
        <f>N9*1.2</f>
        <v>663456.9898067927</v>
      </c>
      <c r="N7" s="482"/>
    </row>
    <row r="8" spans="1:256" ht="25.5" x14ac:dyDescent="0.3">
      <c r="A8" s="20"/>
      <c r="B8" s="21"/>
      <c r="C8" s="22"/>
      <c r="D8" s="23"/>
      <c r="E8" s="198"/>
      <c r="F8" s="22"/>
      <c r="G8" s="22"/>
      <c r="H8" s="226"/>
      <c r="I8" s="161" t="s">
        <v>137</v>
      </c>
      <c r="J8" s="27" t="s">
        <v>6</v>
      </c>
      <c r="K8" s="27"/>
      <c r="L8" s="28"/>
      <c r="M8" s="485">
        <f>M7/6</f>
        <v>110576.16496779879</v>
      </c>
      <c r="N8" s="485"/>
    </row>
    <row r="9" spans="1:256" ht="25.5" x14ac:dyDescent="0.3">
      <c r="A9" s="20"/>
      <c r="B9" s="21"/>
      <c r="C9" s="22"/>
      <c r="D9" s="23"/>
      <c r="E9" s="198"/>
      <c r="F9" s="22"/>
      <c r="G9" s="22"/>
      <c r="H9" s="226"/>
      <c r="I9" s="161" t="s">
        <v>136</v>
      </c>
      <c r="J9" s="27"/>
      <c r="K9" s="27"/>
      <c r="L9" s="28"/>
      <c r="M9" s="162"/>
      <c r="N9" s="162">
        <f>M12+M11+M10</f>
        <v>552880.82483899395</v>
      </c>
    </row>
    <row r="10" spans="1:256" ht="25.5" x14ac:dyDescent="0.3">
      <c r="A10" s="20"/>
      <c r="B10" s="21"/>
      <c r="C10" s="22"/>
      <c r="D10" s="23"/>
      <c r="E10" s="198"/>
      <c r="F10" s="22"/>
      <c r="G10" s="22"/>
      <c r="H10" s="226"/>
      <c r="I10" s="161" t="s">
        <v>11</v>
      </c>
      <c r="J10" s="27" t="s">
        <v>6</v>
      </c>
      <c r="K10" s="26"/>
      <c r="L10" s="28"/>
      <c r="M10" s="485">
        <f>M127</f>
        <v>112239.20283899401</v>
      </c>
      <c r="N10" s="485"/>
    </row>
    <row r="11" spans="1:256" ht="26.25" thickBot="1" x14ac:dyDescent="0.35">
      <c r="A11" s="20"/>
      <c r="B11" s="21"/>
      <c r="C11" s="22"/>
      <c r="D11" s="23"/>
      <c r="E11" s="198"/>
      <c r="F11" s="22"/>
      <c r="G11" s="22"/>
      <c r="H11" s="226"/>
      <c r="I11" s="161" t="s">
        <v>10</v>
      </c>
      <c r="J11" s="27" t="s">
        <v>6</v>
      </c>
      <c r="K11" s="26"/>
      <c r="L11" s="28"/>
      <c r="M11" s="485">
        <f>H127</f>
        <v>352513.29759999999</v>
      </c>
      <c r="N11" s="485"/>
      <c r="S11" s="106"/>
    </row>
    <row r="12" spans="1:256" ht="26.25" thickBot="1" x14ac:dyDescent="0.35">
      <c r="A12" s="24"/>
      <c r="B12" s="29"/>
      <c r="C12" s="30"/>
      <c r="D12" s="31"/>
      <c r="E12" s="199"/>
      <c r="F12" s="483" t="s">
        <v>156</v>
      </c>
      <c r="G12" s="484"/>
      <c r="H12" s="227"/>
      <c r="I12" s="251" t="s">
        <v>12</v>
      </c>
      <c r="J12" s="27" t="s">
        <v>6</v>
      </c>
      <c r="K12" s="27"/>
      <c r="L12" s="32"/>
      <c r="M12" s="485">
        <f>M11*25%</f>
        <v>88128.324399999998</v>
      </c>
      <c r="N12" s="485"/>
    </row>
    <row r="13" spans="1:256" ht="25.5" x14ac:dyDescent="0.3">
      <c r="A13" s="486" t="s">
        <v>1</v>
      </c>
      <c r="B13" s="491" t="s">
        <v>13</v>
      </c>
      <c r="C13" s="491" t="s">
        <v>14</v>
      </c>
      <c r="D13" s="491" t="s">
        <v>15</v>
      </c>
      <c r="E13" s="493" t="s">
        <v>16</v>
      </c>
      <c r="F13" s="195" t="s">
        <v>152</v>
      </c>
      <c r="G13" s="195" t="s">
        <v>153</v>
      </c>
      <c r="H13" s="495" t="s">
        <v>17</v>
      </c>
      <c r="I13" s="488" t="s">
        <v>18</v>
      </c>
      <c r="J13" s="489"/>
      <c r="K13" s="489"/>
      <c r="L13" s="489"/>
      <c r="M13" s="490"/>
      <c r="N13" s="497" t="s">
        <v>20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ht="69.75" x14ac:dyDescent="0.3">
      <c r="A14" s="487"/>
      <c r="B14" s="492"/>
      <c r="C14" s="492"/>
      <c r="D14" s="492"/>
      <c r="E14" s="494"/>
      <c r="F14" s="196" t="s">
        <v>151</v>
      </c>
      <c r="G14" s="196" t="s">
        <v>151</v>
      </c>
      <c r="H14" s="496"/>
      <c r="I14" s="34" t="s">
        <v>19</v>
      </c>
      <c r="J14" s="34" t="s">
        <v>14</v>
      </c>
      <c r="K14" s="34" t="s">
        <v>15</v>
      </c>
      <c r="L14" s="138" t="s">
        <v>16</v>
      </c>
      <c r="M14" s="34" t="s">
        <v>17</v>
      </c>
      <c r="N14" s="498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pans="1:256" ht="22.5" x14ac:dyDescent="0.25">
      <c r="A15" s="164"/>
      <c r="B15" s="125" t="s">
        <v>75</v>
      </c>
      <c r="C15" s="110"/>
      <c r="D15" s="110"/>
      <c r="E15" s="200"/>
      <c r="F15" s="110"/>
      <c r="G15" s="110"/>
      <c r="H15" s="228"/>
      <c r="I15" s="39"/>
      <c r="J15" s="38"/>
      <c r="K15" s="40"/>
      <c r="L15" s="37"/>
      <c r="M15" s="38"/>
      <c r="N15" s="165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ht="22.5" x14ac:dyDescent="0.25">
      <c r="A16" s="166"/>
      <c r="B16" s="131" t="s">
        <v>76</v>
      </c>
      <c r="C16" s="151"/>
      <c r="D16" s="132"/>
      <c r="E16" s="201"/>
      <c r="F16" s="132"/>
      <c r="G16" s="132"/>
      <c r="H16" s="229"/>
      <c r="I16" s="133"/>
      <c r="J16" s="47"/>
      <c r="K16" s="134"/>
      <c r="L16" s="45"/>
      <c r="M16" s="47"/>
      <c r="N16" s="167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ht="42" x14ac:dyDescent="0.25">
      <c r="A17" s="41">
        <v>1</v>
      </c>
      <c r="B17" s="42" t="s">
        <v>129</v>
      </c>
      <c r="C17" s="219" t="s">
        <v>62</v>
      </c>
      <c r="D17" s="127">
        <v>2.85</v>
      </c>
      <c r="E17" s="202">
        <v>120</v>
      </c>
      <c r="F17" s="111">
        <v>60</v>
      </c>
      <c r="G17" s="111">
        <f>D17*F17</f>
        <v>171</v>
      </c>
      <c r="H17" s="230">
        <f>E17*D17</f>
        <v>342</v>
      </c>
      <c r="I17" s="112"/>
      <c r="J17" s="67"/>
      <c r="K17" s="67"/>
      <c r="L17" s="67"/>
      <c r="M17" s="67"/>
      <c r="N17" s="168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ht="42" x14ac:dyDescent="0.25">
      <c r="A18" s="41">
        <v>2</v>
      </c>
      <c r="B18" s="42" t="s">
        <v>21</v>
      </c>
      <c r="C18" s="43" t="s">
        <v>0</v>
      </c>
      <c r="D18" s="127">
        <v>392.01</v>
      </c>
      <c r="E18" s="203">
        <v>12</v>
      </c>
      <c r="F18" s="45">
        <v>8.3000000000000007</v>
      </c>
      <c r="G18" s="111">
        <f t="shared" ref="G18:G38" si="0">D18*F18</f>
        <v>3253.683</v>
      </c>
      <c r="H18" s="230">
        <f t="shared" ref="H18:H28" si="1">E18*D18</f>
        <v>4704.12</v>
      </c>
      <c r="I18" s="50" t="s">
        <v>8</v>
      </c>
      <c r="J18" s="47" t="s">
        <v>3</v>
      </c>
      <c r="K18" s="47">
        <f>0.3*D18</f>
        <v>117.60299999999999</v>
      </c>
      <c r="L18" s="67">
        <v>22.95</v>
      </c>
      <c r="M18" s="67">
        <f t="shared" ref="M18:M24" si="2">L18*K18</f>
        <v>2698.9888499999997</v>
      </c>
      <c r="N18" s="169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ht="25.5" x14ac:dyDescent="0.25">
      <c r="A19" s="41">
        <v>3</v>
      </c>
      <c r="B19" s="222" t="s">
        <v>22</v>
      </c>
      <c r="C19" s="223" t="s">
        <v>0</v>
      </c>
      <c r="D19" s="224">
        <v>392.01</v>
      </c>
      <c r="E19" s="203">
        <v>90</v>
      </c>
      <c r="F19" s="203">
        <v>60</v>
      </c>
      <c r="G19" s="202">
        <f t="shared" si="0"/>
        <v>23520.6</v>
      </c>
      <c r="H19" s="230">
        <f t="shared" si="1"/>
        <v>35280.9</v>
      </c>
      <c r="I19" s="220" t="s">
        <v>23</v>
      </c>
      <c r="J19" s="47" t="s">
        <v>2</v>
      </c>
      <c r="K19" s="47">
        <f>D19*1.2*2</f>
        <v>940.82399999999996</v>
      </c>
      <c r="L19" s="67">
        <v>8.2100000000000009</v>
      </c>
      <c r="M19" s="67">
        <f t="shared" si="2"/>
        <v>7724.1650400000008</v>
      </c>
      <c r="N19" s="169" t="s">
        <v>154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ht="42" x14ac:dyDescent="0.25">
      <c r="A20" s="41">
        <v>4</v>
      </c>
      <c r="B20" s="42" t="s">
        <v>72</v>
      </c>
      <c r="C20" s="43" t="s">
        <v>0</v>
      </c>
      <c r="D20" s="127">
        <v>392.01</v>
      </c>
      <c r="E20" s="203">
        <v>12</v>
      </c>
      <c r="F20" s="45">
        <v>8</v>
      </c>
      <c r="G20" s="111">
        <f t="shared" si="0"/>
        <v>3136.08</v>
      </c>
      <c r="H20" s="230">
        <f t="shared" si="1"/>
        <v>4704.12</v>
      </c>
      <c r="I20" s="112" t="s">
        <v>8</v>
      </c>
      <c r="J20" s="67" t="s">
        <v>3</v>
      </c>
      <c r="K20" s="67">
        <f>0.3*D20</f>
        <v>117.60299999999999</v>
      </c>
      <c r="L20" s="67">
        <v>22.95</v>
      </c>
      <c r="M20" s="67">
        <f>L20*K20</f>
        <v>2698.9888499999997</v>
      </c>
      <c r="N20" s="169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ht="25.5" x14ac:dyDescent="0.25">
      <c r="A21" s="41">
        <v>5</v>
      </c>
      <c r="B21" s="42" t="s">
        <v>71</v>
      </c>
      <c r="C21" s="43" t="s">
        <v>0</v>
      </c>
      <c r="D21" s="127">
        <v>392.01</v>
      </c>
      <c r="E21" s="203">
        <v>85</v>
      </c>
      <c r="F21" s="45">
        <v>60</v>
      </c>
      <c r="G21" s="111">
        <f t="shared" si="0"/>
        <v>23520.6</v>
      </c>
      <c r="H21" s="230">
        <f t="shared" si="1"/>
        <v>33320.85</v>
      </c>
      <c r="I21" s="50" t="s">
        <v>73</v>
      </c>
      <c r="J21" s="47" t="s">
        <v>0</v>
      </c>
      <c r="K21" s="67">
        <f>D21*1.05</f>
        <v>411.6105</v>
      </c>
      <c r="L21" s="45">
        <v>13.5</v>
      </c>
      <c r="M21" s="67">
        <f>L21*K21</f>
        <v>5556.7417500000001</v>
      </c>
      <c r="N21" s="169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ht="25.5" x14ac:dyDescent="0.25">
      <c r="A22" s="41">
        <v>6</v>
      </c>
      <c r="B22" s="42"/>
      <c r="C22" s="43"/>
      <c r="D22" s="127"/>
      <c r="E22" s="203"/>
      <c r="F22" s="45"/>
      <c r="G22" s="111">
        <f t="shared" si="0"/>
        <v>0</v>
      </c>
      <c r="H22" s="230"/>
      <c r="I22" s="50" t="s">
        <v>133</v>
      </c>
      <c r="J22" s="47" t="s">
        <v>2</v>
      </c>
      <c r="K22" s="126">
        <f>D21*0.3</f>
        <v>117.60299999999999</v>
      </c>
      <c r="L22" s="45">
        <v>61.33</v>
      </c>
      <c r="M22" s="67">
        <f>L22*K22</f>
        <v>7212.5919899999999</v>
      </c>
      <c r="N22" s="169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ht="25.5" x14ac:dyDescent="0.25">
      <c r="A23" s="41">
        <v>7</v>
      </c>
      <c r="B23" s="42" t="s">
        <v>24</v>
      </c>
      <c r="C23" s="43" t="s">
        <v>0</v>
      </c>
      <c r="D23" s="127">
        <v>392.01</v>
      </c>
      <c r="E23" s="136">
        <v>130</v>
      </c>
      <c r="F23" s="67">
        <v>70</v>
      </c>
      <c r="G23" s="111">
        <f t="shared" si="0"/>
        <v>27440.7</v>
      </c>
      <c r="H23" s="230">
        <f t="shared" si="1"/>
        <v>50961.299999999996</v>
      </c>
      <c r="I23" s="221" t="s">
        <v>74</v>
      </c>
      <c r="J23" s="67" t="s">
        <v>2</v>
      </c>
      <c r="K23" s="67">
        <f>D23*0.6*2</f>
        <v>470.41199999999998</v>
      </c>
      <c r="L23" s="67">
        <v>19.329999999999998</v>
      </c>
      <c r="M23" s="67">
        <f t="shared" si="2"/>
        <v>9093.0639599999995</v>
      </c>
      <c r="N23" s="170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</row>
    <row r="24" spans="1:256" ht="42" x14ac:dyDescent="0.25">
      <c r="A24" s="41">
        <v>8</v>
      </c>
      <c r="B24" s="42" t="s">
        <v>25</v>
      </c>
      <c r="C24" s="43" t="s">
        <v>0</v>
      </c>
      <c r="D24" s="127">
        <v>392.01</v>
      </c>
      <c r="E24" s="136">
        <v>12</v>
      </c>
      <c r="F24" s="67">
        <v>8.3000000000000007</v>
      </c>
      <c r="G24" s="111">
        <f t="shared" si="0"/>
        <v>3253.683</v>
      </c>
      <c r="H24" s="230">
        <f t="shared" si="1"/>
        <v>4704.12</v>
      </c>
      <c r="I24" s="112" t="s">
        <v>8</v>
      </c>
      <c r="J24" s="67" t="s">
        <v>3</v>
      </c>
      <c r="K24" s="67">
        <f>0.3*D24</f>
        <v>117.60299999999999</v>
      </c>
      <c r="L24" s="67">
        <v>22.95</v>
      </c>
      <c r="M24" s="67">
        <f t="shared" si="2"/>
        <v>2698.9888499999997</v>
      </c>
      <c r="N24" s="170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</row>
    <row r="25" spans="1:256" ht="42" x14ac:dyDescent="0.25">
      <c r="A25" s="41">
        <v>9</v>
      </c>
      <c r="B25" s="42" t="s">
        <v>26</v>
      </c>
      <c r="C25" s="129" t="s">
        <v>0</v>
      </c>
      <c r="D25" s="127">
        <v>392.01</v>
      </c>
      <c r="E25" s="136">
        <v>65</v>
      </c>
      <c r="F25" s="67">
        <v>50</v>
      </c>
      <c r="G25" s="111">
        <f t="shared" si="0"/>
        <v>19600.5</v>
      </c>
      <c r="H25" s="230">
        <f t="shared" si="1"/>
        <v>25480.649999999998</v>
      </c>
      <c r="I25" s="112" t="s">
        <v>134</v>
      </c>
      <c r="J25" s="67" t="s">
        <v>3</v>
      </c>
      <c r="K25" s="67">
        <f>D25*0.3</f>
        <v>117.60299999999999</v>
      </c>
      <c r="L25" s="107">
        <v>120</v>
      </c>
      <c r="M25" s="107">
        <f>K25*L25</f>
        <v>14112.359999999999</v>
      </c>
      <c r="N25" s="171" t="s">
        <v>103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</row>
    <row r="26" spans="1:256" ht="42" x14ac:dyDescent="0.25">
      <c r="A26" s="41">
        <v>10</v>
      </c>
      <c r="B26" s="42" t="s">
        <v>107</v>
      </c>
      <c r="C26" s="130" t="s">
        <v>62</v>
      </c>
      <c r="D26" s="127">
        <v>406.09</v>
      </c>
      <c r="E26" s="136">
        <v>60</v>
      </c>
      <c r="F26" s="67">
        <v>35</v>
      </c>
      <c r="G26" s="111">
        <f t="shared" si="0"/>
        <v>14213.15</v>
      </c>
      <c r="H26" s="230">
        <f t="shared" si="1"/>
        <v>24365.399999999998</v>
      </c>
      <c r="I26" s="112" t="s">
        <v>109</v>
      </c>
      <c r="J26" s="67" t="s">
        <v>62</v>
      </c>
      <c r="K26" s="67">
        <f>D26*1.05</f>
        <v>426.39449999999999</v>
      </c>
      <c r="L26" s="107">
        <v>0</v>
      </c>
      <c r="M26" s="107">
        <f>K26*L26</f>
        <v>0</v>
      </c>
      <c r="N26" s="171" t="s">
        <v>103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</row>
    <row r="27" spans="1:256" ht="42" x14ac:dyDescent="0.25">
      <c r="A27" s="41"/>
      <c r="B27" s="42"/>
      <c r="C27" s="130"/>
      <c r="D27" s="127"/>
      <c r="E27" s="136"/>
      <c r="F27" s="67"/>
      <c r="G27" s="111">
        <f t="shared" si="0"/>
        <v>0</v>
      </c>
      <c r="H27" s="230"/>
      <c r="I27" s="50" t="s">
        <v>86</v>
      </c>
      <c r="J27" s="47" t="s">
        <v>87</v>
      </c>
      <c r="K27" s="67">
        <f>D26*20</f>
        <v>8121.7999999999993</v>
      </c>
      <c r="L27" s="67">
        <v>0.5</v>
      </c>
      <c r="M27" s="67">
        <f>L27*K27</f>
        <v>4060.8999999999996</v>
      </c>
      <c r="N27" s="172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</row>
    <row r="28" spans="1:256" ht="42" x14ac:dyDescent="0.25">
      <c r="A28" s="41">
        <v>12</v>
      </c>
      <c r="B28" s="42" t="s">
        <v>108</v>
      </c>
      <c r="C28" s="128" t="s">
        <v>62</v>
      </c>
      <c r="D28" s="127">
        <v>91.44</v>
      </c>
      <c r="E28" s="136">
        <v>60</v>
      </c>
      <c r="F28" s="136">
        <v>60</v>
      </c>
      <c r="G28" s="111">
        <f t="shared" si="0"/>
        <v>5486.4</v>
      </c>
      <c r="H28" s="230">
        <f t="shared" si="1"/>
        <v>5486.4</v>
      </c>
      <c r="I28" s="112" t="s">
        <v>110</v>
      </c>
      <c r="J28" s="67" t="s">
        <v>62</v>
      </c>
      <c r="K28" s="67">
        <f>D28*1.05</f>
        <v>96.012</v>
      </c>
      <c r="L28" s="107">
        <v>0</v>
      </c>
      <c r="M28" s="107">
        <f>K28*L28</f>
        <v>0</v>
      </c>
      <c r="N28" s="171" t="s">
        <v>103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</row>
    <row r="29" spans="1:256" ht="42" x14ac:dyDescent="0.25">
      <c r="A29" s="41"/>
      <c r="B29" s="42"/>
      <c r="C29" s="130"/>
      <c r="D29" s="127"/>
      <c r="E29" s="136"/>
      <c r="F29" s="67"/>
      <c r="G29" s="111">
        <f t="shared" si="0"/>
        <v>0</v>
      </c>
      <c r="H29" s="230"/>
      <c r="I29" s="50" t="s">
        <v>86</v>
      </c>
      <c r="J29" s="47" t="s">
        <v>87</v>
      </c>
      <c r="K29" s="67">
        <f>D28*20</f>
        <v>1828.8</v>
      </c>
      <c r="L29" s="67">
        <v>0.5</v>
      </c>
      <c r="M29" s="67">
        <f>L29*K29</f>
        <v>914.4</v>
      </c>
      <c r="N29" s="172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</row>
    <row r="30" spans="1:256" ht="22.5" x14ac:dyDescent="0.25">
      <c r="A30" s="41"/>
      <c r="B30" s="135" t="s">
        <v>83</v>
      </c>
      <c r="C30" s="130"/>
      <c r="D30" s="127"/>
      <c r="E30" s="136"/>
      <c r="F30" s="67"/>
      <c r="G30" s="111">
        <f t="shared" si="0"/>
        <v>0</v>
      </c>
      <c r="H30" s="230"/>
      <c r="I30" s="112"/>
      <c r="J30" s="67"/>
      <c r="K30" s="67"/>
      <c r="L30" s="136"/>
      <c r="M30" s="67"/>
      <c r="N30" s="17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</row>
    <row r="31" spans="1:256" ht="42" x14ac:dyDescent="0.25">
      <c r="A31" s="41">
        <v>13</v>
      </c>
      <c r="B31" s="42" t="s">
        <v>77</v>
      </c>
      <c r="C31" s="43" t="s">
        <v>62</v>
      </c>
      <c r="D31" s="127">
        <f>10*2.85</f>
        <v>28.5</v>
      </c>
      <c r="E31" s="203">
        <v>12</v>
      </c>
      <c r="F31" s="45">
        <v>5</v>
      </c>
      <c r="G31" s="111">
        <f t="shared" si="0"/>
        <v>142.5</v>
      </c>
      <c r="H31" s="230">
        <f>E31*D31</f>
        <v>342</v>
      </c>
      <c r="I31" s="50" t="s">
        <v>8</v>
      </c>
      <c r="J31" s="47" t="s">
        <v>3</v>
      </c>
      <c r="K31" s="47">
        <f>D31*0.4*0.3</f>
        <v>3.42</v>
      </c>
      <c r="L31" s="67">
        <v>22.95</v>
      </c>
      <c r="M31" s="67">
        <f t="shared" ref="M31:M37" si="3">L31*K31</f>
        <v>78.48899999999999</v>
      </c>
      <c r="N31" s="169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</row>
    <row r="32" spans="1:256" ht="42" x14ac:dyDescent="0.25">
      <c r="A32" s="41">
        <v>14</v>
      </c>
      <c r="B32" s="42" t="s">
        <v>78</v>
      </c>
      <c r="C32" s="43" t="s">
        <v>62</v>
      </c>
      <c r="D32" s="127">
        <f>10*2.85</f>
        <v>28.5</v>
      </c>
      <c r="E32" s="203">
        <v>90</v>
      </c>
      <c r="F32" s="45">
        <v>36</v>
      </c>
      <c r="G32" s="111">
        <f t="shared" si="0"/>
        <v>1026</v>
      </c>
      <c r="H32" s="230">
        <f>E32*D32</f>
        <v>2565</v>
      </c>
      <c r="I32" s="50" t="s">
        <v>23</v>
      </c>
      <c r="J32" s="47" t="s">
        <v>2</v>
      </c>
      <c r="K32" s="47">
        <f>D32*0.4*1.2*2</f>
        <v>27.36</v>
      </c>
      <c r="L32" s="67">
        <v>8.2100000000000009</v>
      </c>
      <c r="M32" s="67">
        <f t="shared" si="3"/>
        <v>224.62560000000002</v>
      </c>
      <c r="N32" s="169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</row>
    <row r="33" spans="1:256" ht="42" x14ac:dyDescent="0.25">
      <c r="A33" s="41">
        <v>15</v>
      </c>
      <c r="B33" s="42" t="s">
        <v>79</v>
      </c>
      <c r="C33" s="43" t="s">
        <v>62</v>
      </c>
      <c r="D33" s="127">
        <f>10*2.85</f>
        <v>28.5</v>
      </c>
      <c r="E33" s="203">
        <v>12</v>
      </c>
      <c r="F33" s="45">
        <v>5</v>
      </c>
      <c r="G33" s="111">
        <f t="shared" si="0"/>
        <v>142.5</v>
      </c>
      <c r="H33" s="230">
        <f>E33*D33</f>
        <v>342</v>
      </c>
      <c r="I33" s="112" t="s">
        <v>8</v>
      </c>
      <c r="J33" s="67" t="s">
        <v>3</v>
      </c>
      <c r="K33" s="67">
        <f>D33*0.4*0.3</f>
        <v>3.42</v>
      </c>
      <c r="L33" s="67">
        <v>22.95</v>
      </c>
      <c r="M33" s="67">
        <f t="shared" si="3"/>
        <v>78.48899999999999</v>
      </c>
      <c r="N33" s="169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</row>
    <row r="34" spans="1:256" ht="42" x14ac:dyDescent="0.25">
      <c r="A34" s="41">
        <v>16</v>
      </c>
      <c r="B34" s="42" t="s">
        <v>80</v>
      </c>
      <c r="C34" s="43" t="s">
        <v>62</v>
      </c>
      <c r="D34" s="127">
        <f>10*2.85</f>
        <v>28.5</v>
      </c>
      <c r="E34" s="203">
        <v>85</v>
      </c>
      <c r="F34" s="45">
        <v>36</v>
      </c>
      <c r="G34" s="111">
        <f t="shared" si="0"/>
        <v>1026</v>
      </c>
      <c r="H34" s="230">
        <f>E34*D34</f>
        <v>2422.5</v>
      </c>
      <c r="I34" s="50" t="s">
        <v>73</v>
      </c>
      <c r="J34" s="47" t="s">
        <v>0</v>
      </c>
      <c r="K34" s="47">
        <f>D34*0.4*1.05</f>
        <v>11.97</v>
      </c>
      <c r="L34" s="45">
        <v>13.5</v>
      </c>
      <c r="M34" s="67">
        <f t="shared" si="3"/>
        <v>161.595</v>
      </c>
      <c r="N34" s="169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</row>
    <row r="35" spans="1:256" ht="25.5" x14ac:dyDescent="0.25">
      <c r="A35" s="41"/>
      <c r="B35" s="42"/>
      <c r="C35" s="43"/>
      <c r="D35" s="127"/>
      <c r="E35" s="203"/>
      <c r="F35" s="45"/>
      <c r="G35" s="111">
        <f t="shared" si="0"/>
        <v>0</v>
      </c>
      <c r="H35" s="230"/>
      <c r="I35" s="50" t="s">
        <v>133</v>
      </c>
      <c r="J35" s="47" t="s">
        <v>2</v>
      </c>
      <c r="K35" s="126">
        <f>D34*0.4*0.3</f>
        <v>3.42</v>
      </c>
      <c r="L35" s="45">
        <v>61.33</v>
      </c>
      <c r="M35" s="67">
        <f t="shared" si="3"/>
        <v>209.74859999999998</v>
      </c>
      <c r="N35" s="169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</row>
    <row r="36" spans="1:256" ht="25.5" x14ac:dyDescent="0.25">
      <c r="A36" s="41">
        <v>17</v>
      </c>
      <c r="B36" s="42" t="s">
        <v>94</v>
      </c>
      <c r="C36" s="43" t="s">
        <v>62</v>
      </c>
      <c r="D36" s="127">
        <f>10*2.85</f>
        <v>28.5</v>
      </c>
      <c r="E36" s="136">
        <v>130</v>
      </c>
      <c r="F36" s="67">
        <v>42</v>
      </c>
      <c r="G36" s="111">
        <f t="shared" si="0"/>
        <v>1197</v>
      </c>
      <c r="H36" s="230">
        <f>E36*D36</f>
        <v>3705</v>
      </c>
      <c r="I36" s="113" t="s">
        <v>74</v>
      </c>
      <c r="J36" s="67" t="s">
        <v>2</v>
      </c>
      <c r="K36" s="67">
        <f>D36*0.4*1*2</f>
        <v>22.8</v>
      </c>
      <c r="L36" s="67">
        <v>19.329999999999998</v>
      </c>
      <c r="M36" s="67">
        <f t="shared" si="3"/>
        <v>440.72399999999999</v>
      </c>
      <c r="N36" s="170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</row>
    <row r="37" spans="1:256" ht="42" x14ac:dyDescent="0.25">
      <c r="A37" s="41">
        <v>18</v>
      </c>
      <c r="B37" s="42" t="s">
        <v>81</v>
      </c>
      <c r="C37" s="43" t="s">
        <v>62</v>
      </c>
      <c r="D37" s="127">
        <f>10*2.85</f>
        <v>28.5</v>
      </c>
      <c r="E37" s="136">
        <v>12</v>
      </c>
      <c r="F37" s="67">
        <v>5</v>
      </c>
      <c r="G37" s="111">
        <f t="shared" si="0"/>
        <v>142.5</v>
      </c>
      <c r="H37" s="230">
        <f>E37*D37</f>
        <v>342</v>
      </c>
      <c r="I37" s="112" t="s">
        <v>8</v>
      </c>
      <c r="J37" s="67" t="s">
        <v>3</v>
      </c>
      <c r="K37" s="47">
        <f>D37*0.4*0.3</f>
        <v>3.42</v>
      </c>
      <c r="L37" s="67">
        <v>22.95</v>
      </c>
      <c r="M37" s="67">
        <f t="shared" si="3"/>
        <v>78.48899999999999</v>
      </c>
      <c r="N37" s="170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</row>
    <row r="38" spans="1:256" ht="42" x14ac:dyDescent="0.25">
      <c r="A38" s="41">
        <v>19</v>
      </c>
      <c r="B38" s="42" t="s">
        <v>82</v>
      </c>
      <c r="C38" s="43" t="s">
        <v>62</v>
      </c>
      <c r="D38" s="127">
        <f>10*2.85</f>
        <v>28.5</v>
      </c>
      <c r="E38" s="136">
        <v>65</v>
      </c>
      <c r="F38" s="67">
        <v>30</v>
      </c>
      <c r="G38" s="111">
        <f t="shared" si="0"/>
        <v>855</v>
      </c>
      <c r="H38" s="230">
        <f>E38*D38</f>
        <v>1852.5</v>
      </c>
      <c r="I38" s="112" t="s">
        <v>134</v>
      </c>
      <c r="J38" s="67" t="s">
        <v>3</v>
      </c>
      <c r="K38" s="47">
        <f>D38*0.4*0.3</f>
        <v>3.42</v>
      </c>
      <c r="L38" s="107">
        <v>120</v>
      </c>
      <c r="M38" s="107">
        <f>K38*L38</f>
        <v>410.4</v>
      </c>
      <c r="N38" s="171" t="s">
        <v>103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</row>
    <row r="39" spans="1:256" ht="25.5" x14ac:dyDescent="0.25">
      <c r="A39" s="51"/>
      <c r="B39" s="52" t="s">
        <v>27</v>
      </c>
      <c r="C39" s="52"/>
      <c r="D39" s="88"/>
      <c r="E39" s="204"/>
      <c r="F39" s="88"/>
      <c r="G39" s="89">
        <f>SUM(G17:G38)</f>
        <v>128127.89599999999</v>
      </c>
      <c r="H39" s="231">
        <f>SUM(H16:H38)</f>
        <v>200920.86</v>
      </c>
      <c r="I39" s="114"/>
      <c r="J39" s="88"/>
      <c r="K39" s="87"/>
      <c r="L39" s="88"/>
      <c r="M39" s="89">
        <f>SUM(M16:M38)</f>
        <v>58453.749490000009</v>
      </c>
      <c r="N39" s="17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</row>
    <row r="40" spans="1:256" ht="25.5" x14ac:dyDescent="0.25">
      <c r="A40" s="57"/>
      <c r="B40" s="58" t="s">
        <v>28</v>
      </c>
      <c r="C40" s="58"/>
      <c r="D40" s="91"/>
      <c r="E40" s="205"/>
      <c r="F40" s="91"/>
      <c r="G40" s="91"/>
      <c r="H40" s="232"/>
      <c r="I40" s="115"/>
      <c r="J40" s="91"/>
      <c r="K40" s="90"/>
      <c r="L40" s="91"/>
      <c r="M40" s="91"/>
      <c r="N40" s="249">
        <f>M39+H39</f>
        <v>259374.60949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</row>
    <row r="41" spans="1:256" ht="25.5" x14ac:dyDescent="0.25">
      <c r="A41" s="35"/>
      <c r="B41" s="36" t="s">
        <v>96</v>
      </c>
      <c r="C41" s="36"/>
      <c r="D41" s="143"/>
      <c r="E41" s="206"/>
      <c r="F41" s="37"/>
      <c r="G41" s="37"/>
      <c r="H41" s="233"/>
      <c r="I41" s="39"/>
      <c r="J41" s="38"/>
      <c r="K41" s="40"/>
      <c r="L41" s="37"/>
      <c r="M41" s="37"/>
      <c r="N41" s="175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</row>
    <row r="42" spans="1:256" ht="42" x14ac:dyDescent="0.25">
      <c r="A42" s="41">
        <v>1</v>
      </c>
      <c r="B42" s="42" t="s">
        <v>49</v>
      </c>
      <c r="C42" s="43" t="s">
        <v>0</v>
      </c>
      <c r="D42" s="68">
        <f>60.77+60.16</f>
        <v>120.93</v>
      </c>
      <c r="E42" s="203">
        <v>12</v>
      </c>
      <c r="F42" s="45">
        <v>8.3000000000000007</v>
      </c>
      <c r="G42" s="45">
        <f>D42*F42</f>
        <v>1003.7190000000002</v>
      </c>
      <c r="H42" s="234">
        <f>E42*D42</f>
        <v>1451.16</v>
      </c>
      <c r="I42" s="50" t="s">
        <v>8</v>
      </c>
      <c r="J42" s="47" t="s">
        <v>3</v>
      </c>
      <c r="K42" s="67">
        <f>D42*0.3</f>
        <v>36.279000000000003</v>
      </c>
      <c r="L42" s="67">
        <v>22.95</v>
      </c>
      <c r="M42" s="67">
        <f t="shared" ref="M42:M54" si="4">L42*K42</f>
        <v>832.60305000000005</v>
      </c>
      <c r="N42" s="17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</row>
    <row r="43" spans="1:256" ht="25.5" x14ac:dyDescent="0.25">
      <c r="A43" s="41">
        <v>2</v>
      </c>
      <c r="B43" s="42" t="s">
        <v>50</v>
      </c>
      <c r="C43" s="43" t="s">
        <v>0</v>
      </c>
      <c r="D43" s="68">
        <f>60.77+60.16</f>
        <v>120.93</v>
      </c>
      <c r="E43" s="203">
        <v>450</v>
      </c>
      <c r="F43" s="45">
        <v>250</v>
      </c>
      <c r="G43" s="45">
        <f t="shared" ref="G43:G54" si="5">D43*F43</f>
        <v>30232.5</v>
      </c>
      <c r="H43" s="234">
        <f>E43*D43</f>
        <v>54418.5</v>
      </c>
      <c r="I43" s="50" t="s">
        <v>89</v>
      </c>
      <c r="J43" s="47" t="s">
        <v>2</v>
      </c>
      <c r="K43" s="67">
        <f>D43*7</f>
        <v>846.51</v>
      </c>
      <c r="L43" s="67">
        <v>12.78</v>
      </c>
      <c r="M43" s="67">
        <f t="shared" si="4"/>
        <v>10818.397799999999</v>
      </c>
      <c r="N43" s="176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</row>
    <row r="44" spans="1:256" ht="42" x14ac:dyDescent="0.25">
      <c r="A44" s="41"/>
      <c r="B44" s="42"/>
      <c r="C44" s="43"/>
      <c r="D44" s="68"/>
      <c r="E44" s="203"/>
      <c r="F44" s="45"/>
      <c r="G44" s="45">
        <f t="shared" si="5"/>
        <v>0</v>
      </c>
      <c r="H44" s="234"/>
      <c r="I44" s="50" t="s">
        <v>51</v>
      </c>
      <c r="J44" s="47" t="s">
        <v>0</v>
      </c>
      <c r="K44" s="67">
        <f>60.67*1.1</f>
        <v>66.737000000000009</v>
      </c>
      <c r="L44" s="107">
        <v>0</v>
      </c>
      <c r="M44" s="107">
        <f t="shared" si="4"/>
        <v>0</v>
      </c>
      <c r="N44" s="171" t="s">
        <v>103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</row>
    <row r="45" spans="1:256" ht="42" x14ac:dyDescent="0.25">
      <c r="A45" s="41"/>
      <c r="B45" s="42"/>
      <c r="C45" s="43"/>
      <c r="D45" s="68"/>
      <c r="E45" s="203"/>
      <c r="F45" s="45"/>
      <c r="G45" s="45">
        <f t="shared" si="5"/>
        <v>0</v>
      </c>
      <c r="H45" s="234"/>
      <c r="I45" s="50" t="s">
        <v>52</v>
      </c>
      <c r="J45" s="47" t="s">
        <v>0</v>
      </c>
      <c r="K45" s="67">
        <f>60.16*1.1</f>
        <v>66.176000000000002</v>
      </c>
      <c r="L45" s="137">
        <v>0</v>
      </c>
      <c r="M45" s="137">
        <f t="shared" si="4"/>
        <v>0</v>
      </c>
      <c r="N45" s="171" t="s">
        <v>103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</row>
    <row r="46" spans="1:256" ht="25.5" x14ac:dyDescent="0.25">
      <c r="A46" s="41"/>
      <c r="B46" s="42"/>
      <c r="C46" s="43"/>
      <c r="D46" s="68"/>
      <c r="E46" s="203"/>
      <c r="F46" s="45"/>
      <c r="G46" s="45">
        <f t="shared" si="5"/>
        <v>0</v>
      </c>
      <c r="H46" s="234"/>
      <c r="I46" s="50" t="s">
        <v>64</v>
      </c>
      <c r="J46" s="47" t="s">
        <v>2</v>
      </c>
      <c r="K46" s="67">
        <f>D43*0.15</f>
        <v>18.139500000000002</v>
      </c>
      <c r="L46" s="67">
        <v>74.73</v>
      </c>
      <c r="M46" s="67">
        <f t="shared" si="4"/>
        <v>1355.5648350000001</v>
      </c>
      <c r="N46" s="177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</row>
    <row r="47" spans="1:256" ht="42" x14ac:dyDescent="0.25">
      <c r="A47" s="41">
        <v>3</v>
      </c>
      <c r="B47" s="42" t="s">
        <v>113</v>
      </c>
      <c r="C47" s="43" t="s">
        <v>0</v>
      </c>
      <c r="D47" s="68">
        <f>60.77+60.16</f>
        <v>120.93</v>
      </c>
      <c r="E47" s="203">
        <v>30</v>
      </c>
      <c r="F47" s="45">
        <v>12</v>
      </c>
      <c r="G47" s="45">
        <f t="shared" si="5"/>
        <v>1451.16</v>
      </c>
      <c r="H47" s="234">
        <f>E47*D47</f>
        <v>3627.9</v>
      </c>
      <c r="I47" s="50" t="s">
        <v>115</v>
      </c>
      <c r="J47" s="47" t="s">
        <v>7</v>
      </c>
      <c r="K47" s="67">
        <f>40*1.1</f>
        <v>44</v>
      </c>
      <c r="L47" s="67">
        <v>115.27</v>
      </c>
      <c r="M47" s="67">
        <f t="shared" si="4"/>
        <v>5071.88</v>
      </c>
      <c r="N47" s="177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</row>
    <row r="48" spans="1:256" ht="25.5" x14ac:dyDescent="0.25">
      <c r="A48" s="41"/>
      <c r="B48" s="42"/>
      <c r="C48" s="43"/>
      <c r="D48" s="68"/>
      <c r="E48" s="203"/>
      <c r="F48" s="45"/>
      <c r="G48" s="45">
        <f t="shared" si="5"/>
        <v>0</v>
      </c>
      <c r="H48" s="234"/>
      <c r="I48" s="50" t="s">
        <v>114</v>
      </c>
      <c r="J48" s="47" t="s">
        <v>7</v>
      </c>
      <c r="K48" s="67">
        <v>5</v>
      </c>
      <c r="L48" s="67">
        <v>45</v>
      </c>
      <c r="M48" s="67">
        <f t="shared" si="4"/>
        <v>225</v>
      </c>
      <c r="N48" s="177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</row>
    <row r="49" spans="1:256" ht="42" x14ac:dyDescent="0.25">
      <c r="A49" s="41">
        <v>4</v>
      </c>
      <c r="B49" s="42" t="s">
        <v>90</v>
      </c>
      <c r="C49" s="43" t="s">
        <v>5</v>
      </c>
      <c r="D49" s="68">
        <v>45.14</v>
      </c>
      <c r="E49" s="203">
        <v>280</v>
      </c>
      <c r="F49" s="45">
        <v>75</v>
      </c>
      <c r="G49" s="45">
        <f t="shared" si="5"/>
        <v>3385.5</v>
      </c>
      <c r="H49" s="234">
        <f>E49*D49</f>
        <v>12639.2</v>
      </c>
      <c r="I49" s="50" t="s">
        <v>89</v>
      </c>
      <c r="J49" s="47" t="s">
        <v>2</v>
      </c>
      <c r="K49" s="67">
        <f>D49*0.06*5</f>
        <v>13.542000000000002</v>
      </c>
      <c r="L49" s="67">
        <v>12.78</v>
      </c>
      <c r="M49" s="67">
        <f t="shared" si="4"/>
        <v>173.06676000000002</v>
      </c>
      <c r="N49" s="177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</row>
    <row r="50" spans="1:256" ht="57" customHeight="1" x14ac:dyDescent="0.25">
      <c r="A50" s="41"/>
      <c r="B50" s="42"/>
      <c r="C50" s="43"/>
      <c r="D50" s="68"/>
      <c r="E50" s="203"/>
      <c r="F50" s="45"/>
      <c r="G50" s="45">
        <f t="shared" si="5"/>
        <v>0</v>
      </c>
      <c r="H50" s="234"/>
      <c r="I50" s="50" t="s">
        <v>51</v>
      </c>
      <c r="J50" s="47" t="s">
        <v>0</v>
      </c>
      <c r="K50" s="67">
        <f>(D49/7.2)*0.36*1.1</f>
        <v>2.4826999999999999</v>
      </c>
      <c r="L50" s="107">
        <v>0</v>
      </c>
      <c r="M50" s="107">
        <f t="shared" si="4"/>
        <v>0</v>
      </c>
      <c r="N50" s="171" t="s">
        <v>103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  <c r="IV50" s="33"/>
    </row>
    <row r="51" spans="1:256" ht="22.5" x14ac:dyDescent="0.25">
      <c r="A51" s="41"/>
      <c r="B51" s="42"/>
      <c r="C51" s="43"/>
      <c r="D51" s="68"/>
      <c r="E51" s="203"/>
      <c r="F51" s="45"/>
      <c r="G51" s="45">
        <f t="shared" si="5"/>
        <v>0</v>
      </c>
      <c r="H51" s="234"/>
      <c r="I51" s="50" t="s">
        <v>64</v>
      </c>
      <c r="J51" s="47" t="s">
        <v>2</v>
      </c>
      <c r="K51" s="67">
        <f>D49*0.06*0.15</f>
        <v>0.40626000000000001</v>
      </c>
      <c r="L51" s="67">
        <v>74.73</v>
      </c>
      <c r="M51" s="67">
        <f>L51*K51</f>
        <v>30.359809800000001</v>
      </c>
      <c r="N51" s="17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</row>
    <row r="52" spans="1:256" ht="60.75" customHeight="1" x14ac:dyDescent="0.25">
      <c r="A52" s="41">
        <v>5</v>
      </c>
      <c r="B52" s="42" t="s">
        <v>84</v>
      </c>
      <c r="C52" s="43" t="s">
        <v>5</v>
      </c>
      <c r="D52" s="68">
        <v>90.66</v>
      </c>
      <c r="E52" s="203">
        <v>120</v>
      </c>
      <c r="F52" s="45">
        <v>50</v>
      </c>
      <c r="G52" s="45">
        <f t="shared" si="5"/>
        <v>4533</v>
      </c>
      <c r="H52" s="234">
        <f>E52*D52</f>
        <v>10879.199999999999</v>
      </c>
      <c r="I52" s="50" t="s">
        <v>86</v>
      </c>
      <c r="J52" s="47" t="s">
        <v>87</v>
      </c>
      <c r="K52" s="67">
        <f>D52*45</f>
        <v>4079.7</v>
      </c>
      <c r="L52" s="67">
        <v>0.5</v>
      </c>
      <c r="M52" s="67">
        <f t="shared" si="4"/>
        <v>2039.85</v>
      </c>
      <c r="N52" s="177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  <c r="IV52" s="33"/>
    </row>
    <row r="53" spans="1:256" ht="42" x14ac:dyDescent="0.25">
      <c r="A53" s="41"/>
      <c r="B53" s="42"/>
      <c r="C53" s="43"/>
      <c r="D53" s="68"/>
      <c r="E53" s="203"/>
      <c r="F53" s="45"/>
      <c r="G53" s="45">
        <f t="shared" si="5"/>
        <v>0</v>
      </c>
      <c r="H53" s="234"/>
      <c r="I53" s="50" t="s">
        <v>88</v>
      </c>
      <c r="J53" s="47" t="s">
        <v>87</v>
      </c>
      <c r="K53" s="67">
        <f>D52*15</f>
        <v>1359.8999999999999</v>
      </c>
      <c r="L53" s="67">
        <v>0.5</v>
      </c>
      <c r="M53" s="67">
        <f t="shared" si="4"/>
        <v>679.94999999999993</v>
      </c>
      <c r="N53" s="177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  <c r="IV53" s="33"/>
    </row>
    <row r="54" spans="1:256" ht="42" x14ac:dyDescent="0.25">
      <c r="A54" s="41"/>
      <c r="B54" s="42"/>
      <c r="C54" s="43"/>
      <c r="D54" s="68"/>
      <c r="E54" s="203"/>
      <c r="F54" s="45"/>
      <c r="G54" s="45">
        <f t="shared" si="5"/>
        <v>0</v>
      </c>
      <c r="H54" s="234"/>
      <c r="I54" s="50" t="s">
        <v>85</v>
      </c>
      <c r="J54" s="47" t="s">
        <v>0</v>
      </c>
      <c r="K54" s="67">
        <f>(D52/7.2)*0.36*1.1</f>
        <v>4.9863</v>
      </c>
      <c r="L54" s="107">
        <v>0</v>
      </c>
      <c r="M54" s="107">
        <f t="shared" si="4"/>
        <v>0</v>
      </c>
      <c r="N54" s="171" t="s">
        <v>103</v>
      </c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  <c r="IV54" s="33"/>
    </row>
    <row r="55" spans="1:256" ht="25.5" x14ac:dyDescent="0.25">
      <c r="A55" s="51"/>
      <c r="B55" s="52" t="s">
        <v>27</v>
      </c>
      <c r="C55" s="52"/>
      <c r="D55" s="88"/>
      <c r="E55" s="204"/>
      <c r="F55" s="88"/>
      <c r="G55" s="89">
        <f>SUM(G42:G54)</f>
        <v>40605.879000000001</v>
      </c>
      <c r="H55" s="231">
        <f>SUM(H42:H54)</f>
        <v>83015.960000000006</v>
      </c>
      <c r="I55" s="114"/>
      <c r="J55" s="88"/>
      <c r="K55" s="87"/>
      <c r="L55" s="88"/>
      <c r="M55" s="89">
        <f>SUM(M42:M54)</f>
        <v>21226.6722548</v>
      </c>
      <c r="N55" s="174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  <c r="IT55" s="33"/>
      <c r="IU55" s="33"/>
      <c r="IV55" s="33"/>
    </row>
    <row r="56" spans="1:256" ht="25.5" x14ac:dyDescent="0.25">
      <c r="A56" s="57"/>
      <c r="B56" s="58" t="s">
        <v>28</v>
      </c>
      <c r="C56" s="58"/>
      <c r="D56" s="91"/>
      <c r="E56" s="205"/>
      <c r="F56" s="91"/>
      <c r="G56" s="91"/>
      <c r="H56" s="232"/>
      <c r="I56" s="115"/>
      <c r="J56" s="91"/>
      <c r="K56" s="90"/>
      <c r="L56" s="91"/>
      <c r="M56" s="91"/>
      <c r="N56" s="249">
        <f>M55+H55</f>
        <v>104242.6322548</v>
      </c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</row>
    <row r="57" spans="1:256" ht="22.5" x14ac:dyDescent="0.25">
      <c r="A57" s="139"/>
      <c r="B57" s="36" t="s">
        <v>53</v>
      </c>
      <c r="C57" s="140"/>
      <c r="D57" s="143"/>
      <c r="E57" s="207"/>
      <c r="F57" s="141"/>
      <c r="G57" s="141"/>
      <c r="H57" s="233"/>
      <c r="I57" s="142"/>
      <c r="J57" s="38"/>
      <c r="K57" s="143"/>
      <c r="L57" s="143"/>
      <c r="M57" s="143"/>
      <c r="N57" s="178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  <c r="IH57" s="49"/>
      <c r="II57" s="49"/>
      <c r="IJ57" s="49"/>
      <c r="IK57" s="49"/>
      <c r="IL57" s="49"/>
      <c r="IM57" s="49"/>
      <c r="IN57" s="49"/>
      <c r="IO57" s="49"/>
      <c r="IP57" s="49"/>
      <c r="IQ57" s="49"/>
      <c r="IR57" s="49"/>
      <c r="IS57" s="49"/>
      <c r="IT57" s="49"/>
      <c r="IU57" s="49"/>
      <c r="IV57" s="49"/>
    </row>
    <row r="58" spans="1:256" ht="42" x14ac:dyDescent="0.25">
      <c r="A58" s="41">
        <v>1</v>
      </c>
      <c r="B58" s="42" t="s">
        <v>98</v>
      </c>
      <c r="C58" s="109" t="s">
        <v>0</v>
      </c>
      <c r="D58" s="127">
        <v>9.9700000000000006</v>
      </c>
      <c r="E58" s="202">
        <v>40</v>
      </c>
      <c r="F58" s="111">
        <v>78.3</v>
      </c>
      <c r="G58" s="111">
        <f>D58*F58</f>
        <v>780.65100000000007</v>
      </c>
      <c r="H58" s="230">
        <f>E58*D58</f>
        <v>398.8</v>
      </c>
      <c r="I58" s="112" t="s">
        <v>99</v>
      </c>
      <c r="J58" s="67" t="s">
        <v>3</v>
      </c>
      <c r="K58" s="67">
        <f>D58*0.45</f>
        <v>4.4865000000000004</v>
      </c>
      <c r="L58" s="67">
        <v>56</v>
      </c>
      <c r="M58" s="67">
        <f>L58*K58</f>
        <v>251.24400000000003</v>
      </c>
      <c r="N58" s="168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  <c r="IV58" s="33"/>
    </row>
    <row r="59" spans="1:256" ht="42" x14ac:dyDescent="0.25">
      <c r="A59" s="41">
        <v>2</v>
      </c>
      <c r="B59" s="42" t="s">
        <v>46</v>
      </c>
      <c r="C59" s="129" t="s">
        <v>0</v>
      </c>
      <c r="D59" s="127">
        <v>9.9700000000000006</v>
      </c>
      <c r="E59" s="136">
        <v>180</v>
      </c>
      <c r="F59" s="67">
        <v>160</v>
      </c>
      <c r="G59" s="111">
        <f t="shared" ref="G59:G104" si="6">D59*F59</f>
        <v>1595.2</v>
      </c>
      <c r="H59" s="230">
        <f>E59*D59</f>
        <v>1794.6000000000001</v>
      </c>
      <c r="I59" s="112" t="s">
        <v>47</v>
      </c>
      <c r="J59" s="67" t="s">
        <v>2</v>
      </c>
      <c r="K59" s="67">
        <f>D59*1*20</f>
        <v>199.4</v>
      </c>
      <c r="L59" s="67">
        <v>4.5999999999999996</v>
      </c>
      <c r="M59" s="67">
        <f>L59*K59</f>
        <v>917.24</v>
      </c>
      <c r="N59" s="168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  <c r="IT59" s="33"/>
      <c r="IU59" s="33"/>
      <c r="IV59" s="33"/>
    </row>
    <row r="60" spans="1:256" ht="25.5" x14ac:dyDescent="0.25">
      <c r="A60" s="41"/>
      <c r="B60" s="42"/>
      <c r="C60" s="130"/>
      <c r="D60" s="68"/>
      <c r="E60" s="136"/>
      <c r="F60" s="67"/>
      <c r="G60" s="111">
        <f t="shared" si="6"/>
        <v>0</v>
      </c>
      <c r="H60" s="230"/>
      <c r="I60" s="113" t="s">
        <v>48</v>
      </c>
      <c r="J60" s="67" t="s">
        <v>5</v>
      </c>
      <c r="K60" s="67">
        <f>D59*1.2</f>
        <v>11.964</v>
      </c>
      <c r="L60" s="67">
        <v>4</v>
      </c>
      <c r="M60" s="67">
        <f>L60*K60</f>
        <v>47.856000000000002</v>
      </c>
      <c r="N60" s="168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3"/>
      <c r="IV60" s="33"/>
    </row>
    <row r="61" spans="1:256" ht="22.5" x14ac:dyDescent="0.25">
      <c r="A61" s="146"/>
      <c r="B61" s="145" t="s">
        <v>97</v>
      </c>
      <c r="C61" s="147"/>
      <c r="D61" s="67"/>
      <c r="E61" s="208"/>
      <c r="F61" s="123"/>
      <c r="G61" s="111">
        <f t="shared" si="6"/>
        <v>0</v>
      </c>
      <c r="H61" s="234"/>
      <c r="I61" s="66"/>
      <c r="J61" s="47"/>
      <c r="K61" s="67"/>
      <c r="L61" s="67"/>
      <c r="M61" s="67"/>
      <c r="N61" s="17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  <c r="IU61" s="49"/>
      <c r="IV61" s="49"/>
    </row>
    <row r="62" spans="1:256" ht="42" x14ac:dyDescent="0.25">
      <c r="A62" s="62">
        <v>1</v>
      </c>
      <c r="B62" s="69" t="s">
        <v>61</v>
      </c>
      <c r="C62" s="64" t="s">
        <v>0</v>
      </c>
      <c r="D62" s="68">
        <v>8.83</v>
      </c>
      <c r="E62" s="208">
        <v>220</v>
      </c>
      <c r="F62" s="123">
        <v>180</v>
      </c>
      <c r="G62" s="111">
        <f t="shared" si="6"/>
        <v>1589.4</v>
      </c>
      <c r="H62" s="235">
        <f>E62*D62</f>
        <v>1942.6</v>
      </c>
      <c r="I62" s="66" t="s">
        <v>29</v>
      </c>
      <c r="J62" s="44" t="s">
        <v>0</v>
      </c>
      <c r="K62" s="67">
        <f>D62*1.05</f>
        <v>9.2714999999999996</v>
      </c>
      <c r="L62" s="67">
        <v>48.2</v>
      </c>
      <c r="M62" s="68">
        <f t="shared" ref="M62:M77" si="7">L62*K62</f>
        <v>446.88630000000001</v>
      </c>
      <c r="N62" s="180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/>
      <c r="HO62" s="49"/>
      <c r="HP62" s="49"/>
      <c r="HQ62" s="49"/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  <c r="IM62" s="49"/>
      <c r="IN62" s="49"/>
      <c r="IO62" s="49"/>
      <c r="IP62" s="49"/>
      <c r="IQ62" s="49"/>
      <c r="IR62" s="49"/>
      <c r="IS62" s="49"/>
      <c r="IT62" s="49"/>
      <c r="IU62" s="49"/>
      <c r="IV62" s="49"/>
    </row>
    <row r="63" spans="1:256" ht="22.5" x14ac:dyDescent="0.25">
      <c r="A63" s="62"/>
      <c r="B63" s="69"/>
      <c r="C63" s="64"/>
      <c r="D63" s="68"/>
      <c r="E63" s="116"/>
      <c r="F63" s="116"/>
      <c r="G63" s="111">
        <f t="shared" si="6"/>
        <v>0</v>
      </c>
      <c r="H63" s="235"/>
      <c r="I63" s="66" t="s">
        <v>30</v>
      </c>
      <c r="J63" s="47" t="s">
        <v>5</v>
      </c>
      <c r="K63" s="67">
        <f>3.9*D62</f>
        <v>34.436999999999998</v>
      </c>
      <c r="L63" s="67">
        <v>21.61</v>
      </c>
      <c r="M63" s="68">
        <f t="shared" si="7"/>
        <v>744.18356999999992</v>
      </c>
      <c r="N63" s="180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  <c r="GU63" s="49"/>
      <c r="GV63" s="49"/>
      <c r="GW63" s="49"/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/>
      <c r="HK63" s="49"/>
      <c r="HL63" s="49"/>
      <c r="HM63" s="49"/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  <c r="IS63" s="49"/>
      <c r="IT63" s="49"/>
      <c r="IU63" s="49"/>
      <c r="IV63" s="49"/>
    </row>
    <row r="64" spans="1:256" ht="22.5" x14ac:dyDescent="0.25">
      <c r="A64" s="62"/>
      <c r="B64" s="69"/>
      <c r="C64" s="64"/>
      <c r="D64" s="68"/>
      <c r="E64" s="116"/>
      <c r="F64" s="116"/>
      <c r="G64" s="111">
        <f t="shared" si="6"/>
        <v>0</v>
      </c>
      <c r="H64" s="235"/>
      <c r="I64" s="66" t="s">
        <v>31</v>
      </c>
      <c r="J64" s="47" t="s">
        <v>5</v>
      </c>
      <c r="K64" s="67">
        <f>13*1.1</f>
        <v>14.3</v>
      </c>
      <c r="L64" s="67">
        <v>14.22</v>
      </c>
      <c r="M64" s="68">
        <f t="shared" si="7"/>
        <v>203.34600000000003</v>
      </c>
      <c r="N64" s="180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  <c r="IU64" s="49"/>
      <c r="IV64" s="49"/>
    </row>
    <row r="65" spans="1:256" ht="22.5" x14ac:dyDescent="0.25">
      <c r="A65" s="62"/>
      <c r="B65" s="69"/>
      <c r="C65" s="64"/>
      <c r="D65" s="68"/>
      <c r="E65" s="116"/>
      <c r="F65" s="116"/>
      <c r="G65" s="111">
        <f t="shared" si="6"/>
        <v>0</v>
      </c>
      <c r="H65" s="235"/>
      <c r="I65" s="70" t="s">
        <v>32</v>
      </c>
      <c r="J65" s="71" t="s">
        <v>7</v>
      </c>
      <c r="K65" s="67">
        <f>9*D62</f>
        <v>79.47</v>
      </c>
      <c r="L65" s="124">
        <v>3.25</v>
      </c>
      <c r="M65" s="68">
        <f t="shared" si="7"/>
        <v>258.27749999999997</v>
      </c>
      <c r="N65" s="180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  <c r="IM65" s="49"/>
      <c r="IN65" s="49"/>
      <c r="IO65" s="49"/>
      <c r="IP65" s="49"/>
      <c r="IQ65" s="49"/>
      <c r="IR65" s="49"/>
      <c r="IS65" s="49"/>
      <c r="IT65" s="49"/>
      <c r="IU65" s="49"/>
      <c r="IV65" s="49"/>
    </row>
    <row r="66" spans="1:256" ht="22.5" x14ac:dyDescent="0.25">
      <c r="A66" s="62"/>
      <c r="B66" s="69"/>
      <c r="C66" s="64"/>
      <c r="D66" s="68"/>
      <c r="E66" s="116"/>
      <c r="F66" s="116"/>
      <c r="G66" s="111">
        <f t="shared" si="6"/>
        <v>0</v>
      </c>
      <c r="H66" s="235"/>
      <c r="I66" s="92" t="s">
        <v>33</v>
      </c>
      <c r="J66" s="71" t="s">
        <v>7</v>
      </c>
      <c r="K66" s="67">
        <f>23*D62</f>
        <v>203.09</v>
      </c>
      <c r="L66" s="124">
        <v>0.19</v>
      </c>
      <c r="M66" s="68">
        <f t="shared" si="7"/>
        <v>38.5871</v>
      </c>
      <c r="N66" s="180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  <c r="IH66" s="49"/>
      <c r="II66" s="49"/>
      <c r="IJ66" s="49"/>
      <c r="IK66" s="49"/>
      <c r="IL66" s="49"/>
      <c r="IM66" s="49"/>
      <c r="IN66" s="49"/>
      <c r="IO66" s="49"/>
      <c r="IP66" s="49"/>
      <c r="IQ66" s="49"/>
      <c r="IR66" s="49"/>
      <c r="IS66" s="49"/>
      <c r="IT66" s="49"/>
      <c r="IU66" s="49"/>
      <c r="IV66" s="49"/>
    </row>
    <row r="67" spans="1:256" ht="22.5" x14ac:dyDescent="0.25">
      <c r="A67" s="62"/>
      <c r="B67" s="69"/>
      <c r="C67" s="64"/>
      <c r="D67" s="68"/>
      <c r="E67" s="116"/>
      <c r="F67" s="116"/>
      <c r="G67" s="111">
        <f t="shared" si="6"/>
        <v>0</v>
      </c>
      <c r="H67" s="235"/>
      <c r="I67" s="66" t="s">
        <v>35</v>
      </c>
      <c r="J67" s="44" t="s">
        <v>7</v>
      </c>
      <c r="K67" s="67">
        <f>20*D62</f>
        <v>176.6</v>
      </c>
      <c r="L67" s="67">
        <v>0.45</v>
      </c>
      <c r="M67" s="68">
        <f t="shared" si="7"/>
        <v>79.47</v>
      </c>
      <c r="N67" s="180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  <c r="GU67" s="49"/>
      <c r="GV67" s="49"/>
      <c r="GW67" s="49"/>
      <c r="GX67" s="49"/>
      <c r="GY67" s="49"/>
      <c r="GZ67" s="49"/>
      <c r="HA67" s="49"/>
      <c r="HB67" s="49"/>
      <c r="HC67" s="49"/>
      <c r="HD67" s="49"/>
      <c r="HE67" s="49"/>
      <c r="HF67" s="49"/>
      <c r="HG67" s="49"/>
      <c r="HH67" s="49"/>
      <c r="HI67" s="49"/>
      <c r="HJ67" s="49"/>
      <c r="HK67" s="49"/>
      <c r="HL67" s="49"/>
      <c r="HM67" s="49"/>
      <c r="HN67" s="49"/>
      <c r="HO67" s="49"/>
      <c r="HP67" s="49"/>
      <c r="HQ67" s="49"/>
      <c r="HR67" s="49"/>
      <c r="HS67" s="49"/>
      <c r="HT67" s="49"/>
      <c r="HU67" s="49"/>
      <c r="HV67" s="49"/>
      <c r="HW67" s="49"/>
      <c r="HX67" s="49"/>
      <c r="HY67" s="49"/>
      <c r="HZ67" s="49"/>
      <c r="IA67" s="49"/>
      <c r="IB67" s="49"/>
      <c r="IC67" s="49"/>
      <c r="ID67" s="49"/>
      <c r="IE67" s="49"/>
      <c r="IF67" s="49"/>
      <c r="IG67" s="49"/>
      <c r="IH67" s="49"/>
      <c r="II67" s="49"/>
      <c r="IJ67" s="49"/>
      <c r="IK67" s="49"/>
      <c r="IL67" s="49"/>
      <c r="IM67" s="49"/>
      <c r="IN67" s="49"/>
      <c r="IO67" s="49"/>
      <c r="IP67" s="49"/>
      <c r="IQ67" s="49"/>
      <c r="IR67" s="49"/>
      <c r="IS67" s="49"/>
      <c r="IT67" s="49"/>
      <c r="IU67" s="49"/>
      <c r="IV67" s="49"/>
    </row>
    <row r="68" spans="1:256" ht="22.5" x14ac:dyDescent="0.25">
      <c r="A68" s="62"/>
      <c r="B68" s="69"/>
      <c r="C68" s="64"/>
      <c r="D68" s="68"/>
      <c r="E68" s="116"/>
      <c r="F68" s="65"/>
      <c r="G68" s="111">
        <f t="shared" si="6"/>
        <v>0</v>
      </c>
      <c r="H68" s="235"/>
      <c r="I68" s="66" t="s">
        <v>36</v>
      </c>
      <c r="J68" s="47" t="s">
        <v>5</v>
      </c>
      <c r="K68" s="67">
        <f>D62*1.1</f>
        <v>9.713000000000001</v>
      </c>
      <c r="L68" s="67">
        <v>1.2</v>
      </c>
      <c r="M68" s="68">
        <f t="shared" si="7"/>
        <v>11.655600000000002</v>
      </c>
      <c r="N68" s="180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  <c r="IH68" s="49"/>
      <c r="II68" s="49"/>
      <c r="IJ68" s="49"/>
      <c r="IK68" s="49"/>
      <c r="IL68" s="49"/>
      <c r="IM68" s="49"/>
      <c r="IN68" s="49"/>
      <c r="IO68" s="49"/>
      <c r="IP68" s="49"/>
      <c r="IQ68" s="49"/>
      <c r="IR68" s="49"/>
      <c r="IS68" s="49"/>
      <c r="IT68" s="49"/>
      <c r="IU68" s="49"/>
      <c r="IV68" s="49"/>
    </row>
    <row r="69" spans="1:256" ht="22.5" x14ac:dyDescent="0.25">
      <c r="A69" s="62"/>
      <c r="B69" s="69"/>
      <c r="C69" s="64"/>
      <c r="D69" s="68"/>
      <c r="E69" s="116"/>
      <c r="F69" s="116"/>
      <c r="G69" s="111">
        <f t="shared" si="6"/>
        <v>0</v>
      </c>
      <c r="H69" s="235"/>
      <c r="I69" s="66" t="s">
        <v>63</v>
      </c>
      <c r="J69" s="47" t="s">
        <v>2</v>
      </c>
      <c r="K69" s="67">
        <f>D62*0.4</f>
        <v>3.532</v>
      </c>
      <c r="L69" s="67">
        <v>30.96</v>
      </c>
      <c r="M69" s="68">
        <f t="shared" si="7"/>
        <v>109.35072000000001</v>
      </c>
      <c r="N69" s="180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  <c r="GD69" s="49"/>
      <c r="GE69" s="49"/>
      <c r="GF69" s="49"/>
      <c r="GG69" s="49"/>
      <c r="GH69" s="49"/>
      <c r="GI69" s="49"/>
      <c r="GJ69" s="49"/>
      <c r="GK69" s="49"/>
      <c r="GL69" s="49"/>
      <c r="GM69" s="49"/>
      <c r="GN69" s="49"/>
      <c r="GO69" s="49"/>
      <c r="GP69" s="49"/>
      <c r="GQ69" s="49"/>
      <c r="GR69" s="49"/>
      <c r="GS69" s="49"/>
      <c r="GT69" s="49"/>
      <c r="GU69" s="49"/>
      <c r="GV69" s="49"/>
      <c r="GW69" s="49"/>
      <c r="GX69" s="49"/>
      <c r="GY69" s="49"/>
      <c r="GZ69" s="49"/>
      <c r="HA69" s="49"/>
      <c r="HB69" s="49"/>
      <c r="HC69" s="49"/>
      <c r="HD69" s="49"/>
      <c r="HE69" s="49"/>
      <c r="HF69" s="49"/>
      <c r="HG69" s="49"/>
      <c r="HH69" s="49"/>
      <c r="HI69" s="49"/>
      <c r="HJ69" s="49"/>
      <c r="HK69" s="49"/>
      <c r="HL69" s="49"/>
      <c r="HM69" s="49"/>
      <c r="HN69" s="49"/>
      <c r="HO69" s="49"/>
      <c r="HP69" s="49"/>
      <c r="HQ69" s="49"/>
      <c r="HR69" s="49"/>
      <c r="HS69" s="49"/>
      <c r="HT69" s="49"/>
      <c r="HU69" s="49"/>
      <c r="HV69" s="49"/>
      <c r="HW69" s="49"/>
      <c r="HX69" s="49"/>
      <c r="HY69" s="49"/>
      <c r="HZ69" s="49"/>
      <c r="IA69" s="49"/>
      <c r="IB69" s="49"/>
      <c r="IC69" s="49"/>
      <c r="ID69" s="49"/>
      <c r="IE69" s="49"/>
      <c r="IF69" s="49"/>
      <c r="IG69" s="49"/>
      <c r="IH69" s="49"/>
      <c r="II69" s="49"/>
      <c r="IJ69" s="49"/>
      <c r="IK69" s="49"/>
      <c r="IL69" s="49"/>
      <c r="IM69" s="49"/>
      <c r="IN69" s="49"/>
      <c r="IO69" s="49"/>
      <c r="IP69" s="49"/>
      <c r="IQ69" s="49"/>
      <c r="IR69" s="49"/>
      <c r="IS69" s="49"/>
      <c r="IT69" s="49"/>
      <c r="IU69" s="49"/>
      <c r="IV69" s="49"/>
    </row>
    <row r="70" spans="1:256" ht="42" x14ac:dyDescent="0.25">
      <c r="A70" s="62">
        <v>2</v>
      </c>
      <c r="B70" s="69" t="s">
        <v>105</v>
      </c>
      <c r="C70" s="64" t="s">
        <v>0</v>
      </c>
      <c r="D70" s="68">
        <f>9.97+8.83</f>
        <v>18.8</v>
      </c>
      <c r="E70" s="116">
        <v>15</v>
      </c>
      <c r="F70" s="65">
        <v>8.3000000000000007</v>
      </c>
      <c r="G70" s="111">
        <f t="shared" si="6"/>
        <v>156.04000000000002</v>
      </c>
      <c r="H70" s="235">
        <f>E70*D70</f>
        <v>282</v>
      </c>
      <c r="I70" s="50" t="s">
        <v>8</v>
      </c>
      <c r="J70" s="47" t="s">
        <v>3</v>
      </c>
      <c r="K70" s="47">
        <f>0.3*D70</f>
        <v>5.64</v>
      </c>
      <c r="L70" s="67">
        <v>22.95</v>
      </c>
      <c r="M70" s="68">
        <f t="shared" si="7"/>
        <v>129.43799999999999</v>
      </c>
      <c r="N70" s="180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  <c r="GU70" s="49"/>
      <c r="GV70" s="49"/>
      <c r="GW70" s="49"/>
      <c r="GX70" s="49"/>
      <c r="GY70" s="49"/>
      <c r="GZ70" s="49"/>
      <c r="HA70" s="49"/>
      <c r="HB70" s="49"/>
      <c r="HC70" s="49"/>
      <c r="HD70" s="49"/>
      <c r="HE70" s="49"/>
      <c r="HF70" s="49"/>
      <c r="HG70" s="49"/>
      <c r="HH70" s="49"/>
      <c r="HI70" s="49"/>
      <c r="HJ70" s="49"/>
      <c r="HK70" s="49"/>
      <c r="HL70" s="49"/>
      <c r="HM70" s="49"/>
      <c r="HN70" s="49"/>
      <c r="HO70" s="49"/>
      <c r="HP70" s="49"/>
      <c r="HQ70" s="49"/>
      <c r="HR70" s="49"/>
      <c r="HS70" s="49"/>
      <c r="HT70" s="49"/>
      <c r="HU70" s="49"/>
      <c r="HV70" s="49"/>
      <c r="HW70" s="49"/>
      <c r="HX70" s="49"/>
      <c r="HY70" s="49"/>
      <c r="HZ70" s="49"/>
      <c r="IA70" s="49"/>
      <c r="IB70" s="49"/>
      <c r="IC70" s="49"/>
      <c r="ID70" s="49"/>
      <c r="IE70" s="49"/>
      <c r="IF70" s="49"/>
      <c r="IG70" s="49"/>
      <c r="IH70" s="49"/>
      <c r="II70" s="49"/>
      <c r="IJ70" s="49"/>
      <c r="IK70" s="49"/>
      <c r="IL70" s="49"/>
      <c r="IM70" s="49"/>
      <c r="IN70" s="49"/>
      <c r="IO70" s="49"/>
      <c r="IP70" s="49"/>
      <c r="IQ70" s="49"/>
      <c r="IR70" s="49"/>
      <c r="IS70" s="49"/>
      <c r="IT70" s="49"/>
      <c r="IU70" s="49"/>
      <c r="IV70" s="49"/>
    </row>
    <row r="71" spans="1:256" ht="22.5" x14ac:dyDescent="0.25">
      <c r="A71" s="62">
        <v>3</v>
      </c>
      <c r="B71" s="69" t="s">
        <v>100</v>
      </c>
      <c r="C71" s="64" t="s">
        <v>0</v>
      </c>
      <c r="D71" s="68">
        <f>9.97+8.83</f>
        <v>18.8</v>
      </c>
      <c r="E71" s="116">
        <v>90</v>
      </c>
      <c r="F71" s="65">
        <v>65</v>
      </c>
      <c r="G71" s="111">
        <f t="shared" si="6"/>
        <v>1222</v>
      </c>
      <c r="H71" s="235">
        <f>E71*D71</f>
        <v>1692</v>
      </c>
      <c r="I71" s="70" t="s">
        <v>23</v>
      </c>
      <c r="J71" s="71" t="s">
        <v>2</v>
      </c>
      <c r="K71" s="67">
        <f>1.2*2*D71</f>
        <v>45.12</v>
      </c>
      <c r="L71" s="67">
        <v>8.2100000000000009</v>
      </c>
      <c r="M71" s="68">
        <f t="shared" si="7"/>
        <v>370.43520000000001</v>
      </c>
      <c r="N71" s="180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/>
      <c r="HC71" s="49"/>
      <c r="HD71" s="49"/>
      <c r="HE71" s="49"/>
      <c r="HF71" s="49"/>
      <c r="HG71" s="49"/>
      <c r="HH71" s="49"/>
      <c r="HI71" s="49"/>
      <c r="HJ71" s="49"/>
      <c r="HK71" s="49"/>
      <c r="HL71" s="49"/>
      <c r="HM71" s="49"/>
      <c r="HN71" s="49"/>
      <c r="HO71" s="49"/>
      <c r="HP71" s="49"/>
      <c r="HQ71" s="49"/>
      <c r="HR71" s="49"/>
      <c r="HS71" s="49"/>
      <c r="HT71" s="49"/>
      <c r="HU71" s="49"/>
      <c r="HV71" s="49"/>
      <c r="HW71" s="49"/>
      <c r="HX71" s="49"/>
      <c r="HY71" s="49"/>
      <c r="HZ71" s="49"/>
      <c r="IA71" s="49"/>
      <c r="IB71" s="49"/>
      <c r="IC71" s="49"/>
      <c r="ID71" s="49"/>
      <c r="IE71" s="49"/>
      <c r="IF71" s="49"/>
      <c r="IG71" s="49"/>
      <c r="IH71" s="49"/>
      <c r="II71" s="49"/>
      <c r="IJ71" s="49"/>
      <c r="IK71" s="49"/>
      <c r="IL71" s="49"/>
      <c r="IM71" s="49"/>
      <c r="IN71" s="49"/>
      <c r="IO71" s="49"/>
      <c r="IP71" s="49"/>
      <c r="IQ71" s="49"/>
      <c r="IR71" s="49"/>
      <c r="IS71" s="49"/>
      <c r="IT71" s="49"/>
      <c r="IU71" s="49"/>
      <c r="IV71" s="49"/>
    </row>
    <row r="72" spans="1:256" ht="42" x14ac:dyDescent="0.25">
      <c r="A72" s="62">
        <v>4</v>
      </c>
      <c r="B72" s="69" t="s">
        <v>101</v>
      </c>
      <c r="C72" s="64" t="s">
        <v>0</v>
      </c>
      <c r="D72" s="68">
        <f>9.97+8.83</f>
        <v>18.8</v>
      </c>
      <c r="E72" s="116">
        <v>15</v>
      </c>
      <c r="F72" s="65">
        <v>8.3000000000000007</v>
      </c>
      <c r="G72" s="111">
        <f t="shared" si="6"/>
        <v>156.04000000000002</v>
      </c>
      <c r="H72" s="235">
        <f>E72*D72</f>
        <v>282</v>
      </c>
      <c r="I72" s="50" t="s">
        <v>8</v>
      </c>
      <c r="J72" s="47" t="s">
        <v>3</v>
      </c>
      <c r="K72" s="67">
        <f>D72*0.3</f>
        <v>5.64</v>
      </c>
      <c r="L72" s="67">
        <v>22.95</v>
      </c>
      <c r="M72" s="67">
        <f t="shared" si="7"/>
        <v>129.43799999999999</v>
      </c>
      <c r="N72" s="180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  <c r="GD72" s="49"/>
      <c r="GE72" s="49"/>
      <c r="GF72" s="49"/>
      <c r="GG72" s="49"/>
      <c r="GH72" s="49"/>
      <c r="GI72" s="49"/>
      <c r="GJ72" s="49"/>
      <c r="GK72" s="49"/>
      <c r="GL72" s="49"/>
      <c r="GM72" s="49"/>
      <c r="GN72" s="49"/>
      <c r="GO72" s="49"/>
      <c r="GP72" s="49"/>
      <c r="GQ72" s="49"/>
      <c r="GR72" s="49"/>
      <c r="GS72" s="49"/>
      <c r="GT72" s="49"/>
      <c r="GU72" s="49"/>
      <c r="GV72" s="49"/>
      <c r="GW72" s="49"/>
      <c r="GX72" s="49"/>
      <c r="GY72" s="49"/>
      <c r="GZ72" s="49"/>
      <c r="HA72" s="49"/>
      <c r="HB72" s="49"/>
      <c r="HC72" s="49"/>
      <c r="HD72" s="49"/>
      <c r="HE72" s="49"/>
      <c r="HF72" s="49"/>
      <c r="HG72" s="49"/>
      <c r="HH72" s="49"/>
      <c r="HI72" s="49"/>
      <c r="HJ72" s="49"/>
      <c r="HK72" s="49"/>
      <c r="HL72" s="49"/>
      <c r="HM72" s="49"/>
      <c r="HN72" s="49"/>
      <c r="HO72" s="49"/>
      <c r="HP72" s="49"/>
      <c r="HQ72" s="49"/>
      <c r="HR72" s="49"/>
      <c r="HS72" s="49"/>
      <c r="HT72" s="49"/>
      <c r="HU72" s="49"/>
      <c r="HV72" s="49"/>
      <c r="HW72" s="49"/>
      <c r="HX72" s="49"/>
      <c r="HY72" s="49"/>
      <c r="HZ72" s="49"/>
      <c r="IA72" s="49"/>
      <c r="IB72" s="49"/>
      <c r="IC72" s="49"/>
      <c r="ID72" s="49"/>
      <c r="IE72" s="49"/>
      <c r="IF72" s="49"/>
      <c r="IG72" s="49"/>
      <c r="IH72" s="49"/>
      <c r="II72" s="49"/>
      <c r="IJ72" s="49"/>
      <c r="IK72" s="49"/>
      <c r="IL72" s="49"/>
      <c r="IM72" s="49"/>
      <c r="IN72" s="49"/>
      <c r="IO72" s="49"/>
      <c r="IP72" s="49"/>
      <c r="IQ72" s="49"/>
      <c r="IR72" s="49"/>
      <c r="IS72" s="49"/>
      <c r="IT72" s="49"/>
      <c r="IU72" s="49"/>
      <c r="IV72" s="49"/>
    </row>
    <row r="73" spans="1:256" ht="42" x14ac:dyDescent="0.25">
      <c r="A73" s="62">
        <v>5</v>
      </c>
      <c r="B73" s="69" t="s">
        <v>102</v>
      </c>
      <c r="C73" s="64" t="s">
        <v>0</v>
      </c>
      <c r="D73" s="68">
        <f>9.97+8.83</f>
        <v>18.8</v>
      </c>
      <c r="E73" s="116">
        <v>90</v>
      </c>
      <c r="F73" s="65">
        <v>70</v>
      </c>
      <c r="G73" s="111">
        <f t="shared" si="6"/>
        <v>1316</v>
      </c>
      <c r="H73" s="235">
        <f>E73*D73</f>
        <v>1692</v>
      </c>
      <c r="I73" s="50" t="s">
        <v>73</v>
      </c>
      <c r="J73" s="47" t="s">
        <v>0</v>
      </c>
      <c r="K73" s="47">
        <f>D73*1.05</f>
        <v>19.740000000000002</v>
      </c>
      <c r="L73" s="45">
        <v>13.5</v>
      </c>
      <c r="M73" s="67">
        <f t="shared" si="7"/>
        <v>266.49</v>
      </c>
      <c r="N73" s="180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  <c r="DT73" s="49"/>
      <c r="DU73" s="49"/>
      <c r="DV73" s="49"/>
      <c r="DW73" s="49"/>
      <c r="DX73" s="49"/>
      <c r="DY73" s="49"/>
      <c r="DZ73" s="49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49"/>
      <c r="EY73" s="49"/>
      <c r="EZ73" s="49"/>
      <c r="FA73" s="49"/>
      <c r="FB73" s="49"/>
      <c r="FC73" s="49"/>
      <c r="FD73" s="49"/>
      <c r="FE73" s="49"/>
      <c r="FF73" s="49"/>
      <c r="FG73" s="49"/>
      <c r="FH73" s="49"/>
      <c r="FI73" s="49"/>
      <c r="FJ73" s="49"/>
      <c r="FK73" s="49"/>
      <c r="FL73" s="49"/>
      <c r="FM73" s="49"/>
      <c r="FN73" s="49"/>
      <c r="FO73" s="49"/>
      <c r="FP73" s="49"/>
      <c r="FQ73" s="49"/>
      <c r="FR73" s="49"/>
      <c r="FS73" s="49"/>
      <c r="FT73" s="49"/>
      <c r="FU73" s="49"/>
      <c r="FV73" s="49"/>
      <c r="FW73" s="49"/>
      <c r="FX73" s="49"/>
      <c r="FY73" s="49"/>
      <c r="FZ73" s="49"/>
      <c r="GA73" s="49"/>
      <c r="GB73" s="49"/>
      <c r="GC73" s="49"/>
      <c r="GD73" s="49"/>
      <c r="GE73" s="49"/>
      <c r="GF73" s="49"/>
      <c r="GG73" s="49"/>
      <c r="GH73" s="49"/>
      <c r="GI73" s="49"/>
      <c r="GJ73" s="49"/>
      <c r="GK73" s="49"/>
      <c r="GL73" s="49"/>
      <c r="GM73" s="49"/>
      <c r="GN73" s="49"/>
      <c r="GO73" s="49"/>
      <c r="GP73" s="49"/>
      <c r="GQ73" s="49"/>
      <c r="GR73" s="49"/>
      <c r="GS73" s="49"/>
      <c r="GT73" s="49"/>
      <c r="GU73" s="49"/>
      <c r="GV73" s="49"/>
      <c r="GW73" s="49"/>
      <c r="GX73" s="49"/>
      <c r="GY73" s="49"/>
      <c r="GZ73" s="49"/>
      <c r="HA73" s="49"/>
      <c r="HB73" s="49"/>
      <c r="HC73" s="49"/>
      <c r="HD73" s="49"/>
      <c r="HE73" s="49"/>
      <c r="HF73" s="49"/>
      <c r="HG73" s="49"/>
      <c r="HH73" s="49"/>
      <c r="HI73" s="49"/>
      <c r="HJ73" s="49"/>
      <c r="HK73" s="49"/>
      <c r="HL73" s="49"/>
      <c r="HM73" s="49"/>
      <c r="HN73" s="49"/>
      <c r="HO73" s="49"/>
      <c r="HP73" s="49"/>
      <c r="HQ73" s="49"/>
      <c r="HR73" s="49"/>
      <c r="HS73" s="49"/>
      <c r="HT73" s="49"/>
      <c r="HU73" s="49"/>
      <c r="HV73" s="49"/>
      <c r="HW73" s="49"/>
      <c r="HX73" s="49"/>
      <c r="HY73" s="49"/>
      <c r="HZ73" s="49"/>
      <c r="IA73" s="49"/>
      <c r="IB73" s="49"/>
      <c r="IC73" s="49"/>
      <c r="ID73" s="49"/>
      <c r="IE73" s="49"/>
      <c r="IF73" s="49"/>
      <c r="IG73" s="49"/>
      <c r="IH73" s="49"/>
      <c r="II73" s="49"/>
      <c r="IJ73" s="49"/>
      <c r="IK73" s="49"/>
      <c r="IL73" s="49"/>
      <c r="IM73" s="49"/>
      <c r="IN73" s="49"/>
      <c r="IO73" s="49"/>
      <c r="IP73" s="49"/>
      <c r="IQ73" s="49"/>
      <c r="IR73" s="49"/>
      <c r="IS73" s="49"/>
      <c r="IT73" s="49"/>
      <c r="IU73" s="49"/>
      <c r="IV73" s="49"/>
    </row>
    <row r="74" spans="1:256" ht="22.5" x14ac:dyDescent="0.25">
      <c r="A74" s="62"/>
      <c r="B74" s="69"/>
      <c r="C74" s="64"/>
      <c r="D74" s="68"/>
      <c r="E74" s="116"/>
      <c r="F74" s="65"/>
      <c r="G74" s="111">
        <f t="shared" si="6"/>
        <v>0</v>
      </c>
      <c r="H74" s="235"/>
      <c r="I74" s="50" t="s">
        <v>133</v>
      </c>
      <c r="J74" s="47" t="s">
        <v>2</v>
      </c>
      <c r="K74" s="126">
        <f>D73*0.3</f>
        <v>5.64</v>
      </c>
      <c r="L74" s="45">
        <v>61.33</v>
      </c>
      <c r="M74" s="67">
        <f t="shared" si="7"/>
        <v>345.90119999999996</v>
      </c>
      <c r="N74" s="180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49"/>
      <c r="FV74" s="49"/>
      <c r="FW74" s="49"/>
      <c r="FX74" s="49"/>
      <c r="FY74" s="49"/>
      <c r="FZ74" s="49"/>
      <c r="GA74" s="49"/>
      <c r="GB74" s="49"/>
      <c r="GC74" s="49"/>
      <c r="GD74" s="49"/>
      <c r="GE74" s="49"/>
      <c r="GF74" s="49"/>
      <c r="GG74" s="49"/>
      <c r="GH74" s="49"/>
      <c r="GI74" s="49"/>
      <c r="GJ74" s="49"/>
      <c r="GK74" s="49"/>
      <c r="GL74" s="49"/>
      <c r="GM74" s="49"/>
      <c r="GN74" s="49"/>
      <c r="GO74" s="49"/>
      <c r="GP74" s="49"/>
      <c r="GQ74" s="49"/>
      <c r="GR74" s="49"/>
      <c r="GS74" s="49"/>
      <c r="GT74" s="49"/>
      <c r="GU74" s="49"/>
      <c r="GV74" s="49"/>
      <c r="GW74" s="49"/>
      <c r="GX74" s="49"/>
      <c r="GY74" s="49"/>
      <c r="GZ74" s="49"/>
      <c r="HA74" s="49"/>
      <c r="HB74" s="49"/>
      <c r="HC74" s="49"/>
      <c r="HD74" s="49"/>
      <c r="HE74" s="49"/>
      <c r="HF74" s="49"/>
      <c r="HG74" s="49"/>
      <c r="HH74" s="49"/>
      <c r="HI74" s="49"/>
      <c r="HJ74" s="49"/>
      <c r="HK74" s="49"/>
      <c r="HL74" s="49"/>
      <c r="HM74" s="49"/>
      <c r="HN74" s="49"/>
      <c r="HO74" s="49"/>
      <c r="HP74" s="49"/>
      <c r="HQ74" s="49"/>
      <c r="HR74" s="49"/>
      <c r="HS74" s="49"/>
      <c r="HT74" s="49"/>
      <c r="HU74" s="49"/>
      <c r="HV74" s="49"/>
      <c r="HW74" s="49"/>
      <c r="HX74" s="49"/>
      <c r="HY74" s="49"/>
      <c r="HZ74" s="49"/>
      <c r="IA74" s="49"/>
      <c r="IB74" s="49"/>
      <c r="IC74" s="49"/>
      <c r="ID74" s="49"/>
      <c r="IE74" s="49"/>
      <c r="IF74" s="49"/>
      <c r="IG74" s="49"/>
      <c r="IH74" s="49"/>
      <c r="II74" s="49"/>
      <c r="IJ74" s="49"/>
      <c r="IK74" s="49"/>
      <c r="IL74" s="49"/>
      <c r="IM74" s="49"/>
      <c r="IN74" s="49"/>
      <c r="IO74" s="49"/>
      <c r="IP74" s="49"/>
      <c r="IQ74" s="49"/>
      <c r="IR74" s="49"/>
      <c r="IS74" s="49"/>
      <c r="IT74" s="49"/>
      <c r="IU74" s="49"/>
      <c r="IV74" s="49"/>
    </row>
    <row r="75" spans="1:256" ht="25.5" x14ac:dyDescent="0.25">
      <c r="A75" s="41">
        <v>7</v>
      </c>
      <c r="B75" s="42" t="s">
        <v>104</v>
      </c>
      <c r="C75" s="43" t="s">
        <v>0</v>
      </c>
      <c r="D75" s="68">
        <f>9.97+8.83</f>
        <v>18.8</v>
      </c>
      <c r="E75" s="136">
        <v>140</v>
      </c>
      <c r="F75" s="67">
        <v>90</v>
      </c>
      <c r="G75" s="111">
        <f t="shared" si="6"/>
        <v>1692</v>
      </c>
      <c r="H75" s="230">
        <f>E75*D75</f>
        <v>2632</v>
      </c>
      <c r="I75" s="113" t="s">
        <v>74</v>
      </c>
      <c r="J75" s="67" t="s">
        <v>2</v>
      </c>
      <c r="K75" s="67">
        <f>D75*0.6*2</f>
        <v>22.56</v>
      </c>
      <c r="L75" s="67">
        <v>19.329999999999998</v>
      </c>
      <c r="M75" s="67">
        <f t="shared" si="7"/>
        <v>436.08479999999992</v>
      </c>
      <c r="N75" s="170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  <c r="IT75" s="33"/>
      <c r="IU75" s="33"/>
      <c r="IV75" s="33"/>
    </row>
    <row r="76" spans="1:256" ht="42" x14ac:dyDescent="0.25">
      <c r="A76" s="62">
        <v>6</v>
      </c>
      <c r="B76" s="69" t="s">
        <v>59</v>
      </c>
      <c r="C76" s="64" t="s">
        <v>0</v>
      </c>
      <c r="D76" s="68">
        <f>9.97+8.83</f>
        <v>18.8</v>
      </c>
      <c r="E76" s="116">
        <v>15</v>
      </c>
      <c r="F76" s="65">
        <v>8.3000000000000007</v>
      </c>
      <c r="G76" s="111">
        <f t="shared" si="6"/>
        <v>156.04000000000002</v>
      </c>
      <c r="H76" s="235">
        <f>E76*D76</f>
        <v>282</v>
      </c>
      <c r="I76" s="46" t="s">
        <v>8</v>
      </c>
      <c r="J76" s="47" t="s">
        <v>3</v>
      </c>
      <c r="K76" s="47">
        <f>0.3*D76</f>
        <v>5.64</v>
      </c>
      <c r="L76" s="67">
        <v>22.95</v>
      </c>
      <c r="M76" s="68">
        <f t="shared" si="7"/>
        <v>129.43799999999999</v>
      </c>
      <c r="N76" s="180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49"/>
      <c r="GN76" s="49"/>
      <c r="GO76" s="49"/>
      <c r="GP76" s="49"/>
      <c r="GQ76" s="49"/>
      <c r="GR76" s="49"/>
      <c r="GS76" s="49"/>
      <c r="GT76" s="49"/>
      <c r="GU76" s="49"/>
      <c r="GV76" s="49"/>
      <c r="GW76" s="49"/>
      <c r="GX76" s="49"/>
      <c r="GY76" s="49"/>
      <c r="GZ76" s="49"/>
      <c r="HA76" s="49"/>
      <c r="HB76" s="49"/>
      <c r="HC76" s="49"/>
      <c r="HD76" s="49"/>
      <c r="HE76" s="49"/>
      <c r="HF76" s="49"/>
      <c r="HG76" s="49"/>
      <c r="HH76" s="49"/>
      <c r="HI76" s="49"/>
      <c r="HJ76" s="49"/>
      <c r="HK76" s="49"/>
      <c r="HL76" s="49"/>
      <c r="HM76" s="49"/>
      <c r="HN76" s="49"/>
      <c r="HO76" s="49"/>
      <c r="HP76" s="49"/>
      <c r="HQ76" s="49"/>
      <c r="HR76" s="49"/>
      <c r="HS76" s="49"/>
      <c r="HT76" s="49"/>
      <c r="HU76" s="49"/>
      <c r="HV76" s="49"/>
      <c r="HW76" s="49"/>
      <c r="HX76" s="49"/>
      <c r="HY76" s="49"/>
      <c r="HZ76" s="49"/>
      <c r="IA76" s="49"/>
      <c r="IB76" s="49"/>
      <c r="IC76" s="49"/>
      <c r="ID76" s="49"/>
      <c r="IE76" s="49"/>
      <c r="IF76" s="49"/>
      <c r="IG76" s="49"/>
      <c r="IH76" s="49"/>
      <c r="II76" s="49"/>
      <c r="IJ76" s="49"/>
      <c r="IK76" s="49"/>
      <c r="IL76" s="49"/>
      <c r="IM76" s="49"/>
      <c r="IN76" s="49"/>
      <c r="IO76" s="49"/>
      <c r="IP76" s="49"/>
      <c r="IQ76" s="49"/>
      <c r="IR76" s="49"/>
      <c r="IS76" s="49"/>
      <c r="IT76" s="49"/>
      <c r="IU76" s="49"/>
      <c r="IV76" s="49"/>
    </row>
    <row r="77" spans="1:256" ht="42" x14ac:dyDescent="0.25">
      <c r="A77" s="62">
        <v>7</v>
      </c>
      <c r="B77" s="69" t="s">
        <v>37</v>
      </c>
      <c r="C77" s="64" t="s">
        <v>0</v>
      </c>
      <c r="D77" s="68">
        <f>9.97+8.83</f>
        <v>18.8</v>
      </c>
      <c r="E77" s="116">
        <v>65</v>
      </c>
      <c r="F77" s="65">
        <v>60</v>
      </c>
      <c r="G77" s="111">
        <f t="shared" si="6"/>
        <v>1128</v>
      </c>
      <c r="H77" s="235">
        <f>E77*D77</f>
        <v>1222</v>
      </c>
      <c r="I77" s="112" t="s">
        <v>134</v>
      </c>
      <c r="J77" s="67" t="s">
        <v>3</v>
      </c>
      <c r="K77" s="67">
        <f>0.15*D77*2</f>
        <v>5.64</v>
      </c>
      <c r="L77" s="107">
        <v>120</v>
      </c>
      <c r="M77" s="107">
        <f t="shared" si="7"/>
        <v>676.8</v>
      </c>
      <c r="N77" s="171" t="s">
        <v>103</v>
      </c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49"/>
      <c r="HI77" s="49"/>
      <c r="HJ77" s="49"/>
      <c r="HK77" s="49"/>
      <c r="HL77" s="49"/>
      <c r="HM77" s="49"/>
      <c r="HN77" s="49"/>
      <c r="HO77" s="49"/>
      <c r="HP77" s="49"/>
      <c r="HQ77" s="49"/>
      <c r="HR77" s="49"/>
      <c r="HS77" s="49"/>
      <c r="HT77" s="49"/>
      <c r="HU77" s="49"/>
      <c r="HV77" s="49"/>
      <c r="HW77" s="49"/>
      <c r="HX77" s="49"/>
      <c r="HY77" s="49"/>
      <c r="HZ77" s="49"/>
      <c r="IA77" s="49"/>
      <c r="IB77" s="49"/>
      <c r="IC77" s="49"/>
      <c r="ID77" s="49"/>
      <c r="IE77" s="49"/>
      <c r="IF77" s="49"/>
      <c r="IG77" s="49"/>
      <c r="IH77" s="49"/>
      <c r="II77" s="49"/>
      <c r="IJ77" s="49"/>
      <c r="IK77" s="49"/>
      <c r="IL77" s="49"/>
      <c r="IM77" s="49"/>
      <c r="IN77" s="49"/>
      <c r="IO77" s="49"/>
      <c r="IP77" s="49"/>
      <c r="IQ77" s="49"/>
      <c r="IR77" s="49"/>
      <c r="IS77" s="49"/>
      <c r="IT77" s="49"/>
      <c r="IU77" s="49"/>
      <c r="IV77" s="49"/>
    </row>
    <row r="78" spans="1:256" ht="42" x14ac:dyDescent="0.25">
      <c r="A78" s="144"/>
      <c r="B78" s="145" t="s">
        <v>60</v>
      </c>
      <c r="C78" s="145"/>
      <c r="D78" s="67"/>
      <c r="E78" s="203"/>
      <c r="F78" s="45"/>
      <c r="G78" s="111">
        <f t="shared" si="6"/>
        <v>0</v>
      </c>
      <c r="H78" s="234"/>
      <c r="I78" s="145"/>
      <c r="J78" s="47"/>
      <c r="K78" s="134"/>
      <c r="L78" s="45"/>
      <c r="M78" s="45"/>
      <c r="N78" s="16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  <c r="IT78" s="33"/>
      <c r="IU78" s="33"/>
      <c r="IV78" s="33"/>
    </row>
    <row r="79" spans="1:256" ht="63" x14ac:dyDescent="0.25">
      <c r="A79" s="62">
        <v>8</v>
      </c>
      <c r="B79" s="63" t="s">
        <v>55</v>
      </c>
      <c r="C79" s="64" t="s">
        <v>62</v>
      </c>
      <c r="D79" s="68">
        <f>1.3*2</f>
        <v>2.6</v>
      </c>
      <c r="E79" s="116">
        <v>360</v>
      </c>
      <c r="F79" s="65">
        <v>150</v>
      </c>
      <c r="G79" s="111">
        <f t="shared" si="6"/>
        <v>390</v>
      </c>
      <c r="H79" s="235">
        <f>E79*D79</f>
        <v>936</v>
      </c>
      <c r="I79" s="66" t="s">
        <v>29</v>
      </c>
      <c r="J79" s="44" t="s">
        <v>0</v>
      </c>
      <c r="K79" s="67">
        <f>0.25*2.6*1.2</f>
        <v>0.78</v>
      </c>
      <c r="L79" s="67">
        <v>48.2</v>
      </c>
      <c r="M79" s="68">
        <f>L79*K79</f>
        <v>37.596000000000004</v>
      </c>
      <c r="N79" s="169"/>
      <c r="O79" s="33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49"/>
      <c r="HK79" s="49"/>
      <c r="HL79" s="49"/>
      <c r="HM79" s="49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49"/>
      <c r="HY79" s="49"/>
      <c r="HZ79" s="49"/>
      <c r="IA79" s="49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49"/>
      <c r="IM79" s="49"/>
      <c r="IN79" s="49"/>
      <c r="IO79" s="49"/>
      <c r="IP79" s="49"/>
      <c r="IQ79" s="49"/>
      <c r="IR79" s="49"/>
      <c r="IS79" s="49"/>
      <c r="IT79" s="49"/>
      <c r="IU79" s="49"/>
      <c r="IV79" s="49"/>
    </row>
    <row r="80" spans="1:256" ht="25.5" x14ac:dyDescent="0.25">
      <c r="A80" s="62"/>
      <c r="B80" s="69"/>
      <c r="C80" s="64"/>
      <c r="D80" s="68"/>
      <c r="E80" s="116"/>
      <c r="F80" s="65"/>
      <c r="G80" s="111">
        <f t="shared" si="6"/>
        <v>0</v>
      </c>
      <c r="H80" s="235"/>
      <c r="I80" s="66" t="s">
        <v>31</v>
      </c>
      <c r="J80" s="47" t="s">
        <v>5</v>
      </c>
      <c r="K80" s="67">
        <f>D79*2*1.1</f>
        <v>5.7200000000000006</v>
      </c>
      <c r="L80" s="67">
        <v>14.22</v>
      </c>
      <c r="M80" s="68">
        <f t="shared" ref="M80:M94" si="8">L80*K80</f>
        <v>81.338400000000007</v>
      </c>
      <c r="N80" s="169"/>
      <c r="O80" s="33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  <c r="HR80" s="49"/>
      <c r="HS80" s="49"/>
      <c r="HT80" s="49"/>
      <c r="HU80" s="49"/>
      <c r="HV80" s="49"/>
      <c r="HW80" s="49"/>
      <c r="HX80" s="49"/>
      <c r="HY80" s="49"/>
      <c r="HZ80" s="49"/>
      <c r="IA80" s="49"/>
      <c r="IB80" s="49"/>
      <c r="IC80" s="49"/>
      <c r="ID80" s="49"/>
      <c r="IE80" s="49"/>
      <c r="IF80" s="49"/>
      <c r="IG80" s="49"/>
      <c r="IH80" s="49"/>
      <c r="II80" s="49"/>
      <c r="IJ80" s="49"/>
      <c r="IK80" s="49"/>
      <c r="IL80" s="49"/>
      <c r="IM80" s="49"/>
      <c r="IN80" s="49"/>
      <c r="IO80" s="49"/>
      <c r="IP80" s="49"/>
      <c r="IQ80" s="49"/>
      <c r="IR80" s="49"/>
      <c r="IS80" s="49"/>
      <c r="IT80" s="49"/>
      <c r="IU80" s="49"/>
      <c r="IV80" s="49"/>
    </row>
    <row r="81" spans="1:256" ht="25.5" x14ac:dyDescent="0.25">
      <c r="A81" s="62"/>
      <c r="B81" s="69"/>
      <c r="C81" s="64"/>
      <c r="D81" s="68"/>
      <c r="E81" s="116"/>
      <c r="F81" s="65"/>
      <c r="G81" s="111">
        <f t="shared" si="6"/>
        <v>0</v>
      </c>
      <c r="H81" s="235"/>
      <c r="I81" s="92" t="s">
        <v>33</v>
      </c>
      <c r="J81" s="71" t="s">
        <v>7</v>
      </c>
      <c r="K81" s="67">
        <f>D79*20</f>
        <v>52</v>
      </c>
      <c r="L81" s="124">
        <v>0.19</v>
      </c>
      <c r="M81" s="68">
        <f t="shared" si="8"/>
        <v>9.8800000000000008</v>
      </c>
      <c r="N81" s="181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49"/>
      <c r="EX81" s="49"/>
      <c r="EY81" s="49"/>
      <c r="EZ81" s="49"/>
      <c r="FA81" s="49"/>
      <c r="FB81" s="49"/>
      <c r="FC81" s="49"/>
      <c r="FD81" s="49"/>
      <c r="FE81" s="49"/>
      <c r="FF81" s="49"/>
      <c r="FG81" s="49"/>
      <c r="FH81" s="49"/>
      <c r="FI81" s="49"/>
      <c r="FJ81" s="49"/>
      <c r="FK81" s="49"/>
      <c r="FL81" s="49"/>
      <c r="FM81" s="49"/>
      <c r="FN81" s="49"/>
      <c r="FO81" s="49"/>
      <c r="FP81" s="49"/>
      <c r="FQ81" s="49"/>
      <c r="FR81" s="49"/>
      <c r="FS81" s="49"/>
      <c r="FT81" s="49"/>
      <c r="FU81" s="49"/>
      <c r="FV81" s="49"/>
      <c r="FW81" s="49"/>
      <c r="FX81" s="49"/>
      <c r="FY81" s="49"/>
      <c r="FZ81" s="49"/>
      <c r="GA81" s="49"/>
      <c r="GB81" s="49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  <c r="GU81" s="49"/>
      <c r="GV81" s="49"/>
      <c r="GW81" s="49"/>
      <c r="GX81" s="49"/>
      <c r="GY81" s="49"/>
      <c r="GZ81" s="49"/>
      <c r="HA81" s="49"/>
      <c r="HB81" s="49"/>
      <c r="HC81" s="49"/>
      <c r="HD81" s="49"/>
      <c r="HE81" s="49"/>
      <c r="HF81" s="49"/>
      <c r="HG81" s="49"/>
      <c r="HH81" s="49"/>
      <c r="HI81" s="49"/>
      <c r="HJ81" s="49"/>
      <c r="HK81" s="49"/>
      <c r="HL81" s="49"/>
      <c r="HM81" s="49"/>
      <c r="HN81" s="49"/>
      <c r="HO81" s="49"/>
      <c r="HP81" s="49"/>
      <c r="HQ81" s="49"/>
      <c r="HR81" s="49"/>
      <c r="HS81" s="49"/>
      <c r="HT81" s="49"/>
      <c r="HU81" s="49"/>
      <c r="HV81" s="49"/>
      <c r="HW81" s="49"/>
      <c r="HX81" s="49"/>
      <c r="HY81" s="49"/>
      <c r="HZ81" s="49"/>
      <c r="IA81" s="49"/>
      <c r="IB81" s="49"/>
      <c r="IC81" s="49"/>
      <c r="ID81" s="49"/>
      <c r="IE81" s="49"/>
      <c r="IF81" s="49"/>
      <c r="IG81" s="49"/>
      <c r="IH81" s="49"/>
      <c r="II81" s="49"/>
      <c r="IJ81" s="49"/>
      <c r="IK81" s="49"/>
      <c r="IL81" s="49"/>
      <c r="IM81" s="49"/>
      <c r="IN81" s="49"/>
      <c r="IO81" s="49"/>
      <c r="IP81" s="49"/>
      <c r="IQ81" s="49"/>
      <c r="IR81" s="49"/>
      <c r="IS81" s="49"/>
      <c r="IT81" s="49"/>
      <c r="IU81" s="49"/>
      <c r="IV81" s="49"/>
    </row>
    <row r="82" spans="1:256" ht="25.5" x14ac:dyDescent="0.25">
      <c r="A82" s="62"/>
      <c r="B82" s="69"/>
      <c r="C82" s="64"/>
      <c r="D82" s="68"/>
      <c r="E82" s="116"/>
      <c r="F82" s="65"/>
      <c r="G82" s="111">
        <f t="shared" si="6"/>
        <v>0</v>
      </c>
      <c r="H82" s="235"/>
      <c r="I82" s="73" t="s">
        <v>34</v>
      </c>
      <c r="J82" s="71" t="s">
        <v>7</v>
      </c>
      <c r="K82" s="67">
        <f>D79*7</f>
        <v>18.2</v>
      </c>
      <c r="L82" s="124">
        <v>2.7</v>
      </c>
      <c r="M82" s="68">
        <f t="shared" si="8"/>
        <v>49.14</v>
      </c>
      <c r="N82" s="181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49"/>
      <c r="GX82" s="49"/>
      <c r="GY82" s="49"/>
      <c r="GZ82" s="49"/>
      <c r="HA82" s="49"/>
      <c r="HB82" s="49"/>
      <c r="HC82" s="49"/>
      <c r="HD82" s="49"/>
      <c r="HE82" s="49"/>
      <c r="HF82" s="49"/>
      <c r="HG82" s="49"/>
      <c r="HH82" s="49"/>
      <c r="HI82" s="49"/>
      <c r="HJ82" s="49"/>
      <c r="HK82" s="49"/>
      <c r="HL82" s="49"/>
      <c r="HM82" s="49"/>
      <c r="HN82" s="49"/>
      <c r="HO82" s="49"/>
      <c r="HP82" s="49"/>
      <c r="HQ82" s="49"/>
      <c r="HR82" s="49"/>
      <c r="HS82" s="49"/>
      <c r="HT82" s="49"/>
      <c r="HU82" s="49"/>
      <c r="HV82" s="49"/>
      <c r="HW82" s="49"/>
      <c r="HX82" s="49"/>
      <c r="HY82" s="49"/>
      <c r="HZ82" s="49"/>
      <c r="IA82" s="49"/>
      <c r="IB82" s="49"/>
      <c r="IC82" s="49"/>
      <c r="ID82" s="49"/>
      <c r="IE82" s="49"/>
      <c r="IF82" s="49"/>
      <c r="IG82" s="49"/>
      <c r="IH82" s="49"/>
      <c r="II82" s="49"/>
      <c r="IJ82" s="49"/>
      <c r="IK82" s="49"/>
      <c r="IL82" s="49"/>
      <c r="IM82" s="49"/>
      <c r="IN82" s="49"/>
      <c r="IO82" s="49"/>
      <c r="IP82" s="49"/>
      <c r="IQ82" s="49"/>
      <c r="IR82" s="49"/>
      <c r="IS82" s="49"/>
      <c r="IT82" s="49"/>
      <c r="IU82" s="49"/>
      <c r="IV82" s="49"/>
    </row>
    <row r="83" spans="1:256" ht="22.5" x14ac:dyDescent="0.25">
      <c r="A83" s="62"/>
      <c r="B83" s="69"/>
      <c r="C83" s="64"/>
      <c r="D83" s="68"/>
      <c r="E83" s="116"/>
      <c r="F83" s="65"/>
      <c r="G83" s="111">
        <f t="shared" si="6"/>
        <v>0</v>
      </c>
      <c r="H83" s="235"/>
      <c r="I83" s="66" t="s">
        <v>36</v>
      </c>
      <c r="J83" s="47" t="s">
        <v>5</v>
      </c>
      <c r="K83" s="67">
        <f>D79*1.1</f>
        <v>2.8600000000000003</v>
      </c>
      <c r="L83" s="67">
        <v>1.2</v>
      </c>
      <c r="M83" s="68">
        <f t="shared" si="8"/>
        <v>3.4320000000000004</v>
      </c>
      <c r="N83" s="180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  <c r="DR83" s="49"/>
      <c r="DS83" s="49"/>
      <c r="DT83" s="49"/>
      <c r="DU83" s="49"/>
      <c r="DV83" s="49"/>
      <c r="DW83" s="49"/>
      <c r="DX83" s="49"/>
      <c r="DY83" s="49"/>
      <c r="DZ83" s="49"/>
      <c r="EA83" s="49"/>
      <c r="EB83" s="49"/>
      <c r="EC83" s="49"/>
      <c r="ED83" s="49"/>
      <c r="EE83" s="49"/>
      <c r="EF83" s="49"/>
      <c r="EG83" s="49"/>
      <c r="EH83" s="49"/>
      <c r="EI83" s="49"/>
      <c r="EJ83" s="49"/>
      <c r="EK83" s="49"/>
      <c r="EL83" s="49"/>
      <c r="EM83" s="49"/>
      <c r="EN83" s="49"/>
      <c r="EO83" s="49"/>
      <c r="EP83" s="49"/>
      <c r="EQ83" s="49"/>
      <c r="ER83" s="49"/>
      <c r="ES83" s="49"/>
      <c r="ET83" s="49"/>
      <c r="EU83" s="49"/>
      <c r="EV83" s="49"/>
      <c r="EW83" s="49"/>
      <c r="EX83" s="49"/>
      <c r="EY83" s="49"/>
      <c r="EZ83" s="49"/>
      <c r="FA83" s="49"/>
      <c r="FB83" s="49"/>
      <c r="FC83" s="49"/>
      <c r="FD83" s="49"/>
      <c r="FE83" s="49"/>
      <c r="FF83" s="49"/>
      <c r="FG83" s="49"/>
      <c r="FH83" s="49"/>
      <c r="FI83" s="49"/>
      <c r="FJ83" s="49"/>
      <c r="FK83" s="49"/>
      <c r="FL83" s="49"/>
      <c r="FM83" s="49"/>
      <c r="FN83" s="49"/>
      <c r="FO83" s="49"/>
      <c r="FP83" s="49"/>
      <c r="FQ83" s="49"/>
      <c r="FR83" s="49"/>
      <c r="FS83" s="49"/>
      <c r="FT83" s="49"/>
      <c r="FU83" s="49"/>
      <c r="FV83" s="49"/>
      <c r="FW83" s="49"/>
      <c r="FX83" s="49"/>
      <c r="FY83" s="49"/>
      <c r="FZ83" s="49"/>
      <c r="GA83" s="49"/>
      <c r="GB83" s="49"/>
      <c r="GC83" s="49"/>
      <c r="GD83" s="49"/>
      <c r="GE83" s="49"/>
      <c r="GF83" s="49"/>
      <c r="GG83" s="49"/>
      <c r="GH83" s="49"/>
      <c r="GI83" s="49"/>
      <c r="GJ83" s="49"/>
      <c r="GK83" s="49"/>
      <c r="GL83" s="49"/>
      <c r="GM83" s="49"/>
      <c r="GN83" s="49"/>
      <c r="GO83" s="49"/>
      <c r="GP83" s="49"/>
      <c r="GQ83" s="49"/>
      <c r="GR83" s="49"/>
      <c r="GS83" s="49"/>
      <c r="GT83" s="49"/>
      <c r="GU83" s="49"/>
      <c r="GV83" s="49"/>
      <c r="GW83" s="49"/>
      <c r="GX83" s="49"/>
      <c r="GY83" s="49"/>
      <c r="GZ83" s="49"/>
      <c r="HA83" s="49"/>
      <c r="HB83" s="49"/>
      <c r="HC83" s="49"/>
      <c r="HD83" s="49"/>
      <c r="HE83" s="49"/>
      <c r="HF83" s="49"/>
      <c r="HG83" s="49"/>
      <c r="HH83" s="49"/>
      <c r="HI83" s="49"/>
      <c r="HJ83" s="49"/>
      <c r="HK83" s="49"/>
      <c r="HL83" s="49"/>
      <c r="HM83" s="49"/>
      <c r="HN83" s="49"/>
      <c r="HO83" s="49"/>
      <c r="HP83" s="49"/>
      <c r="HQ83" s="49"/>
      <c r="HR83" s="49"/>
      <c r="HS83" s="49"/>
      <c r="HT83" s="49"/>
      <c r="HU83" s="49"/>
      <c r="HV83" s="49"/>
      <c r="HW83" s="49"/>
      <c r="HX83" s="49"/>
      <c r="HY83" s="49"/>
      <c r="HZ83" s="49"/>
      <c r="IA83" s="49"/>
      <c r="IB83" s="49"/>
      <c r="IC83" s="49"/>
      <c r="ID83" s="49"/>
      <c r="IE83" s="49"/>
      <c r="IF83" s="49"/>
      <c r="IG83" s="49"/>
      <c r="IH83" s="49"/>
      <c r="II83" s="49"/>
      <c r="IJ83" s="49"/>
      <c r="IK83" s="49"/>
      <c r="IL83" s="49"/>
      <c r="IM83" s="49"/>
      <c r="IN83" s="49"/>
      <c r="IO83" s="49"/>
      <c r="IP83" s="49"/>
      <c r="IQ83" s="49"/>
      <c r="IR83" s="49"/>
      <c r="IS83" s="49"/>
      <c r="IT83" s="49"/>
      <c r="IU83" s="49"/>
      <c r="IV83" s="49"/>
    </row>
    <row r="84" spans="1:256" ht="22.5" x14ac:dyDescent="0.25">
      <c r="A84" s="62"/>
      <c r="B84" s="69"/>
      <c r="C84" s="64"/>
      <c r="D84" s="68"/>
      <c r="E84" s="116"/>
      <c r="F84" s="65"/>
      <c r="G84" s="111">
        <f t="shared" si="6"/>
        <v>0</v>
      </c>
      <c r="H84" s="235"/>
      <c r="I84" s="66" t="s">
        <v>63</v>
      </c>
      <c r="J84" s="47" t="s">
        <v>2</v>
      </c>
      <c r="K84" s="67">
        <f>0.35*D79</f>
        <v>0.90999999999999992</v>
      </c>
      <c r="L84" s="67">
        <v>30.96</v>
      </c>
      <c r="M84" s="68">
        <f t="shared" si="8"/>
        <v>28.173599999999997</v>
      </c>
      <c r="N84" s="180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49"/>
      <c r="HI84" s="49"/>
      <c r="HJ84" s="49"/>
      <c r="HK84" s="49"/>
      <c r="HL84" s="49"/>
      <c r="HM84" s="49"/>
      <c r="HN84" s="49"/>
      <c r="HO84" s="49"/>
      <c r="HP84" s="49"/>
      <c r="HQ84" s="49"/>
      <c r="HR84" s="49"/>
      <c r="HS84" s="49"/>
      <c r="HT84" s="49"/>
      <c r="HU84" s="49"/>
      <c r="HV84" s="49"/>
      <c r="HW84" s="49"/>
      <c r="HX84" s="49"/>
      <c r="HY84" s="49"/>
      <c r="HZ84" s="49"/>
      <c r="IA84" s="49"/>
      <c r="IB84" s="49"/>
      <c r="IC84" s="49"/>
      <c r="ID84" s="49"/>
      <c r="IE84" s="49"/>
      <c r="IF84" s="49"/>
      <c r="IG84" s="49"/>
      <c r="IH84" s="49"/>
      <c r="II84" s="49"/>
      <c r="IJ84" s="49"/>
      <c r="IK84" s="49"/>
      <c r="IL84" s="49"/>
      <c r="IM84" s="49"/>
      <c r="IN84" s="49"/>
      <c r="IO84" s="49"/>
      <c r="IP84" s="49"/>
      <c r="IQ84" s="49"/>
      <c r="IR84" s="49"/>
      <c r="IS84" s="49"/>
      <c r="IT84" s="49"/>
      <c r="IU84" s="49"/>
      <c r="IV84" s="49"/>
    </row>
    <row r="85" spans="1:256" ht="22.5" x14ac:dyDescent="0.25">
      <c r="A85" s="62"/>
      <c r="B85" s="69"/>
      <c r="C85" s="64"/>
      <c r="D85" s="68"/>
      <c r="E85" s="116"/>
      <c r="F85" s="65"/>
      <c r="G85" s="111">
        <f t="shared" si="6"/>
        <v>0</v>
      </c>
      <c r="H85" s="235"/>
      <c r="I85" s="66" t="s">
        <v>69</v>
      </c>
      <c r="J85" s="47" t="s">
        <v>62</v>
      </c>
      <c r="K85" s="67">
        <f>D85*1.05</f>
        <v>0</v>
      </c>
      <c r="L85" s="67">
        <v>4.2</v>
      </c>
      <c r="M85" s="68">
        <f t="shared" si="8"/>
        <v>0</v>
      </c>
      <c r="N85" s="180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  <c r="DV85" s="49"/>
      <c r="DW85" s="49"/>
      <c r="DX85" s="49"/>
      <c r="DY85" s="49"/>
      <c r="DZ85" s="49"/>
      <c r="EA85" s="49"/>
      <c r="EB85" s="49"/>
      <c r="EC85" s="49"/>
      <c r="ED85" s="49"/>
      <c r="EE85" s="49"/>
      <c r="EF85" s="49"/>
      <c r="EG85" s="49"/>
      <c r="EH85" s="49"/>
      <c r="EI85" s="49"/>
      <c r="EJ85" s="49"/>
      <c r="EK85" s="49"/>
      <c r="EL85" s="49"/>
      <c r="EM85" s="49"/>
      <c r="EN85" s="49"/>
      <c r="EO85" s="49"/>
      <c r="EP85" s="49"/>
      <c r="EQ85" s="49"/>
      <c r="ER85" s="49"/>
      <c r="ES85" s="49"/>
      <c r="ET85" s="49"/>
      <c r="EU85" s="49"/>
      <c r="EV85" s="49"/>
      <c r="EW85" s="49"/>
      <c r="EX85" s="49"/>
      <c r="EY85" s="49"/>
      <c r="EZ85" s="49"/>
      <c r="FA85" s="49"/>
      <c r="FB85" s="49"/>
      <c r="FC85" s="49"/>
      <c r="FD85" s="49"/>
      <c r="FE85" s="49"/>
      <c r="FF85" s="49"/>
      <c r="FG85" s="49"/>
      <c r="FH85" s="49"/>
      <c r="FI85" s="49"/>
      <c r="FJ85" s="49"/>
      <c r="FK85" s="49"/>
      <c r="FL85" s="49"/>
      <c r="FM85" s="49"/>
      <c r="FN85" s="49"/>
      <c r="FO85" s="49"/>
      <c r="FP85" s="49"/>
      <c r="FQ85" s="49"/>
      <c r="FR85" s="49"/>
      <c r="FS85" s="49"/>
      <c r="FT85" s="49"/>
      <c r="FU85" s="49"/>
      <c r="FV85" s="49"/>
      <c r="FW85" s="49"/>
      <c r="FX85" s="49"/>
      <c r="FY85" s="49"/>
      <c r="FZ85" s="49"/>
      <c r="GA85" s="49"/>
      <c r="GB85" s="49"/>
      <c r="GC85" s="49"/>
      <c r="GD85" s="49"/>
      <c r="GE85" s="49"/>
      <c r="GF85" s="49"/>
      <c r="GG85" s="49"/>
      <c r="GH85" s="49"/>
      <c r="GI85" s="49"/>
      <c r="GJ85" s="49"/>
      <c r="GK85" s="49"/>
      <c r="GL85" s="49"/>
      <c r="GM85" s="49"/>
      <c r="GN85" s="49"/>
      <c r="GO85" s="49"/>
      <c r="GP85" s="49"/>
      <c r="GQ85" s="49"/>
      <c r="GR85" s="49"/>
      <c r="GS85" s="49"/>
      <c r="GT85" s="49"/>
      <c r="GU85" s="49"/>
      <c r="GV85" s="49"/>
      <c r="GW85" s="49"/>
      <c r="GX85" s="49"/>
      <c r="GY85" s="49"/>
      <c r="GZ85" s="49"/>
      <c r="HA85" s="49"/>
      <c r="HB85" s="49"/>
      <c r="HC85" s="49"/>
      <c r="HD85" s="49"/>
      <c r="HE85" s="49"/>
      <c r="HF85" s="49"/>
      <c r="HG85" s="49"/>
      <c r="HH85" s="49"/>
      <c r="HI85" s="49"/>
      <c r="HJ85" s="49"/>
      <c r="HK85" s="49"/>
      <c r="HL85" s="49"/>
      <c r="HM85" s="49"/>
      <c r="HN85" s="49"/>
      <c r="HO85" s="49"/>
      <c r="HP85" s="49"/>
      <c r="HQ85" s="49"/>
      <c r="HR85" s="49"/>
      <c r="HS85" s="49"/>
      <c r="HT85" s="49"/>
      <c r="HU85" s="49"/>
      <c r="HV85" s="49"/>
      <c r="HW85" s="49"/>
      <c r="HX85" s="49"/>
      <c r="HY85" s="49"/>
      <c r="HZ85" s="49"/>
      <c r="IA85" s="49"/>
      <c r="IB85" s="49"/>
      <c r="IC85" s="49"/>
      <c r="ID85" s="49"/>
      <c r="IE85" s="49"/>
      <c r="IF85" s="49"/>
      <c r="IG85" s="49"/>
      <c r="IH85" s="49"/>
      <c r="II85" s="49"/>
      <c r="IJ85" s="49"/>
      <c r="IK85" s="49"/>
      <c r="IL85" s="49"/>
      <c r="IM85" s="49"/>
      <c r="IN85" s="49"/>
      <c r="IO85" s="49"/>
      <c r="IP85" s="49"/>
      <c r="IQ85" s="49"/>
      <c r="IR85" s="49"/>
      <c r="IS85" s="49"/>
      <c r="IT85" s="49"/>
      <c r="IU85" s="49"/>
      <c r="IV85" s="49"/>
    </row>
    <row r="86" spans="1:256" ht="42" x14ac:dyDescent="0.25">
      <c r="A86" s="62">
        <v>10</v>
      </c>
      <c r="B86" s="69" t="s">
        <v>56</v>
      </c>
      <c r="C86" s="64" t="s">
        <v>62</v>
      </c>
      <c r="D86" s="68">
        <f>2.6*3</f>
        <v>7.8000000000000007</v>
      </c>
      <c r="E86" s="116">
        <v>15</v>
      </c>
      <c r="F86" s="65">
        <v>5</v>
      </c>
      <c r="G86" s="111">
        <f t="shared" si="6"/>
        <v>39</v>
      </c>
      <c r="H86" s="235">
        <f>E86*D86</f>
        <v>117.00000000000001</v>
      </c>
      <c r="I86" s="50" t="s">
        <v>8</v>
      </c>
      <c r="J86" s="47" t="s">
        <v>3</v>
      </c>
      <c r="K86" s="47">
        <f>D86*0.2*0.3</f>
        <v>0.46800000000000008</v>
      </c>
      <c r="L86" s="67">
        <v>22.95</v>
      </c>
      <c r="M86" s="68">
        <f t="shared" si="8"/>
        <v>10.740600000000002</v>
      </c>
      <c r="N86" s="180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  <c r="DV86" s="49"/>
      <c r="DW86" s="49"/>
      <c r="DX86" s="49"/>
      <c r="DY86" s="49"/>
      <c r="DZ86" s="49"/>
      <c r="EA86" s="49"/>
      <c r="EB86" s="49"/>
      <c r="EC86" s="49"/>
      <c r="ED86" s="49"/>
      <c r="EE86" s="49"/>
      <c r="EF86" s="49"/>
      <c r="EG86" s="49"/>
      <c r="EH86" s="49"/>
      <c r="EI86" s="49"/>
      <c r="EJ86" s="49"/>
      <c r="EK86" s="49"/>
      <c r="EL86" s="49"/>
      <c r="EM86" s="49"/>
      <c r="EN86" s="49"/>
      <c r="EO86" s="49"/>
      <c r="EP86" s="49"/>
      <c r="EQ86" s="49"/>
      <c r="ER86" s="49"/>
      <c r="ES86" s="49"/>
      <c r="ET86" s="49"/>
      <c r="EU86" s="49"/>
      <c r="EV86" s="49"/>
      <c r="EW86" s="49"/>
      <c r="EX86" s="49"/>
      <c r="EY86" s="49"/>
      <c r="EZ86" s="49"/>
      <c r="FA86" s="49"/>
      <c r="FB86" s="49"/>
      <c r="FC86" s="49"/>
      <c r="FD86" s="49"/>
      <c r="FE86" s="49"/>
      <c r="FF86" s="49"/>
      <c r="FG86" s="49"/>
      <c r="FH86" s="49"/>
      <c r="FI86" s="49"/>
      <c r="FJ86" s="49"/>
      <c r="FK86" s="49"/>
      <c r="FL86" s="49"/>
      <c r="FM86" s="49"/>
      <c r="FN86" s="49"/>
      <c r="FO86" s="49"/>
      <c r="FP86" s="49"/>
      <c r="FQ86" s="49"/>
      <c r="FR86" s="49"/>
      <c r="FS86" s="49"/>
      <c r="FT86" s="49"/>
      <c r="FU86" s="49"/>
      <c r="FV86" s="49"/>
      <c r="FW86" s="49"/>
      <c r="FX86" s="49"/>
      <c r="FY86" s="49"/>
      <c r="FZ86" s="49"/>
      <c r="GA86" s="49"/>
      <c r="GB86" s="49"/>
      <c r="GC86" s="49"/>
      <c r="GD86" s="49"/>
      <c r="GE86" s="49"/>
      <c r="GF86" s="49"/>
      <c r="GG86" s="49"/>
      <c r="GH86" s="49"/>
      <c r="GI86" s="49"/>
      <c r="GJ86" s="49"/>
      <c r="GK86" s="49"/>
      <c r="GL86" s="49"/>
      <c r="GM86" s="49"/>
      <c r="GN86" s="49"/>
      <c r="GO86" s="49"/>
      <c r="GP86" s="49"/>
      <c r="GQ86" s="49"/>
      <c r="GR86" s="49"/>
      <c r="GS86" s="49"/>
      <c r="GT86" s="49"/>
      <c r="GU86" s="49"/>
      <c r="GV86" s="49"/>
      <c r="GW86" s="49"/>
      <c r="GX86" s="49"/>
      <c r="GY86" s="49"/>
      <c r="GZ86" s="49"/>
      <c r="HA86" s="49"/>
      <c r="HB86" s="49"/>
      <c r="HC86" s="49"/>
      <c r="HD86" s="49"/>
      <c r="HE86" s="49"/>
      <c r="HF86" s="49"/>
      <c r="HG86" s="49"/>
      <c r="HH86" s="49"/>
      <c r="HI86" s="49"/>
      <c r="HJ86" s="49"/>
      <c r="HK86" s="49"/>
      <c r="HL86" s="49"/>
      <c r="HM86" s="49"/>
      <c r="HN86" s="49"/>
      <c r="HO86" s="49"/>
      <c r="HP86" s="49"/>
      <c r="HQ86" s="49"/>
      <c r="HR86" s="49"/>
      <c r="HS86" s="49"/>
      <c r="HT86" s="49"/>
      <c r="HU86" s="49"/>
      <c r="HV86" s="49"/>
      <c r="HW86" s="49"/>
      <c r="HX86" s="49"/>
      <c r="HY86" s="49"/>
      <c r="HZ86" s="49"/>
      <c r="IA86" s="49"/>
      <c r="IB86" s="49"/>
      <c r="IC86" s="49"/>
      <c r="ID86" s="49"/>
      <c r="IE86" s="49"/>
      <c r="IF86" s="49"/>
      <c r="IG86" s="49"/>
      <c r="IH86" s="49"/>
      <c r="II86" s="49"/>
      <c r="IJ86" s="49"/>
      <c r="IK86" s="49"/>
      <c r="IL86" s="49"/>
      <c r="IM86" s="49"/>
      <c r="IN86" s="49"/>
      <c r="IO86" s="49"/>
      <c r="IP86" s="49"/>
      <c r="IQ86" s="49"/>
      <c r="IR86" s="49"/>
      <c r="IS86" s="49"/>
      <c r="IT86" s="49"/>
      <c r="IU86" s="49"/>
      <c r="IV86" s="49"/>
    </row>
    <row r="87" spans="1:256" ht="22.5" x14ac:dyDescent="0.25">
      <c r="A87" s="62">
        <v>11</v>
      </c>
      <c r="B87" s="69" t="s">
        <v>91</v>
      </c>
      <c r="C87" s="64" t="s">
        <v>62</v>
      </c>
      <c r="D87" s="68">
        <f>2.6*3</f>
        <v>7.8000000000000007</v>
      </c>
      <c r="E87" s="116">
        <v>90</v>
      </c>
      <c r="F87" s="65">
        <v>40</v>
      </c>
      <c r="G87" s="111">
        <f t="shared" si="6"/>
        <v>312</v>
      </c>
      <c r="H87" s="235">
        <f>E87*D87</f>
        <v>702.00000000000011</v>
      </c>
      <c r="I87" s="70" t="s">
        <v>23</v>
      </c>
      <c r="J87" s="71" t="s">
        <v>2</v>
      </c>
      <c r="K87" s="67">
        <f>D87*0.2*1.2*2</f>
        <v>3.7440000000000007</v>
      </c>
      <c r="L87" s="67">
        <v>8.2100000000000009</v>
      </c>
      <c r="M87" s="68">
        <f t="shared" si="8"/>
        <v>30.738240000000008</v>
      </c>
      <c r="N87" s="180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  <c r="DV87" s="49"/>
      <c r="DW87" s="49"/>
      <c r="DX87" s="49"/>
      <c r="DY87" s="49"/>
      <c r="DZ87" s="49"/>
      <c r="EA87" s="49"/>
      <c r="EB87" s="49"/>
      <c r="EC87" s="49"/>
      <c r="ED87" s="49"/>
      <c r="EE87" s="49"/>
      <c r="EF87" s="49"/>
      <c r="EG87" s="49"/>
      <c r="EH87" s="49"/>
      <c r="EI87" s="49"/>
      <c r="EJ87" s="49"/>
      <c r="EK87" s="49"/>
      <c r="EL87" s="49"/>
      <c r="EM87" s="49"/>
      <c r="EN87" s="49"/>
      <c r="EO87" s="49"/>
      <c r="EP87" s="49"/>
      <c r="EQ87" s="49"/>
      <c r="ER87" s="49"/>
      <c r="ES87" s="49"/>
      <c r="ET87" s="49"/>
      <c r="EU87" s="49"/>
      <c r="EV87" s="49"/>
      <c r="EW87" s="49"/>
      <c r="EX87" s="49"/>
      <c r="EY87" s="49"/>
      <c r="EZ87" s="49"/>
      <c r="FA87" s="49"/>
      <c r="FB87" s="49"/>
      <c r="FC87" s="49"/>
      <c r="FD87" s="49"/>
      <c r="FE87" s="49"/>
      <c r="FF87" s="49"/>
      <c r="FG87" s="49"/>
      <c r="FH87" s="49"/>
      <c r="FI87" s="49"/>
      <c r="FJ87" s="49"/>
      <c r="FK87" s="49"/>
      <c r="FL87" s="49"/>
      <c r="FM87" s="49"/>
      <c r="FN87" s="49"/>
      <c r="FO87" s="49"/>
      <c r="FP87" s="49"/>
      <c r="FQ87" s="49"/>
      <c r="FR87" s="49"/>
      <c r="FS87" s="49"/>
      <c r="FT87" s="49"/>
      <c r="FU87" s="49"/>
      <c r="FV87" s="49"/>
      <c r="FW87" s="49"/>
      <c r="FX87" s="49"/>
      <c r="FY87" s="49"/>
      <c r="FZ87" s="49"/>
      <c r="GA87" s="49"/>
      <c r="GB87" s="49"/>
      <c r="GC87" s="49"/>
      <c r="GD87" s="49"/>
      <c r="GE87" s="49"/>
      <c r="GF87" s="49"/>
      <c r="GG87" s="49"/>
      <c r="GH87" s="49"/>
      <c r="GI87" s="49"/>
      <c r="GJ87" s="49"/>
      <c r="GK87" s="49"/>
      <c r="GL87" s="49"/>
      <c r="GM87" s="49"/>
      <c r="GN87" s="49"/>
      <c r="GO87" s="49"/>
      <c r="GP87" s="49"/>
      <c r="GQ87" s="49"/>
      <c r="GR87" s="49"/>
      <c r="GS87" s="49"/>
      <c r="GT87" s="49"/>
      <c r="GU87" s="49"/>
      <c r="GV87" s="49"/>
      <c r="GW87" s="49"/>
      <c r="GX87" s="49"/>
      <c r="GY87" s="49"/>
      <c r="GZ87" s="49"/>
      <c r="HA87" s="49"/>
      <c r="HB87" s="49"/>
      <c r="HC87" s="49"/>
      <c r="HD87" s="49"/>
      <c r="HE87" s="49"/>
      <c r="HF87" s="49"/>
      <c r="HG87" s="49"/>
      <c r="HH87" s="49"/>
      <c r="HI87" s="49"/>
      <c r="HJ87" s="49"/>
      <c r="HK87" s="49"/>
      <c r="HL87" s="49"/>
      <c r="HM87" s="49"/>
      <c r="HN87" s="49"/>
      <c r="HO87" s="49"/>
      <c r="HP87" s="49"/>
      <c r="HQ87" s="49"/>
      <c r="HR87" s="49"/>
      <c r="HS87" s="49"/>
      <c r="HT87" s="49"/>
      <c r="HU87" s="49"/>
      <c r="HV87" s="49"/>
      <c r="HW87" s="49"/>
      <c r="HX87" s="49"/>
      <c r="HY87" s="49"/>
      <c r="HZ87" s="49"/>
      <c r="IA87" s="49"/>
      <c r="IB87" s="49"/>
      <c r="IC87" s="49"/>
      <c r="ID87" s="49"/>
      <c r="IE87" s="49"/>
      <c r="IF87" s="49"/>
      <c r="IG87" s="49"/>
      <c r="IH87" s="49"/>
      <c r="II87" s="49"/>
      <c r="IJ87" s="49"/>
      <c r="IK87" s="49"/>
      <c r="IL87" s="49"/>
      <c r="IM87" s="49"/>
      <c r="IN87" s="49"/>
      <c r="IO87" s="49"/>
      <c r="IP87" s="49"/>
      <c r="IQ87" s="49"/>
      <c r="IR87" s="49"/>
      <c r="IS87" s="49"/>
      <c r="IT87" s="49"/>
      <c r="IU87" s="49"/>
      <c r="IV87" s="49"/>
    </row>
    <row r="88" spans="1:256" ht="42" x14ac:dyDescent="0.25">
      <c r="A88" s="62">
        <v>12</v>
      </c>
      <c r="B88" s="42" t="s">
        <v>92</v>
      </c>
      <c r="C88" s="43" t="s">
        <v>62</v>
      </c>
      <c r="D88" s="68">
        <f>2.6*3</f>
        <v>7.8000000000000007</v>
      </c>
      <c r="E88" s="203">
        <v>15</v>
      </c>
      <c r="F88" s="45">
        <v>5</v>
      </c>
      <c r="G88" s="111">
        <f t="shared" si="6"/>
        <v>39</v>
      </c>
      <c r="H88" s="230">
        <f>E88*D88</f>
        <v>117.00000000000001</v>
      </c>
      <c r="I88" s="112" t="s">
        <v>8</v>
      </c>
      <c r="J88" s="67" t="s">
        <v>3</v>
      </c>
      <c r="K88" s="47">
        <f>D88*0.2*0.3</f>
        <v>0.46800000000000008</v>
      </c>
      <c r="L88" s="67">
        <v>22.95</v>
      </c>
      <c r="M88" s="67">
        <f t="shared" si="8"/>
        <v>10.740600000000002</v>
      </c>
      <c r="N88" s="169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  <c r="IT88" s="33"/>
      <c r="IU88" s="33"/>
      <c r="IV88" s="33"/>
    </row>
    <row r="89" spans="1:256" ht="42" x14ac:dyDescent="0.25">
      <c r="A89" s="62">
        <v>13</v>
      </c>
      <c r="B89" s="42" t="s">
        <v>93</v>
      </c>
      <c r="C89" s="43" t="s">
        <v>62</v>
      </c>
      <c r="D89" s="68">
        <f>2.6*3</f>
        <v>7.8000000000000007</v>
      </c>
      <c r="E89" s="203">
        <v>85</v>
      </c>
      <c r="F89" s="45">
        <v>40</v>
      </c>
      <c r="G89" s="111">
        <f t="shared" si="6"/>
        <v>312</v>
      </c>
      <c r="H89" s="230">
        <f>E89*D89</f>
        <v>663.00000000000011</v>
      </c>
      <c r="I89" s="50" t="s">
        <v>73</v>
      </c>
      <c r="J89" s="47" t="s">
        <v>0</v>
      </c>
      <c r="K89" s="47">
        <f>D89*0.2*1.05</f>
        <v>1.6380000000000003</v>
      </c>
      <c r="L89" s="45">
        <v>13.5</v>
      </c>
      <c r="M89" s="67">
        <f t="shared" si="8"/>
        <v>22.113000000000003</v>
      </c>
      <c r="N89" s="169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  <c r="IT89" s="33"/>
      <c r="IU89" s="33"/>
      <c r="IV89" s="33"/>
    </row>
    <row r="90" spans="1:256" ht="25.5" x14ac:dyDescent="0.25">
      <c r="A90" s="62">
        <v>14</v>
      </c>
      <c r="B90" s="42"/>
      <c r="C90" s="43"/>
      <c r="D90" s="127"/>
      <c r="E90" s="203"/>
      <c r="F90" s="45"/>
      <c r="G90" s="111">
        <f t="shared" si="6"/>
        <v>0</v>
      </c>
      <c r="H90" s="230"/>
      <c r="I90" s="50" t="s">
        <v>133</v>
      </c>
      <c r="J90" s="47" t="s">
        <v>2</v>
      </c>
      <c r="K90" s="126">
        <f>D89*0.2*0.3</f>
        <v>0.46800000000000008</v>
      </c>
      <c r="L90" s="45">
        <v>61.33</v>
      </c>
      <c r="M90" s="67">
        <f t="shared" si="8"/>
        <v>28.702440000000003</v>
      </c>
      <c r="N90" s="169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  <c r="IT90" s="33"/>
      <c r="IU90" s="33"/>
      <c r="IV90" s="33"/>
    </row>
    <row r="91" spans="1:256" ht="25.5" x14ac:dyDescent="0.25">
      <c r="A91" s="62">
        <v>15</v>
      </c>
      <c r="B91" s="42" t="s">
        <v>95</v>
      </c>
      <c r="C91" s="43" t="s">
        <v>62</v>
      </c>
      <c r="D91" s="68">
        <f>2.6*3</f>
        <v>7.8000000000000007</v>
      </c>
      <c r="E91" s="136">
        <v>130</v>
      </c>
      <c r="F91" s="67">
        <v>48</v>
      </c>
      <c r="G91" s="111">
        <f t="shared" si="6"/>
        <v>374.40000000000003</v>
      </c>
      <c r="H91" s="230">
        <f>E91*D91</f>
        <v>1014.0000000000001</v>
      </c>
      <c r="I91" s="112" t="s">
        <v>74</v>
      </c>
      <c r="J91" s="67" t="s">
        <v>2</v>
      </c>
      <c r="K91" s="67">
        <f>D91*0.2*1*2</f>
        <v>3.1200000000000006</v>
      </c>
      <c r="L91" s="67">
        <v>19.329999999999998</v>
      </c>
      <c r="M91" s="67">
        <f t="shared" si="8"/>
        <v>60.309600000000003</v>
      </c>
      <c r="N91" s="170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  <c r="IT91" s="33"/>
      <c r="IU91" s="33"/>
      <c r="IV91" s="33"/>
    </row>
    <row r="92" spans="1:256" ht="42" x14ac:dyDescent="0.25">
      <c r="A92" s="62">
        <v>16</v>
      </c>
      <c r="B92" s="69" t="s">
        <v>57</v>
      </c>
      <c r="C92" s="43" t="s">
        <v>62</v>
      </c>
      <c r="D92" s="68">
        <f>2.6*3</f>
        <v>7.8000000000000007</v>
      </c>
      <c r="E92" s="116">
        <v>15</v>
      </c>
      <c r="F92" s="65">
        <v>5</v>
      </c>
      <c r="G92" s="111">
        <f t="shared" si="6"/>
        <v>39</v>
      </c>
      <c r="H92" s="235">
        <f>E92*D92</f>
        <v>117.00000000000001</v>
      </c>
      <c r="I92" s="46" t="s">
        <v>8</v>
      </c>
      <c r="J92" s="47" t="s">
        <v>3</v>
      </c>
      <c r="K92" s="47">
        <f>D92*0.2*0.3</f>
        <v>0.46800000000000008</v>
      </c>
      <c r="L92" s="67">
        <v>22.95</v>
      </c>
      <c r="M92" s="68">
        <f t="shared" si="8"/>
        <v>10.740600000000002</v>
      </c>
      <c r="N92" s="180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  <c r="DV92" s="49"/>
      <c r="DW92" s="49"/>
      <c r="DX92" s="49"/>
      <c r="DY92" s="49"/>
      <c r="DZ92" s="49"/>
      <c r="EA92" s="49"/>
      <c r="EB92" s="49"/>
      <c r="EC92" s="49"/>
      <c r="ED92" s="49"/>
      <c r="EE92" s="49"/>
      <c r="EF92" s="49"/>
      <c r="EG92" s="49"/>
      <c r="EH92" s="49"/>
      <c r="EI92" s="49"/>
      <c r="EJ92" s="49"/>
      <c r="EK92" s="49"/>
      <c r="EL92" s="49"/>
      <c r="EM92" s="49"/>
      <c r="EN92" s="49"/>
      <c r="EO92" s="49"/>
      <c r="EP92" s="49"/>
      <c r="EQ92" s="49"/>
      <c r="ER92" s="49"/>
      <c r="ES92" s="49"/>
      <c r="ET92" s="49"/>
      <c r="EU92" s="49"/>
      <c r="EV92" s="49"/>
      <c r="EW92" s="49"/>
      <c r="EX92" s="49"/>
      <c r="EY92" s="49"/>
      <c r="EZ92" s="49"/>
      <c r="FA92" s="49"/>
      <c r="FB92" s="49"/>
      <c r="FC92" s="49"/>
      <c r="FD92" s="49"/>
      <c r="FE92" s="49"/>
      <c r="FF92" s="49"/>
      <c r="FG92" s="49"/>
      <c r="FH92" s="49"/>
      <c r="FI92" s="49"/>
      <c r="FJ92" s="49"/>
      <c r="FK92" s="49"/>
      <c r="FL92" s="49"/>
      <c r="FM92" s="49"/>
      <c r="FN92" s="49"/>
      <c r="FO92" s="49"/>
      <c r="FP92" s="49"/>
      <c r="FQ92" s="49"/>
      <c r="FR92" s="49"/>
      <c r="FS92" s="49"/>
      <c r="FT92" s="49"/>
      <c r="FU92" s="49"/>
      <c r="FV92" s="49"/>
      <c r="FW92" s="49"/>
      <c r="FX92" s="49"/>
      <c r="FY92" s="49"/>
      <c r="FZ92" s="49"/>
      <c r="GA92" s="49"/>
      <c r="GB92" s="49"/>
      <c r="GC92" s="49"/>
      <c r="GD92" s="49"/>
      <c r="GE92" s="49"/>
      <c r="GF92" s="49"/>
      <c r="GG92" s="49"/>
      <c r="GH92" s="49"/>
      <c r="GI92" s="49"/>
      <c r="GJ92" s="49"/>
      <c r="GK92" s="49"/>
      <c r="GL92" s="49"/>
      <c r="GM92" s="49"/>
      <c r="GN92" s="49"/>
      <c r="GO92" s="49"/>
      <c r="GP92" s="49"/>
      <c r="GQ92" s="49"/>
      <c r="GR92" s="49"/>
      <c r="GS92" s="49"/>
      <c r="GT92" s="49"/>
      <c r="GU92" s="49"/>
      <c r="GV92" s="49"/>
      <c r="GW92" s="49"/>
      <c r="GX92" s="49"/>
      <c r="GY92" s="49"/>
      <c r="GZ92" s="49"/>
      <c r="HA92" s="49"/>
      <c r="HB92" s="49"/>
      <c r="HC92" s="49"/>
      <c r="HD92" s="49"/>
      <c r="HE92" s="49"/>
      <c r="HF92" s="49"/>
      <c r="HG92" s="49"/>
      <c r="HH92" s="49"/>
      <c r="HI92" s="49"/>
      <c r="HJ92" s="49"/>
      <c r="HK92" s="49"/>
      <c r="HL92" s="49"/>
      <c r="HM92" s="49"/>
      <c r="HN92" s="49"/>
      <c r="HO92" s="49"/>
      <c r="HP92" s="49"/>
      <c r="HQ92" s="49"/>
      <c r="HR92" s="49"/>
      <c r="HS92" s="49"/>
      <c r="HT92" s="49"/>
      <c r="HU92" s="49"/>
      <c r="HV92" s="49"/>
      <c r="HW92" s="49"/>
      <c r="HX92" s="49"/>
      <c r="HY92" s="49"/>
      <c r="HZ92" s="49"/>
      <c r="IA92" s="49"/>
      <c r="IB92" s="49"/>
      <c r="IC92" s="49"/>
      <c r="ID92" s="49"/>
      <c r="IE92" s="49"/>
      <c r="IF92" s="49"/>
      <c r="IG92" s="49"/>
      <c r="IH92" s="49"/>
      <c r="II92" s="49"/>
      <c r="IJ92" s="49"/>
      <c r="IK92" s="49"/>
      <c r="IL92" s="49"/>
      <c r="IM92" s="49"/>
      <c r="IN92" s="49"/>
      <c r="IO92" s="49"/>
      <c r="IP92" s="49"/>
      <c r="IQ92" s="49"/>
      <c r="IR92" s="49"/>
      <c r="IS92" s="49"/>
      <c r="IT92" s="49"/>
      <c r="IU92" s="49"/>
      <c r="IV92" s="49"/>
    </row>
    <row r="93" spans="1:256" ht="42" x14ac:dyDescent="0.25">
      <c r="A93" s="62">
        <v>17</v>
      </c>
      <c r="B93" s="69" t="s">
        <v>58</v>
      </c>
      <c r="C93" s="43" t="s">
        <v>62</v>
      </c>
      <c r="D93" s="68">
        <f>2.6*3</f>
        <v>7.8000000000000007</v>
      </c>
      <c r="E93" s="116">
        <v>65</v>
      </c>
      <c r="F93" s="65">
        <v>30</v>
      </c>
      <c r="G93" s="111">
        <f t="shared" si="6"/>
        <v>234.00000000000003</v>
      </c>
      <c r="H93" s="235">
        <f>E93*D93</f>
        <v>507.00000000000006</v>
      </c>
      <c r="I93" s="112" t="s">
        <v>134</v>
      </c>
      <c r="J93" s="67" t="s">
        <v>3</v>
      </c>
      <c r="K93" s="67">
        <f>D93*0.2*0.3</f>
        <v>0.46800000000000008</v>
      </c>
      <c r="L93" s="107">
        <v>120</v>
      </c>
      <c r="M93" s="107">
        <f t="shared" si="8"/>
        <v>56.160000000000011</v>
      </c>
      <c r="N93" s="171" t="s">
        <v>103</v>
      </c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  <c r="DV93" s="49"/>
      <c r="DW93" s="49"/>
      <c r="DX93" s="49"/>
      <c r="DY93" s="49"/>
      <c r="DZ93" s="49"/>
      <c r="EA93" s="49"/>
      <c r="EB93" s="49"/>
      <c r="EC93" s="49"/>
      <c r="ED93" s="49"/>
      <c r="EE93" s="49"/>
      <c r="EF93" s="49"/>
      <c r="EG93" s="49"/>
      <c r="EH93" s="49"/>
      <c r="EI93" s="49"/>
      <c r="EJ93" s="49"/>
      <c r="EK93" s="49"/>
      <c r="EL93" s="49"/>
      <c r="EM93" s="49"/>
      <c r="EN93" s="49"/>
      <c r="EO93" s="49"/>
      <c r="EP93" s="49"/>
      <c r="EQ93" s="49"/>
      <c r="ER93" s="49"/>
      <c r="ES93" s="49"/>
      <c r="ET93" s="49"/>
      <c r="EU93" s="49"/>
      <c r="EV93" s="49"/>
      <c r="EW93" s="49"/>
      <c r="EX93" s="49"/>
      <c r="EY93" s="49"/>
      <c r="EZ93" s="49"/>
      <c r="FA93" s="49"/>
      <c r="FB93" s="49"/>
      <c r="FC93" s="49"/>
      <c r="FD93" s="49"/>
      <c r="FE93" s="49"/>
      <c r="FF93" s="49"/>
      <c r="FG93" s="49"/>
      <c r="FH93" s="49"/>
      <c r="FI93" s="49"/>
      <c r="FJ93" s="49"/>
      <c r="FK93" s="49"/>
      <c r="FL93" s="49"/>
      <c r="FM93" s="49"/>
      <c r="FN93" s="49"/>
      <c r="FO93" s="49"/>
      <c r="FP93" s="49"/>
      <c r="FQ93" s="49"/>
      <c r="FR93" s="49"/>
      <c r="FS93" s="49"/>
      <c r="FT93" s="49"/>
      <c r="FU93" s="49"/>
      <c r="FV93" s="49"/>
      <c r="FW93" s="49"/>
      <c r="FX93" s="49"/>
      <c r="FY93" s="49"/>
      <c r="FZ93" s="49"/>
      <c r="GA93" s="49"/>
      <c r="GB93" s="49"/>
      <c r="GC93" s="49"/>
      <c r="GD93" s="49"/>
      <c r="GE93" s="49"/>
      <c r="GF93" s="49"/>
      <c r="GG93" s="49"/>
      <c r="GH93" s="49"/>
      <c r="GI93" s="49"/>
      <c r="GJ93" s="49"/>
      <c r="GK93" s="49"/>
      <c r="GL93" s="49"/>
      <c r="GM93" s="49"/>
      <c r="GN93" s="49"/>
      <c r="GO93" s="49"/>
      <c r="GP93" s="49"/>
      <c r="GQ93" s="49"/>
      <c r="GR93" s="49"/>
      <c r="GS93" s="49"/>
      <c r="GT93" s="49"/>
      <c r="GU93" s="49"/>
      <c r="GV93" s="49"/>
      <c r="GW93" s="49"/>
      <c r="GX93" s="49"/>
      <c r="GY93" s="49"/>
      <c r="GZ93" s="49"/>
      <c r="HA93" s="49"/>
      <c r="HB93" s="49"/>
      <c r="HC93" s="49"/>
      <c r="HD93" s="49"/>
      <c r="HE93" s="49"/>
      <c r="HF93" s="49"/>
      <c r="HG93" s="49"/>
      <c r="HH93" s="49"/>
      <c r="HI93" s="49"/>
      <c r="HJ93" s="49"/>
      <c r="HK93" s="49"/>
      <c r="HL93" s="49"/>
      <c r="HM93" s="49"/>
      <c r="HN93" s="49"/>
      <c r="HO93" s="49"/>
      <c r="HP93" s="49"/>
      <c r="HQ93" s="49"/>
      <c r="HR93" s="49"/>
      <c r="HS93" s="49"/>
      <c r="HT93" s="49"/>
      <c r="HU93" s="49"/>
      <c r="HV93" s="49"/>
      <c r="HW93" s="49"/>
      <c r="HX93" s="49"/>
      <c r="HY93" s="49"/>
      <c r="HZ93" s="49"/>
      <c r="IA93" s="49"/>
      <c r="IB93" s="49"/>
      <c r="IC93" s="49"/>
      <c r="ID93" s="49"/>
      <c r="IE93" s="49"/>
      <c r="IF93" s="49"/>
      <c r="IG93" s="49"/>
      <c r="IH93" s="49"/>
      <c r="II93" s="49"/>
      <c r="IJ93" s="49"/>
      <c r="IK93" s="49"/>
      <c r="IL93" s="49"/>
      <c r="IM93" s="49"/>
      <c r="IN93" s="49"/>
      <c r="IO93" s="49"/>
      <c r="IP93" s="49"/>
      <c r="IQ93" s="49"/>
      <c r="IR93" s="49"/>
      <c r="IS93" s="49"/>
      <c r="IT93" s="49"/>
      <c r="IU93" s="49"/>
      <c r="IV93" s="49"/>
    </row>
    <row r="94" spans="1:256" s="150" customFormat="1" ht="42" x14ac:dyDescent="0.25">
      <c r="A94" s="62">
        <v>6</v>
      </c>
      <c r="B94" s="148" t="s">
        <v>106</v>
      </c>
      <c r="C94" s="64" t="s">
        <v>5</v>
      </c>
      <c r="D94" s="68">
        <v>124.02</v>
      </c>
      <c r="E94" s="116">
        <v>105</v>
      </c>
      <c r="F94" s="65">
        <v>60</v>
      </c>
      <c r="G94" s="111">
        <f t="shared" si="6"/>
        <v>7441.2</v>
      </c>
      <c r="H94" s="235">
        <f>E94*D94</f>
        <v>13022.1</v>
      </c>
      <c r="I94" s="112" t="s">
        <v>70</v>
      </c>
      <c r="J94" s="67" t="s">
        <v>5</v>
      </c>
      <c r="K94" s="67">
        <f>D94*1.03</f>
        <v>127.7406</v>
      </c>
      <c r="L94" s="107">
        <v>0</v>
      </c>
      <c r="M94" s="107">
        <f t="shared" si="8"/>
        <v>0</v>
      </c>
      <c r="N94" s="171" t="s">
        <v>103</v>
      </c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  <c r="BI94" s="149"/>
      <c r="BJ94" s="149"/>
      <c r="BK94" s="149"/>
      <c r="BL94" s="149"/>
      <c r="BM94" s="149"/>
      <c r="BN94" s="149"/>
      <c r="BO94" s="149"/>
      <c r="BP94" s="149"/>
      <c r="BQ94" s="149"/>
      <c r="BR94" s="149"/>
      <c r="BS94" s="149"/>
      <c r="BT94" s="149"/>
      <c r="BU94" s="149"/>
      <c r="BV94" s="149"/>
      <c r="BW94" s="149"/>
      <c r="BX94" s="149"/>
      <c r="BY94" s="149"/>
      <c r="BZ94" s="149"/>
      <c r="CA94" s="149"/>
      <c r="CB94" s="149"/>
      <c r="CC94" s="149"/>
      <c r="CD94" s="149"/>
      <c r="CE94" s="149"/>
      <c r="CF94" s="149"/>
      <c r="CG94" s="149"/>
      <c r="CH94" s="149"/>
      <c r="CI94" s="149"/>
      <c r="CJ94" s="149"/>
      <c r="CK94" s="149"/>
      <c r="CL94" s="149"/>
      <c r="CM94" s="149"/>
      <c r="CN94" s="149"/>
      <c r="CO94" s="149"/>
      <c r="CP94" s="149"/>
      <c r="CQ94" s="149"/>
      <c r="CR94" s="149"/>
      <c r="CS94" s="149"/>
      <c r="CT94" s="149"/>
      <c r="CU94" s="149"/>
      <c r="CV94" s="149"/>
      <c r="CW94" s="149"/>
      <c r="CX94" s="149"/>
      <c r="CY94" s="149"/>
      <c r="CZ94" s="149"/>
      <c r="DA94" s="149"/>
      <c r="DB94" s="149"/>
      <c r="DC94" s="149"/>
      <c r="DD94" s="149"/>
      <c r="DE94" s="149"/>
      <c r="DF94" s="149"/>
      <c r="DG94" s="149"/>
      <c r="DH94" s="149"/>
      <c r="DI94" s="149"/>
      <c r="DJ94" s="149"/>
      <c r="DK94" s="149"/>
      <c r="DL94" s="149"/>
      <c r="DM94" s="149"/>
      <c r="DN94" s="149"/>
      <c r="DO94" s="149"/>
      <c r="DP94" s="149"/>
      <c r="DQ94" s="149"/>
      <c r="DR94" s="149"/>
      <c r="DS94" s="149"/>
      <c r="DT94" s="149"/>
      <c r="DU94" s="149"/>
      <c r="DV94" s="149"/>
      <c r="DW94" s="149"/>
      <c r="DX94" s="149"/>
      <c r="DY94" s="149"/>
      <c r="DZ94" s="149"/>
      <c r="EA94" s="149"/>
      <c r="EB94" s="149"/>
      <c r="EC94" s="149"/>
      <c r="ED94" s="149"/>
      <c r="EE94" s="149"/>
      <c r="EF94" s="149"/>
      <c r="EG94" s="149"/>
      <c r="EH94" s="149"/>
      <c r="EI94" s="149"/>
      <c r="EJ94" s="149"/>
      <c r="EK94" s="149"/>
      <c r="EL94" s="149"/>
      <c r="EM94" s="149"/>
      <c r="EN94" s="149"/>
      <c r="EO94" s="149"/>
      <c r="EP94" s="149"/>
      <c r="EQ94" s="149"/>
      <c r="ER94" s="149"/>
      <c r="ES94" s="149"/>
      <c r="ET94" s="149"/>
      <c r="EU94" s="149"/>
      <c r="EV94" s="149"/>
      <c r="EW94" s="149"/>
      <c r="EX94" s="149"/>
      <c r="EY94" s="149"/>
      <c r="EZ94" s="149"/>
      <c r="FA94" s="149"/>
      <c r="FB94" s="149"/>
      <c r="FC94" s="149"/>
      <c r="FD94" s="149"/>
      <c r="FE94" s="149"/>
      <c r="FF94" s="149"/>
      <c r="FG94" s="149"/>
      <c r="FH94" s="149"/>
      <c r="FI94" s="149"/>
      <c r="FJ94" s="149"/>
      <c r="FK94" s="149"/>
      <c r="FL94" s="149"/>
      <c r="FM94" s="149"/>
      <c r="FN94" s="149"/>
      <c r="FO94" s="149"/>
      <c r="FP94" s="149"/>
      <c r="FQ94" s="149"/>
      <c r="FR94" s="149"/>
      <c r="FS94" s="149"/>
      <c r="FT94" s="149"/>
      <c r="FU94" s="149"/>
      <c r="FV94" s="149"/>
      <c r="FW94" s="149"/>
      <c r="FX94" s="149"/>
      <c r="FY94" s="149"/>
      <c r="FZ94" s="149"/>
      <c r="GA94" s="149"/>
      <c r="GB94" s="149"/>
      <c r="GC94" s="149"/>
      <c r="GD94" s="149"/>
      <c r="GE94" s="149"/>
      <c r="GF94" s="149"/>
      <c r="GG94" s="149"/>
      <c r="GH94" s="149"/>
      <c r="GI94" s="149"/>
      <c r="GJ94" s="149"/>
      <c r="GK94" s="149"/>
      <c r="GL94" s="149"/>
      <c r="GM94" s="149"/>
      <c r="GN94" s="149"/>
      <c r="GO94" s="149"/>
      <c r="GP94" s="149"/>
      <c r="GQ94" s="149"/>
      <c r="GR94" s="149"/>
      <c r="GS94" s="149"/>
      <c r="GT94" s="149"/>
      <c r="GU94" s="149"/>
      <c r="GV94" s="149"/>
      <c r="GW94" s="149"/>
      <c r="GX94" s="149"/>
      <c r="GY94" s="149"/>
      <c r="GZ94" s="149"/>
      <c r="HA94" s="149"/>
      <c r="HB94" s="149"/>
      <c r="HC94" s="149"/>
      <c r="HD94" s="149"/>
      <c r="HE94" s="149"/>
      <c r="HF94" s="149"/>
      <c r="HG94" s="149"/>
      <c r="HH94" s="149"/>
      <c r="HI94" s="149"/>
      <c r="HJ94" s="149"/>
      <c r="HK94" s="149"/>
      <c r="HL94" s="149"/>
      <c r="HM94" s="149"/>
      <c r="HN94" s="149"/>
      <c r="HO94" s="149"/>
      <c r="HP94" s="149"/>
      <c r="HQ94" s="149"/>
      <c r="HR94" s="149"/>
      <c r="HS94" s="149"/>
      <c r="HT94" s="149"/>
      <c r="HU94" s="149"/>
      <c r="HV94" s="149"/>
      <c r="HW94" s="149"/>
      <c r="HX94" s="149"/>
      <c r="HY94" s="149"/>
      <c r="HZ94" s="149"/>
      <c r="IA94" s="149"/>
      <c r="IB94" s="149"/>
      <c r="IC94" s="149"/>
      <c r="ID94" s="149"/>
      <c r="IE94" s="149"/>
      <c r="IF94" s="149"/>
      <c r="IG94" s="149"/>
      <c r="IH94" s="149"/>
      <c r="II94" s="149"/>
      <c r="IJ94" s="149"/>
      <c r="IK94" s="149"/>
      <c r="IL94" s="149"/>
      <c r="IM94" s="149"/>
      <c r="IN94" s="149"/>
      <c r="IO94" s="149"/>
      <c r="IP94" s="149"/>
      <c r="IQ94" s="149"/>
      <c r="IR94" s="149"/>
      <c r="IS94" s="149"/>
      <c r="IT94" s="149"/>
      <c r="IU94" s="149"/>
      <c r="IV94" s="149"/>
    </row>
    <row r="95" spans="1:256" ht="42" x14ac:dyDescent="0.25">
      <c r="A95" s="62"/>
      <c r="B95" s="145" t="s">
        <v>54</v>
      </c>
      <c r="C95" s="64"/>
      <c r="D95" s="68"/>
      <c r="E95" s="116"/>
      <c r="F95" s="65"/>
      <c r="G95" s="111">
        <f t="shared" si="6"/>
        <v>0</v>
      </c>
      <c r="H95" s="235"/>
      <c r="I95" s="73"/>
      <c r="J95" s="74"/>
      <c r="K95" s="67"/>
      <c r="L95" s="72"/>
      <c r="M95" s="68"/>
      <c r="N95" s="180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  <c r="DV95" s="49"/>
      <c r="DW95" s="49"/>
      <c r="DX95" s="49"/>
      <c r="DY95" s="49"/>
      <c r="DZ95" s="49"/>
      <c r="EA95" s="49"/>
      <c r="EB95" s="49"/>
      <c r="EC95" s="49"/>
      <c r="ED95" s="49"/>
      <c r="EE95" s="49"/>
      <c r="EF95" s="49"/>
      <c r="EG95" s="49"/>
      <c r="EH95" s="49"/>
      <c r="EI95" s="49"/>
      <c r="EJ95" s="49"/>
      <c r="EK95" s="49"/>
      <c r="EL95" s="49"/>
      <c r="EM95" s="49"/>
      <c r="EN95" s="49"/>
      <c r="EO95" s="49"/>
      <c r="EP95" s="49"/>
      <c r="EQ95" s="49"/>
      <c r="ER95" s="49"/>
      <c r="ES95" s="49"/>
      <c r="ET95" s="49"/>
      <c r="EU95" s="49"/>
      <c r="EV95" s="49"/>
      <c r="EW95" s="49"/>
      <c r="EX95" s="49"/>
      <c r="EY95" s="49"/>
      <c r="EZ95" s="49"/>
      <c r="FA95" s="49"/>
      <c r="FB95" s="49"/>
      <c r="FC95" s="49"/>
      <c r="FD95" s="49"/>
      <c r="FE95" s="49"/>
      <c r="FF95" s="49"/>
      <c r="FG95" s="49"/>
      <c r="FH95" s="49"/>
      <c r="FI95" s="49"/>
      <c r="FJ95" s="49"/>
      <c r="FK95" s="49"/>
      <c r="FL95" s="49"/>
      <c r="FM95" s="49"/>
      <c r="FN95" s="49"/>
      <c r="FO95" s="49"/>
      <c r="FP95" s="49"/>
      <c r="FQ95" s="49"/>
      <c r="FR95" s="49"/>
      <c r="FS95" s="49"/>
      <c r="FT95" s="49"/>
      <c r="FU95" s="49"/>
      <c r="FV95" s="49"/>
      <c r="FW95" s="49"/>
      <c r="FX95" s="49"/>
      <c r="FY95" s="49"/>
      <c r="FZ95" s="49"/>
      <c r="GA95" s="49"/>
      <c r="GB95" s="49"/>
      <c r="GC95" s="49"/>
      <c r="GD95" s="49"/>
      <c r="GE95" s="49"/>
      <c r="GF95" s="49"/>
      <c r="GG95" s="49"/>
      <c r="GH95" s="49"/>
      <c r="GI95" s="49"/>
      <c r="GJ95" s="49"/>
      <c r="GK95" s="49"/>
      <c r="GL95" s="49"/>
      <c r="GM95" s="49"/>
      <c r="GN95" s="49"/>
      <c r="GO95" s="49"/>
      <c r="GP95" s="49"/>
      <c r="GQ95" s="49"/>
      <c r="GR95" s="49"/>
      <c r="GS95" s="49"/>
      <c r="GT95" s="49"/>
      <c r="GU95" s="49"/>
      <c r="GV95" s="49"/>
      <c r="GW95" s="49"/>
      <c r="GX95" s="49"/>
      <c r="GY95" s="49"/>
      <c r="GZ95" s="49"/>
      <c r="HA95" s="49"/>
      <c r="HB95" s="49"/>
      <c r="HC95" s="49"/>
      <c r="HD95" s="49"/>
      <c r="HE95" s="49"/>
      <c r="HF95" s="49"/>
      <c r="HG95" s="49"/>
      <c r="HH95" s="49"/>
      <c r="HI95" s="49"/>
      <c r="HJ95" s="49"/>
      <c r="HK95" s="49"/>
      <c r="HL95" s="49"/>
      <c r="HM95" s="49"/>
      <c r="HN95" s="49"/>
      <c r="HO95" s="49"/>
      <c r="HP95" s="49"/>
      <c r="HQ95" s="49"/>
      <c r="HR95" s="49"/>
      <c r="HS95" s="49"/>
      <c r="HT95" s="49"/>
      <c r="HU95" s="49"/>
      <c r="HV95" s="49"/>
      <c r="HW95" s="49"/>
      <c r="HX95" s="49"/>
      <c r="HY95" s="49"/>
      <c r="HZ95" s="49"/>
      <c r="IA95" s="49"/>
      <c r="IB95" s="49"/>
      <c r="IC95" s="49"/>
      <c r="ID95" s="49"/>
      <c r="IE95" s="49"/>
      <c r="IF95" s="49"/>
      <c r="IG95" s="49"/>
      <c r="IH95" s="49"/>
      <c r="II95" s="49"/>
      <c r="IJ95" s="49"/>
      <c r="IK95" s="49"/>
      <c r="IL95" s="49"/>
      <c r="IM95" s="49"/>
      <c r="IN95" s="49"/>
      <c r="IO95" s="49"/>
      <c r="IP95" s="49"/>
      <c r="IQ95" s="49"/>
      <c r="IR95" s="49"/>
      <c r="IS95" s="49"/>
      <c r="IT95" s="49"/>
      <c r="IU95" s="49"/>
      <c r="IV95" s="49"/>
    </row>
    <row r="96" spans="1:256" ht="42" x14ac:dyDescent="0.25">
      <c r="A96" s="62">
        <v>1</v>
      </c>
      <c r="B96" s="69" t="s">
        <v>38</v>
      </c>
      <c r="C96" s="64" t="s">
        <v>0</v>
      </c>
      <c r="D96" s="68">
        <f>31.73+47.15</f>
        <v>78.88</v>
      </c>
      <c r="E96" s="116">
        <v>125</v>
      </c>
      <c r="F96" s="65">
        <v>125</v>
      </c>
      <c r="G96" s="111">
        <f t="shared" si="6"/>
        <v>9860</v>
      </c>
      <c r="H96" s="235">
        <f>E96*D96</f>
        <v>9860</v>
      </c>
      <c r="I96" s="92" t="s">
        <v>65</v>
      </c>
      <c r="J96" s="74" t="s">
        <v>0</v>
      </c>
      <c r="K96" s="67">
        <f>D96*1.1</f>
        <v>86.768000000000001</v>
      </c>
      <c r="L96" s="107">
        <v>0</v>
      </c>
      <c r="M96" s="107">
        <f t="shared" ref="M96:M104" si="9">L96*K96</f>
        <v>0</v>
      </c>
      <c r="N96" s="171" t="s">
        <v>103</v>
      </c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9"/>
      <c r="DV96" s="49"/>
      <c r="DW96" s="49"/>
      <c r="DX96" s="49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49"/>
      <c r="FG96" s="49"/>
      <c r="FH96" s="49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49"/>
      <c r="FT96" s="49"/>
      <c r="FU96" s="49"/>
      <c r="FV96" s="49"/>
      <c r="FW96" s="49"/>
      <c r="FX96" s="49"/>
      <c r="FY96" s="49"/>
      <c r="FZ96" s="49"/>
      <c r="GA96" s="49"/>
      <c r="GB96" s="49"/>
      <c r="GC96" s="49"/>
      <c r="GD96" s="49"/>
      <c r="GE96" s="49"/>
      <c r="GF96" s="49"/>
      <c r="GG96" s="49"/>
      <c r="GH96" s="49"/>
      <c r="GI96" s="49"/>
      <c r="GJ96" s="49"/>
      <c r="GK96" s="49"/>
      <c r="GL96" s="49"/>
      <c r="GM96" s="49"/>
      <c r="GN96" s="49"/>
      <c r="GO96" s="49"/>
      <c r="GP96" s="49"/>
      <c r="GQ96" s="49"/>
      <c r="GR96" s="49"/>
      <c r="GS96" s="49"/>
      <c r="GT96" s="49"/>
      <c r="GU96" s="49"/>
      <c r="GV96" s="49"/>
      <c r="GW96" s="49"/>
      <c r="GX96" s="49"/>
      <c r="GY96" s="49"/>
      <c r="GZ96" s="49"/>
      <c r="HA96" s="49"/>
      <c r="HB96" s="49"/>
      <c r="HC96" s="49"/>
      <c r="HD96" s="49"/>
      <c r="HE96" s="49"/>
      <c r="HF96" s="49"/>
      <c r="HG96" s="49"/>
      <c r="HH96" s="49"/>
      <c r="HI96" s="49"/>
      <c r="HJ96" s="49"/>
      <c r="HK96" s="49"/>
      <c r="HL96" s="49"/>
      <c r="HM96" s="49"/>
      <c r="HN96" s="49"/>
      <c r="HO96" s="49"/>
      <c r="HP96" s="49"/>
      <c r="HQ96" s="49"/>
      <c r="HR96" s="49"/>
      <c r="HS96" s="49"/>
      <c r="HT96" s="49"/>
      <c r="HU96" s="49"/>
      <c r="HV96" s="49"/>
      <c r="HW96" s="49"/>
      <c r="HX96" s="49"/>
      <c r="HY96" s="49"/>
      <c r="HZ96" s="49"/>
      <c r="IA96" s="49"/>
      <c r="IB96" s="49"/>
      <c r="IC96" s="49"/>
      <c r="ID96" s="49"/>
      <c r="IE96" s="49"/>
      <c r="IF96" s="49"/>
      <c r="IG96" s="49"/>
      <c r="IH96" s="49"/>
      <c r="II96" s="49"/>
      <c r="IJ96" s="49"/>
      <c r="IK96" s="49"/>
      <c r="IL96" s="49"/>
      <c r="IM96" s="49"/>
      <c r="IN96" s="49"/>
      <c r="IO96" s="49"/>
      <c r="IP96" s="49"/>
      <c r="IQ96" s="49"/>
      <c r="IR96" s="49"/>
      <c r="IS96" s="49"/>
      <c r="IT96" s="49"/>
      <c r="IU96" s="49"/>
      <c r="IV96" s="49"/>
    </row>
    <row r="97" spans="1:256" ht="22.5" x14ac:dyDescent="0.25">
      <c r="A97" s="62"/>
      <c r="B97" s="69"/>
      <c r="C97" s="64"/>
      <c r="D97" s="68"/>
      <c r="E97" s="116"/>
      <c r="F97" s="65"/>
      <c r="G97" s="111">
        <f t="shared" si="6"/>
        <v>0</v>
      </c>
      <c r="H97" s="235"/>
      <c r="I97" s="73" t="s">
        <v>39</v>
      </c>
      <c r="J97" s="71" t="s">
        <v>7</v>
      </c>
      <c r="K97" s="67">
        <f>D96*2.1</f>
        <v>165.648</v>
      </c>
      <c r="L97" s="72">
        <v>13.42</v>
      </c>
      <c r="M97" s="68">
        <f t="shared" si="9"/>
        <v>2222.9961600000001</v>
      </c>
      <c r="N97" s="182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  <c r="EQ97" s="49"/>
      <c r="ER97" s="49"/>
      <c r="ES97" s="49"/>
      <c r="ET97" s="49"/>
      <c r="EU97" s="49"/>
      <c r="EV97" s="49"/>
      <c r="EW97" s="49"/>
      <c r="EX97" s="49"/>
      <c r="EY97" s="49"/>
      <c r="EZ97" s="49"/>
      <c r="FA97" s="49"/>
      <c r="FB97" s="49"/>
      <c r="FC97" s="49"/>
      <c r="FD97" s="49"/>
      <c r="FE97" s="49"/>
      <c r="FF97" s="49"/>
      <c r="FG97" s="49"/>
      <c r="FH97" s="49"/>
      <c r="FI97" s="49"/>
      <c r="FJ97" s="49"/>
      <c r="FK97" s="49"/>
      <c r="FL97" s="49"/>
      <c r="FM97" s="49"/>
      <c r="FN97" s="49"/>
      <c r="FO97" s="49"/>
      <c r="FP97" s="49"/>
      <c r="FQ97" s="49"/>
      <c r="FR97" s="49"/>
      <c r="FS97" s="49"/>
      <c r="FT97" s="49"/>
      <c r="FU97" s="49"/>
      <c r="FV97" s="49"/>
      <c r="FW97" s="49"/>
      <c r="FX97" s="49"/>
      <c r="FY97" s="49"/>
      <c r="FZ97" s="49"/>
      <c r="GA97" s="49"/>
      <c r="GB97" s="49"/>
      <c r="GC97" s="49"/>
      <c r="GD97" s="49"/>
      <c r="GE97" s="49"/>
      <c r="GF97" s="49"/>
      <c r="GG97" s="49"/>
      <c r="GH97" s="49"/>
      <c r="GI97" s="49"/>
      <c r="GJ97" s="49"/>
      <c r="GK97" s="49"/>
      <c r="GL97" s="49"/>
      <c r="GM97" s="49"/>
      <c r="GN97" s="49"/>
      <c r="GO97" s="49"/>
      <c r="GP97" s="49"/>
      <c r="GQ97" s="49"/>
      <c r="GR97" s="49"/>
      <c r="GS97" s="49"/>
      <c r="GT97" s="49"/>
      <c r="GU97" s="49"/>
      <c r="GV97" s="49"/>
      <c r="GW97" s="49"/>
      <c r="GX97" s="49"/>
      <c r="GY97" s="49"/>
      <c r="GZ97" s="49"/>
      <c r="HA97" s="49"/>
      <c r="HB97" s="49"/>
      <c r="HC97" s="49"/>
      <c r="HD97" s="49"/>
      <c r="HE97" s="49"/>
      <c r="HF97" s="49"/>
      <c r="HG97" s="49"/>
      <c r="HH97" s="49"/>
      <c r="HI97" s="49"/>
      <c r="HJ97" s="49"/>
      <c r="HK97" s="49"/>
      <c r="HL97" s="49"/>
      <c r="HM97" s="49"/>
      <c r="HN97" s="49"/>
      <c r="HO97" s="49"/>
      <c r="HP97" s="49"/>
      <c r="HQ97" s="49"/>
      <c r="HR97" s="49"/>
      <c r="HS97" s="49"/>
      <c r="HT97" s="49"/>
      <c r="HU97" s="49"/>
      <c r="HV97" s="49"/>
      <c r="HW97" s="49"/>
      <c r="HX97" s="49"/>
      <c r="HY97" s="49"/>
      <c r="HZ97" s="49"/>
      <c r="IA97" s="49"/>
      <c r="IB97" s="49"/>
      <c r="IC97" s="49"/>
      <c r="ID97" s="49"/>
      <c r="IE97" s="49"/>
      <c r="IF97" s="49"/>
      <c r="IG97" s="49"/>
      <c r="IH97" s="49"/>
      <c r="II97" s="49"/>
      <c r="IJ97" s="49"/>
      <c r="IK97" s="49"/>
      <c r="IL97" s="49"/>
      <c r="IM97" s="49"/>
      <c r="IN97" s="49"/>
      <c r="IO97" s="49"/>
      <c r="IP97" s="49"/>
      <c r="IQ97" s="49"/>
      <c r="IR97" s="49"/>
      <c r="IS97" s="49"/>
      <c r="IT97" s="49"/>
      <c r="IU97" s="49"/>
      <c r="IV97" s="49"/>
    </row>
    <row r="98" spans="1:256" ht="25.5" x14ac:dyDescent="0.25">
      <c r="A98" s="62"/>
      <c r="B98" s="75"/>
      <c r="C98" s="64"/>
      <c r="D98" s="68"/>
      <c r="E98" s="116"/>
      <c r="F98" s="65"/>
      <c r="G98" s="111">
        <f t="shared" si="6"/>
        <v>0</v>
      </c>
      <c r="H98" s="235"/>
      <c r="I98" s="76" t="s">
        <v>40</v>
      </c>
      <c r="J98" s="44" t="s">
        <v>7</v>
      </c>
      <c r="K98" s="67">
        <f>0.31*D96</f>
        <v>24.4528</v>
      </c>
      <c r="L98" s="67">
        <v>78.900000000000006</v>
      </c>
      <c r="M98" s="68">
        <f t="shared" si="9"/>
        <v>1929.3259200000002</v>
      </c>
      <c r="N98" s="183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49"/>
      <c r="FE98" s="49"/>
      <c r="FF98" s="49"/>
      <c r="FG98" s="49"/>
      <c r="FH98" s="49"/>
      <c r="FI98" s="49"/>
      <c r="FJ98" s="49"/>
      <c r="FK98" s="49"/>
      <c r="FL98" s="49"/>
      <c r="FM98" s="49"/>
      <c r="FN98" s="49"/>
      <c r="FO98" s="49"/>
      <c r="FP98" s="49"/>
      <c r="FQ98" s="49"/>
      <c r="FR98" s="49"/>
      <c r="FS98" s="49"/>
      <c r="FT98" s="49"/>
      <c r="FU98" s="49"/>
      <c r="FV98" s="49"/>
      <c r="FW98" s="49"/>
      <c r="FX98" s="49"/>
      <c r="FY98" s="49"/>
      <c r="FZ98" s="49"/>
      <c r="GA98" s="49"/>
      <c r="GB98" s="49"/>
      <c r="GC98" s="49"/>
      <c r="GD98" s="49"/>
      <c r="GE98" s="49"/>
      <c r="GF98" s="49"/>
      <c r="GG98" s="49"/>
      <c r="GH98" s="49"/>
      <c r="GI98" s="49"/>
      <c r="GJ98" s="49"/>
      <c r="GK98" s="49"/>
      <c r="GL98" s="49"/>
      <c r="GM98" s="49"/>
      <c r="GN98" s="49"/>
      <c r="GO98" s="49"/>
      <c r="GP98" s="49"/>
      <c r="GQ98" s="49"/>
      <c r="GR98" s="49"/>
      <c r="GS98" s="49"/>
      <c r="GT98" s="49"/>
      <c r="GU98" s="49"/>
      <c r="GV98" s="49"/>
      <c r="GW98" s="49"/>
      <c r="GX98" s="49"/>
      <c r="GY98" s="49"/>
      <c r="GZ98" s="49"/>
      <c r="HA98" s="49"/>
      <c r="HB98" s="49"/>
      <c r="HC98" s="49"/>
      <c r="HD98" s="49"/>
      <c r="HE98" s="49"/>
      <c r="HF98" s="49"/>
      <c r="HG98" s="49"/>
      <c r="HH98" s="49"/>
      <c r="HI98" s="49"/>
      <c r="HJ98" s="49"/>
      <c r="HK98" s="49"/>
      <c r="HL98" s="49"/>
      <c r="HM98" s="49"/>
      <c r="HN98" s="49"/>
      <c r="HO98" s="49"/>
      <c r="HP98" s="49"/>
      <c r="HQ98" s="49"/>
      <c r="HR98" s="49"/>
      <c r="HS98" s="49"/>
      <c r="HT98" s="49"/>
      <c r="HU98" s="49"/>
      <c r="HV98" s="49"/>
      <c r="HW98" s="49"/>
      <c r="HX98" s="49"/>
      <c r="HY98" s="49"/>
      <c r="HZ98" s="49"/>
      <c r="IA98" s="49"/>
      <c r="IB98" s="49"/>
      <c r="IC98" s="49"/>
      <c r="ID98" s="49"/>
      <c r="IE98" s="49"/>
      <c r="IF98" s="49"/>
      <c r="IG98" s="49"/>
      <c r="IH98" s="49"/>
      <c r="II98" s="49"/>
      <c r="IJ98" s="49"/>
      <c r="IK98" s="49"/>
      <c r="IL98" s="49"/>
      <c r="IM98" s="49"/>
      <c r="IN98" s="49"/>
      <c r="IO98" s="49"/>
      <c r="IP98" s="49"/>
      <c r="IQ98" s="49"/>
      <c r="IR98" s="49"/>
      <c r="IS98" s="49"/>
      <c r="IT98" s="49"/>
      <c r="IU98" s="49"/>
      <c r="IV98" s="49"/>
    </row>
    <row r="99" spans="1:256" ht="25.5" x14ac:dyDescent="0.25">
      <c r="A99" s="62"/>
      <c r="B99" s="77"/>
      <c r="C99" s="44"/>
      <c r="D99" s="68"/>
      <c r="E99" s="81"/>
      <c r="F99" s="48"/>
      <c r="G99" s="111">
        <f t="shared" si="6"/>
        <v>0</v>
      </c>
      <c r="H99" s="235"/>
      <c r="I99" s="76" t="s">
        <v>41</v>
      </c>
      <c r="J99" s="44" t="s">
        <v>7</v>
      </c>
      <c r="K99" s="67">
        <f>1.2*D96</f>
        <v>94.655999999999992</v>
      </c>
      <c r="L99" s="67">
        <v>28</v>
      </c>
      <c r="M99" s="68">
        <f t="shared" si="9"/>
        <v>2650.3679999999999</v>
      </c>
      <c r="N99" s="183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  <c r="FG99" s="49"/>
      <c r="FH99" s="49"/>
      <c r="FI99" s="49"/>
      <c r="FJ99" s="49"/>
      <c r="FK99" s="49"/>
      <c r="FL99" s="49"/>
      <c r="FM99" s="49"/>
      <c r="FN99" s="49"/>
      <c r="FO99" s="49"/>
      <c r="FP99" s="49"/>
      <c r="FQ99" s="49"/>
      <c r="FR99" s="49"/>
      <c r="FS99" s="49"/>
      <c r="FT99" s="49"/>
      <c r="FU99" s="49"/>
      <c r="FV99" s="49"/>
      <c r="FW99" s="49"/>
      <c r="FX99" s="49"/>
      <c r="FY99" s="49"/>
      <c r="FZ99" s="49"/>
      <c r="GA99" s="49"/>
      <c r="GB99" s="49"/>
      <c r="GC99" s="49"/>
      <c r="GD99" s="49"/>
      <c r="GE99" s="49"/>
      <c r="GF99" s="49"/>
      <c r="GG99" s="49"/>
      <c r="GH99" s="49"/>
      <c r="GI99" s="49"/>
      <c r="GJ99" s="49"/>
      <c r="GK99" s="49"/>
      <c r="GL99" s="49"/>
      <c r="GM99" s="49"/>
      <c r="GN99" s="49"/>
      <c r="GO99" s="49"/>
      <c r="GP99" s="49"/>
      <c r="GQ99" s="49"/>
      <c r="GR99" s="49"/>
      <c r="GS99" s="49"/>
      <c r="GT99" s="49"/>
      <c r="GU99" s="49"/>
      <c r="GV99" s="49"/>
      <c r="GW99" s="49"/>
      <c r="GX99" s="49"/>
      <c r="GY99" s="49"/>
      <c r="GZ99" s="49"/>
      <c r="HA99" s="49"/>
      <c r="HB99" s="49"/>
      <c r="HC99" s="49"/>
      <c r="HD99" s="49"/>
      <c r="HE99" s="49"/>
      <c r="HF99" s="49"/>
      <c r="HG99" s="49"/>
      <c r="HH99" s="49"/>
      <c r="HI99" s="49"/>
      <c r="HJ99" s="49"/>
      <c r="HK99" s="49"/>
      <c r="HL99" s="49"/>
      <c r="HM99" s="49"/>
      <c r="HN99" s="49"/>
      <c r="HO99" s="49"/>
      <c r="HP99" s="49"/>
      <c r="HQ99" s="49"/>
      <c r="HR99" s="49"/>
      <c r="HS99" s="49"/>
      <c r="HT99" s="49"/>
      <c r="HU99" s="49"/>
      <c r="HV99" s="49"/>
      <c r="HW99" s="49"/>
      <c r="HX99" s="49"/>
      <c r="HY99" s="49"/>
      <c r="HZ99" s="49"/>
      <c r="IA99" s="49"/>
      <c r="IB99" s="49"/>
      <c r="IC99" s="49"/>
      <c r="ID99" s="49"/>
      <c r="IE99" s="49"/>
      <c r="IF99" s="49"/>
      <c r="IG99" s="49"/>
      <c r="IH99" s="49"/>
      <c r="II99" s="49"/>
      <c r="IJ99" s="49"/>
      <c r="IK99" s="49"/>
      <c r="IL99" s="49"/>
      <c r="IM99" s="49"/>
      <c r="IN99" s="49"/>
      <c r="IO99" s="49"/>
      <c r="IP99" s="49"/>
      <c r="IQ99" s="49"/>
      <c r="IR99" s="49"/>
      <c r="IS99" s="49"/>
      <c r="IT99" s="49"/>
      <c r="IU99" s="49"/>
      <c r="IV99" s="49"/>
    </row>
    <row r="100" spans="1:256" ht="25.5" x14ac:dyDescent="0.25">
      <c r="A100" s="62"/>
      <c r="B100" s="108"/>
      <c r="C100" s="44"/>
      <c r="D100" s="68"/>
      <c r="E100" s="81"/>
      <c r="F100" s="48"/>
      <c r="G100" s="111">
        <f t="shared" si="6"/>
        <v>0</v>
      </c>
      <c r="H100" s="235"/>
      <c r="I100" s="76" t="s">
        <v>45</v>
      </c>
      <c r="J100" s="44" t="s">
        <v>7</v>
      </c>
      <c r="K100" s="67">
        <f>D96*0.32</f>
        <v>25.241599999999998</v>
      </c>
      <c r="L100" s="67">
        <v>46</v>
      </c>
      <c r="M100" s="68">
        <f t="shared" si="9"/>
        <v>1161.1135999999999</v>
      </c>
      <c r="N100" s="183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49"/>
      <c r="EX100" s="49"/>
      <c r="EY100" s="49"/>
      <c r="EZ100" s="49"/>
      <c r="FA100" s="49"/>
      <c r="FB100" s="49"/>
      <c r="FC100" s="49"/>
      <c r="FD100" s="49"/>
      <c r="FE100" s="49"/>
      <c r="FF100" s="49"/>
      <c r="FG100" s="49"/>
      <c r="FH100" s="49"/>
      <c r="FI100" s="49"/>
      <c r="FJ100" s="49"/>
      <c r="FK100" s="49"/>
      <c r="FL100" s="49"/>
      <c r="FM100" s="49"/>
      <c r="FN100" s="49"/>
      <c r="FO100" s="49"/>
      <c r="FP100" s="49"/>
      <c r="FQ100" s="49"/>
      <c r="FR100" s="49"/>
      <c r="FS100" s="49"/>
      <c r="FT100" s="49"/>
      <c r="FU100" s="49"/>
      <c r="FV100" s="49"/>
      <c r="FW100" s="49"/>
      <c r="FX100" s="49"/>
      <c r="FY100" s="49"/>
      <c r="FZ100" s="49"/>
      <c r="GA100" s="49"/>
      <c r="GB100" s="49"/>
      <c r="GC100" s="49"/>
      <c r="GD100" s="49"/>
      <c r="GE100" s="49"/>
      <c r="GF100" s="49"/>
      <c r="GG100" s="49"/>
      <c r="GH100" s="49"/>
      <c r="GI100" s="49"/>
      <c r="GJ100" s="49"/>
      <c r="GK100" s="49"/>
      <c r="GL100" s="49"/>
      <c r="GM100" s="49"/>
      <c r="GN100" s="49"/>
      <c r="GO100" s="49"/>
      <c r="GP100" s="49"/>
      <c r="GQ100" s="49"/>
      <c r="GR100" s="49"/>
      <c r="GS100" s="49"/>
      <c r="GT100" s="49"/>
      <c r="GU100" s="49"/>
      <c r="GV100" s="49"/>
      <c r="GW100" s="49"/>
      <c r="GX100" s="49"/>
      <c r="GY100" s="49"/>
      <c r="GZ100" s="49"/>
      <c r="HA100" s="49"/>
      <c r="HB100" s="49"/>
      <c r="HC100" s="49"/>
      <c r="HD100" s="49"/>
      <c r="HE100" s="49"/>
      <c r="HF100" s="49"/>
      <c r="HG100" s="49"/>
      <c r="HH100" s="49"/>
      <c r="HI100" s="49"/>
      <c r="HJ100" s="49"/>
      <c r="HK100" s="49"/>
      <c r="HL100" s="49"/>
      <c r="HM100" s="49"/>
      <c r="HN100" s="49"/>
      <c r="HO100" s="49"/>
      <c r="HP100" s="49"/>
      <c r="HQ100" s="49"/>
      <c r="HR100" s="49"/>
      <c r="HS100" s="49"/>
      <c r="HT100" s="49"/>
      <c r="HU100" s="49"/>
      <c r="HV100" s="49"/>
      <c r="HW100" s="49"/>
      <c r="HX100" s="49"/>
      <c r="HY100" s="49"/>
      <c r="HZ100" s="49"/>
      <c r="IA100" s="49"/>
      <c r="IB100" s="49"/>
      <c r="IC100" s="49"/>
      <c r="ID100" s="49"/>
      <c r="IE100" s="49"/>
      <c r="IF100" s="49"/>
      <c r="IG100" s="49"/>
      <c r="IH100" s="49"/>
      <c r="II100" s="49"/>
      <c r="IJ100" s="49"/>
      <c r="IK100" s="49"/>
      <c r="IL100" s="49"/>
      <c r="IM100" s="49"/>
      <c r="IN100" s="49"/>
      <c r="IO100" s="49"/>
      <c r="IP100" s="49"/>
      <c r="IQ100" s="49"/>
      <c r="IR100" s="49"/>
      <c r="IS100" s="49"/>
      <c r="IT100" s="49"/>
      <c r="IU100" s="49"/>
      <c r="IV100" s="49"/>
    </row>
    <row r="101" spans="1:256" ht="25.5" x14ac:dyDescent="0.25">
      <c r="A101" s="78"/>
      <c r="B101" s="79"/>
      <c r="C101" s="80"/>
      <c r="D101" s="158"/>
      <c r="E101" s="81"/>
      <c r="F101" s="81"/>
      <c r="G101" s="111">
        <f t="shared" si="6"/>
        <v>0</v>
      </c>
      <c r="H101" s="235"/>
      <c r="I101" s="76" t="s">
        <v>42</v>
      </c>
      <c r="J101" s="44" t="s">
        <v>7</v>
      </c>
      <c r="K101" s="67">
        <f>D96</f>
        <v>78.88</v>
      </c>
      <c r="L101" s="67">
        <v>3.25</v>
      </c>
      <c r="M101" s="68">
        <f t="shared" si="9"/>
        <v>256.36</v>
      </c>
      <c r="N101" s="16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49"/>
      <c r="DS101" s="49"/>
      <c r="DT101" s="49"/>
      <c r="DU101" s="49"/>
      <c r="DV101" s="49"/>
      <c r="DW101" s="49"/>
      <c r="DX101" s="49"/>
      <c r="DY101" s="49"/>
      <c r="DZ101" s="49"/>
      <c r="EA101" s="49"/>
      <c r="EB101" s="49"/>
      <c r="EC101" s="49"/>
      <c r="ED101" s="49"/>
      <c r="EE101" s="49"/>
      <c r="EF101" s="49"/>
      <c r="EG101" s="49"/>
      <c r="EH101" s="49"/>
      <c r="EI101" s="49"/>
      <c r="EJ101" s="49"/>
      <c r="EK101" s="49"/>
      <c r="EL101" s="49"/>
      <c r="EM101" s="49"/>
      <c r="EN101" s="49"/>
      <c r="EO101" s="49"/>
      <c r="EP101" s="49"/>
      <c r="EQ101" s="49"/>
      <c r="ER101" s="49"/>
      <c r="ES101" s="49"/>
      <c r="ET101" s="49"/>
      <c r="EU101" s="49"/>
      <c r="EV101" s="49"/>
      <c r="EW101" s="49"/>
      <c r="EX101" s="49"/>
      <c r="EY101" s="49"/>
      <c r="EZ101" s="49"/>
      <c r="FA101" s="49"/>
      <c r="FB101" s="49"/>
      <c r="FC101" s="49"/>
      <c r="FD101" s="49"/>
      <c r="FE101" s="49"/>
      <c r="FF101" s="49"/>
      <c r="FG101" s="49"/>
      <c r="FH101" s="49"/>
      <c r="FI101" s="49"/>
      <c r="FJ101" s="49"/>
      <c r="FK101" s="49"/>
      <c r="FL101" s="49"/>
      <c r="FM101" s="49"/>
      <c r="FN101" s="49"/>
      <c r="FO101" s="49"/>
      <c r="FP101" s="49"/>
      <c r="FQ101" s="49"/>
      <c r="FR101" s="49"/>
      <c r="FS101" s="49"/>
      <c r="FT101" s="49"/>
      <c r="FU101" s="49"/>
      <c r="FV101" s="49"/>
      <c r="FW101" s="49"/>
      <c r="FX101" s="49"/>
      <c r="FY101" s="49"/>
      <c r="FZ101" s="49"/>
      <c r="GA101" s="49"/>
      <c r="GB101" s="49"/>
      <c r="GC101" s="49"/>
      <c r="GD101" s="49"/>
      <c r="GE101" s="49"/>
      <c r="GF101" s="49"/>
      <c r="GG101" s="49"/>
      <c r="GH101" s="49"/>
      <c r="GI101" s="49"/>
      <c r="GJ101" s="49"/>
      <c r="GK101" s="49"/>
      <c r="GL101" s="49"/>
      <c r="GM101" s="49"/>
      <c r="GN101" s="49"/>
      <c r="GO101" s="49"/>
      <c r="GP101" s="49"/>
      <c r="GQ101" s="49"/>
      <c r="GR101" s="49"/>
      <c r="GS101" s="49"/>
      <c r="GT101" s="49"/>
      <c r="GU101" s="49"/>
      <c r="GV101" s="49"/>
      <c r="GW101" s="49"/>
      <c r="GX101" s="49"/>
      <c r="GY101" s="49"/>
      <c r="GZ101" s="49"/>
      <c r="HA101" s="49"/>
      <c r="HB101" s="49"/>
      <c r="HC101" s="49"/>
      <c r="HD101" s="49"/>
      <c r="HE101" s="49"/>
      <c r="HF101" s="49"/>
      <c r="HG101" s="49"/>
      <c r="HH101" s="49"/>
      <c r="HI101" s="49"/>
      <c r="HJ101" s="49"/>
      <c r="HK101" s="49"/>
      <c r="HL101" s="49"/>
      <c r="HM101" s="49"/>
      <c r="HN101" s="49"/>
      <c r="HO101" s="49"/>
      <c r="HP101" s="49"/>
      <c r="HQ101" s="49"/>
      <c r="HR101" s="49"/>
      <c r="HS101" s="49"/>
      <c r="HT101" s="49"/>
      <c r="HU101" s="49"/>
      <c r="HV101" s="49"/>
      <c r="HW101" s="49"/>
      <c r="HX101" s="49"/>
      <c r="HY101" s="49"/>
      <c r="HZ101" s="49"/>
      <c r="IA101" s="49"/>
      <c r="IB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</row>
    <row r="102" spans="1:256" ht="25.5" x14ac:dyDescent="0.25">
      <c r="A102" s="78"/>
      <c r="B102" s="79"/>
      <c r="C102" s="80"/>
      <c r="D102" s="158"/>
      <c r="E102" s="81"/>
      <c r="F102" s="81"/>
      <c r="G102" s="111">
        <f t="shared" si="6"/>
        <v>0</v>
      </c>
      <c r="H102" s="235"/>
      <c r="I102" s="76" t="s">
        <v>43</v>
      </c>
      <c r="J102" s="44" t="s">
        <v>7</v>
      </c>
      <c r="K102" s="67">
        <f>D96</f>
        <v>78.88</v>
      </c>
      <c r="L102" s="67">
        <v>3.25</v>
      </c>
      <c r="M102" s="68">
        <f t="shared" si="9"/>
        <v>256.36</v>
      </c>
      <c r="N102" s="16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49"/>
      <c r="GH102" s="49"/>
      <c r="GI102" s="49"/>
      <c r="GJ102" s="49"/>
      <c r="GK102" s="49"/>
      <c r="GL102" s="49"/>
      <c r="GM102" s="49"/>
      <c r="GN102" s="49"/>
      <c r="GO102" s="49"/>
      <c r="GP102" s="49"/>
      <c r="GQ102" s="49"/>
      <c r="GR102" s="49"/>
      <c r="GS102" s="49"/>
      <c r="GT102" s="49"/>
      <c r="GU102" s="49"/>
      <c r="GV102" s="49"/>
      <c r="GW102" s="49"/>
      <c r="GX102" s="49"/>
      <c r="GY102" s="49"/>
      <c r="GZ102" s="49"/>
      <c r="HA102" s="49"/>
      <c r="HB102" s="49"/>
      <c r="HC102" s="49"/>
      <c r="HD102" s="49"/>
      <c r="HE102" s="49"/>
      <c r="HF102" s="49"/>
      <c r="HG102" s="49"/>
      <c r="HH102" s="49"/>
      <c r="HI102" s="49"/>
      <c r="HJ102" s="49"/>
      <c r="HK102" s="49"/>
      <c r="HL102" s="49"/>
      <c r="HM102" s="49"/>
      <c r="HN102" s="49"/>
      <c r="HO102" s="49"/>
      <c r="HP102" s="49"/>
      <c r="HQ102" s="49"/>
      <c r="HR102" s="49"/>
      <c r="HS102" s="49"/>
      <c r="HT102" s="49"/>
      <c r="HU102" s="49"/>
      <c r="HV102" s="49"/>
      <c r="HW102" s="49"/>
      <c r="HX102" s="49"/>
      <c r="HY102" s="49"/>
      <c r="HZ102" s="49"/>
      <c r="IA102" s="49"/>
      <c r="IB102" s="49"/>
      <c r="IC102" s="49"/>
      <c r="ID102" s="49"/>
      <c r="IE102" s="49"/>
      <c r="IF102" s="49"/>
      <c r="IG102" s="49"/>
      <c r="IH102" s="49"/>
      <c r="II102" s="49"/>
      <c r="IJ102" s="49"/>
      <c r="IK102" s="49"/>
      <c r="IL102" s="49"/>
      <c r="IM102" s="49"/>
      <c r="IN102" s="49"/>
      <c r="IO102" s="49"/>
      <c r="IP102" s="49"/>
      <c r="IQ102" s="49"/>
      <c r="IR102" s="49"/>
      <c r="IS102" s="49"/>
      <c r="IT102" s="49"/>
      <c r="IU102" s="49"/>
      <c r="IV102" s="49"/>
    </row>
    <row r="103" spans="1:256" s="85" customFormat="1" ht="25.5" x14ac:dyDescent="0.25">
      <c r="A103" s="82"/>
      <c r="B103" s="83"/>
      <c r="C103" s="84"/>
      <c r="D103" s="68"/>
      <c r="E103" s="81"/>
      <c r="F103" s="48"/>
      <c r="G103" s="111">
        <f t="shared" si="6"/>
        <v>0</v>
      </c>
      <c r="H103" s="235"/>
      <c r="I103" s="76" t="s">
        <v>44</v>
      </c>
      <c r="J103" s="44" t="s">
        <v>7</v>
      </c>
      <c r="K103" s="67">
        <f>D96</f>
        <v>78.88</v>
      </c>
      <c r="L103" s="67">
        <v>3.25</v>
      </c>
      <c r="M103" s="68">
        <f t="shared" si="9"/>
        <v>256.36</v>
      </c>
      <c r="N103" s="163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5" customFormat="1" ht="25.5" x14ac:dyDescent="0.25">
      <c r="A104" s="82"/>
      <c r="B104" s="42"/>
      <c r="C104" s="44"/>
      <c r="D104" s="68"/>
      <c r="E104" s="81"/>
      <c r="F104" s="48"/>
      <c r="G104" s="111">
        <f t="shared" si="6"/>
        <v>0</v>
      </c>
      <c r="H104" s="235"/>
      <c r="I104" s="73" t="s">
        <v>34</v>
      </c>
      <c r="J104" s="47" t="s">
        <v>7</v>
      </c>
      <c r="K104" s="67">
        <f>D96</f>
        <v>78.88</v>
      </c>
      <c r="L104" s="67">
        <v>2.7</v>
      </c>
      <c r="M104" s="68">
        <f t="shared" si="9"/>
        <v>212.976</v>
      </c>
      <c r="N104" s="163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ht="25.5" x14ac:dyDescent="0.25">
      <c r="A105" s="51"/>
      <c r="B105" s="52" t="s">
        <v>27</v>
      </c>
      <c r="C105" s="52"/>
      <c r="D105" s="88"/>
      <c r="E105" s="209"/>
      <c r="F105" s="53"/>
      <c r="G105" s="54">
        <f>SUM(G58:G104)</f>
        <v>28831.971000000001</v>
      </c>
      <c r="H105" s="236">
        <f>SUM(H58:H104)</f>
        <v>39275.1</v>
      </c>
      <c r="I105" s="55"/>
      <c r="J105" s="56"/>
      <c r="K105" s="87"/>
      <c r="L105" s="88"/>
      <c r="M105" s="89">
        <f>SUM(M58:M104)</f>
        <v>14977.786750000003</v>
      </c>
      <c r="N105" s="184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  <c r="IQ105" s="33"/>
      <c r="IR105" s="33"/>
      <c r="IS105" s="33"/>
      <c r="IT105" s="33"/>
      <c r="IU105" s="33"/>
      <c r="IV105" s="33"/>
    </row>
    <row r="106" spans="1:256" ht="25.5" x14ac:dyDescent="0.25">
      <c r="A106" s="57"/>
      <c r="B106" s="58" t="s">
        <v>28</v>
      </c>
      <c r="C106" s="58"/>
      <c r="D106" s="91"/>
      <c r="E106" s="210"/>
      <c r="F106" s="59"/>
      <c r="G106" s="59"/>
      <c r="H106" s="237"/>
      <c r="I106" s="60"/>
      <c r="J106" s="61"/>
      <c r="K106" s="90"/>
      <c r="L106" s="91"/>
      <c r="M106" s="91"/>
      <c r="N106" s="248">
        <f>M105+H105</f>
        <v>54252.886750000005</v>
      </c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  <c r="IQ106" s="33"/>
      <c r="IR106" s="33"/>
      <c r="IS106" s="33"/>
      <c r="IT106" s="33"/>
      <c r="IU106" s="33"/>
      <c r="IV106" s="33"/>
    </row>
    <row r="107" spans="1:256" ht="42" x14ac:dyDescent="0.25">
      <c r="A107" s="164"/>
      <c r="B107" s="125" t="s">
        <v>117</v>
      </c>
      <c r="C107" s="110"/>
      <c r="D107" s="159"/>
      <c r="E107" s="200"/>
      <c r="F107" s="110"/>
      <c r="G107" s="110"/>
      <c r="H107" s="228"/>
      <c r="I107" s="39"/>
      <c r="J107" s="38"/>
      <c r="K107" s="40"/>
      <c r="L107" s="37"/>
      <c r="M107" s="38"/>
      <c r="N107" s="165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  <c r="IQ107" s="33"/>
      <c r="IR107" s="33"/>
      <c r="IS107" s="33"/>
      <c r="IT107" s="33"/>
      <c r="IU107" s="33"/>
      <c r="IV107" s="33"/>
    </row>
    <row r="108" spans="1:256" ht="80.25" customHeight="1" x14ac:dyDescent="0.25">
      <c r="A108" s="82">
        <v>2</v>
      </c>
      <c r="B108" s="108" t="s">
        <v>119</v>
      </c>
      <c r="C108" s="44" t="s">
        <v>62</v>
      </c>
      <c r="D108" s="44">
        <f>2.4</f>
        <v>2.4</v>
      </c>
      <c r="E108" s="81">
        <v>260</v>
      </c>
      <c r="F108" s="48">
        <v>50</v>
      </c>
      <c r="G108" s="48">
        <f>D108*F108</f>
        <v>120</v>
      </c>
      <c r="H108" s="235">
        <f>E108*D108</f>
        <v>624</v>
      </c>
      <c r="I108" s="76" t="s">
        <v>118</v>
      </c>
      <c r="J108" s="44" t="s">
        <v>7</v>
      </c>
      <c r="K108" s="67">
        <v>0</v>
      </c>
      <c r="L108" s="107">
        <v>0</v>
      </c>
      <c r="M108" s="107">
        <f t="shared" ref="M108:M115" si="10">L108*K108</f>
        <v>0</v>
      </c>
      <c r="N108" s="171" t="s">
        <v>103</v>
      </c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  <c r="DU108" s="49"/>
      <c r="DV108" s="49"/>
      <c r="DW108" s="49"/>
      <c r="DX108" s="49"/>
      <c r="DY108" s="49"/>
      <c r="DZ108" s="49"/>
      <c r="EA108" s="49"/>
      <c r="EB108" s="49"/>
      <c r="EC108" s="49"/>
      <c r="ED108" s="49"/>
      <c r="EE108" s="49"/>
      <c r="EF108" s="49"/>
      <c r="EG108" s="49"/>
      <c r="EH108" s="49"/>
      <c r="EI108" s="49"/>
      <c r="EJ108" s="49"/>
      <c r="EK108" s="49"/>
      <c r="EL108" s="49"/>
      <c r="EM108" s="49"/>
      <c r="EN108" s="49"/>
      <c r="EO108" s="49"/>
      <c r="EP108" s="49"/>
      <c r="EQ108" s="49"/>
      <c r="ER108" s="49"/>
      <c r="ES108" s="49"/>
      <c r="ET108" s="49"/>
      <c r="EU108" s="49"/>
      <c r="EV108" s="49"/>
      <c r="EW108" s="49"/>
      <c r="EX108" s="49"/>
      <c r="EY108" s="49"/>
      <c r="EZ108" s="49"/>
      <c r="FA108" s="49"/>
      <c r="FB108" s="49"/>
      <c r="FC108" s="49"/>
      <c r="FD108" s="49"/>
      <c r="FE108" s="49"/>
      <c r="FF108" s="49"/>
      <c r="FG108" s="49"/>
      <c r="FH108" s="49"/>
      <c r="FI108" s="49"/>
      <c r="FJ108" s="49"/>
      <c r="FK108" s="49"/>
      <c r="FL108" s="49"/>
      <c r="FM108" s="49"/>
      <c r="FN108" s="49"/>
      <c r="FO108" s="49"/>
      <c r="FP108" s="49"/>
      <c r="FQ108" s="49"/>
      <c r="FR108" s="49"/>
      <c r="FS108" s="49"/>
      <c r="FT108" s="49"/>
      <c r="FU108" s="49"/>
      <c r="FV108" s="49"/>
      <c r="FW108" s="49"/>
      <c r="FX108" s="49"/>
      <c r="FY108" s="49"/>
      <c r="FZ108" s="49"/>
      <c r="GA108" s="49"/>
      <c r="GB108" s="49"/>
      <c r="GC108" s="49"/>
      <c r="GD108" s="49"/>
      <c r="GE108" s="49"/>
      <c r="GF108" s="49"/>
      <c r="GG108" s="49"/>
      <c r="GH108" s="49"/>
      <c r="GI108" s="49"/>
      <c r="GJ108" s="49"/>
      <c r="GK108" s="49"/>
      <c r="GL108" s="49"/>
      <c r="GM108" s="49"/>
      <c r="GN108" s="49"/>
      <c r="GO108" s="49"/>
      <c r="GP108" s="49"/>
      <c r="GQ108" s="49"/>
      <c r="GR108" s="49"/>
      <c r="GS108" s="49"/>
      <c r="GT108" s="49"/>
      <c r="GU108" s="49"/>
      <c r="GV108" s="49"/>
      <c r="GW108" s="49"/>
      <c r="GX108" s="49"/>
      <c r="GY108" s="49"/>
      <c r="GZ108" s="49"/>
      <c r="HA108" s="49"/>
      <c r="HB108" s="49"/>
      <c r="HC108" s="49"/>
      <c r="HD108" s="49"/>
      <c r="HE108" s="49"/>
      <c r="HF108" s="49"/>
      <c r="HG108" s="49"/>
      <c r="HH108" s="49"/>
      <c r="HI108" s="49"/>
      <c r="HJ108" s="49"/>
      <c r="HK108" s="49"/>
      <c r="HL108" s="49"/>
      <c r="HM108" s="49"/>
      <c r="HN108" s="49"/>
      <c r="HO108" s="49"/>
      <c r="HP108" s="49"/>
      <c r="HQ108" s="49"/>
      <c r="HR108" s="49"/>
      <c r="HS108" s="49"/>
      <c r="HT108" s="49"/>
      <c r="HU108" s="49"/>
      <c r="HV108" s="49"/>
      <c r="HW108" s="49"/>
      <c r="HX108" s="49"/>
      <c r="HY108" s="49"/>
      <c r="HZ108" s="49"/>
      <c r="IA108" s="49"/>
      <c r="IB108" s="49"/>
      <c r="IC108" s="49"/>
      <c r="ID108" s="49"/>
      <c r="IE108" s="49"/>
      <c r="IF108" s="49"/>
      <c r="IG108" s="49"/>
      <c r="IH108" s="49"/>
      <c r="II108" s="49"/>
      <c r="IJ108" s="49"/>
      <c r="IK108" s="49"/>
      <c r="IL108" s="49"/>
      <c r="IM108" s="49"/>
      <c r="IN108" s="49"/>
      <c r="IO108" s="49"/>
      <c r="IP108" s="49"/>
      <c r="IQ108" s="49"/>
      <c r="IR108" s="49"/>
      <c r="IS108" s="49"/>
      <c r="IT108" s="49"/>
      <c r="IU108" s="49"/>
      <c r="IV108" s="49"/>
    </row>
    <row r="109" spans="1:256" ht="25.5" x14ac:dyDescent="0.25">
      <c r="A109" s="82"/>
      <c r="B109" s="108"/>
      <c r="C109" s="44"/>
      <c r="D109" s="44"/>
      <c r="E109" s="81"/>
      <c r="F109" s="48"/>
      <c r="G109" s="48">
        <f t="shared" ref="G109:G119" si="11">D109*F109</f>
        <v>0</v>
      </c>
      <c r="H109" s="235"/>
      <c r="I109" s="76" t="s">
        <v>132</v>
      </c>
      <c r="J109" s="44" t="s">
        <v>2</v>
      </c>
      <c r="K109" s="44">
        <f>D108*0.25*15</f>
        <v>9</v>
      </c>
      <c r="L109" s="67">
        <v>4.2</v>
      </c>
      <c r="M109" s="68">
        <f t="shared" si="10"/>
        <v>37.800000000000004</v>
      </c>
      <c r="N109" s="181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  <c r="DU109" s="49"/>
      <c r="DV109" s="49"/>
      <c r="DW109" s="49"/>
      <c r="DX109" s="49"/>
      <c r="DY109" s="49"/>
      <c r="DZ109" s="49"/>
      <c r="EA109" s="49"/>
      <c r="EB109" s="49"/>
      <c r="EC109" s="49"/>
      <c r="ED109" s="49"/>
      <c r="EE109" s="49"/>
      <c r="EF109" s="49"/>
      <c r="EG109" s="49"/>
      <c r="EH109" s="49"/>
      <c r="EI109" s="49"/>
      <c r="EJ109" s="49"/>
      <c r="EK109" s="49"/>
      <c r="EL109" s="49"/>
      <c r="EM109" s="49"/>
      <c r="EN109" s="49"/>
      <c r="EO109" s="49"/>
      <c r="EP109" s="49"/>
      <c r="EQ109" s="49"/>
      <c r="ER109" s="49"/>
      <c r="ES109" s="49"/>
      <c r="ET109" s="49"/>
      <c r="EU109" s="49"/>
      <c r="EV109" s="49"/>
      <c r="EW109" s="49"/>
      <c r="EX109" s="49"/>
      <c r="EY109" s="49"/>
      <c r="EZ109" s="49"/>
      <c r="FA109" s="49"/>
      <c r="FB109" s="49"/>
      <c r="FC109" s="49"/>
      <c r="FD109" s="49"/>
      <c r="FE109" s="49"/>
      <c r="FF109" s="49"/>
      <c r="FG109" s="49"/>
      <c r="FH109" s="49"/>
      <c r="FI109" s="49"/>
      <c r="FJ109" s="49"/>
      <c r="FK109" s="49"/>
      <c r="FL109" s="49"/>
      <c r="FM109" s="49"/>
      <c r="FN109" s="49"/>
      <c r="FO109" s="49"/>
      <c r="FP109" s="49"/>
      <c r="FQ109" s="49"/>
      <c r="FR109" s="49"/>
      <c r="FS109" s="49"/>
      <c r="FT109" s="49"/>
      <c r="FU109" s="49"/>
      <c r="FV109" s="49"/>
      <c r="FW109" s="49"/>
      <c r="FX109" s="49"/>
      <c r="FY109" s="49"/>
      <c r="FZ109" s="49"/>
      <c r="GA109" s="49"/>
      <c r="GB109" s="49"/>
      <c r="GC109" s="49"/>
      <c r="GD109" s="49"/>
      <c r="GE109" s="49"/>
      <c r="GF109" s="49"/>
      <c r="GG109" s="49"/>
      <c r="GH109" s="49"/>
      <c r="GI109" s="49"/>
      <c r="GJ109" s="49"/>
      <c r="GK109" s="49"/>
      <c r="GL109" s="49"/>
      <c r="GM109" s="49"/>
      <c r="GN109" s="49"/>
      <c r="GO109" s="49"/>
      <c r="GP109" s="49"/>
      <c r="GQ109" s="49"/>
      <c r="GR109" s="49"/>
      <c r="GS109" s="49"/>
      <c r="GT109" s="49"/>
      <c r="GU109" s="49"/>
      <c r="GV109" s="49"/>
      <c r="GW109" s="49"/>
      <c r="GX109" s="49"/>
      <c r="GY109" s="49"/>
      <c r="GZ109" s="49"/>
      <c r="HA109" s="49"/>
      <c r="HB109" s="49"/>
      <c r="HC109" s="49"/>
      <c r="HD109" s="49"/>
      <c r="HE109" s="49"/>
      <c r="HF109" s="49"/>
      <c r="HG109" s="49"/>
      <c r="HH109" s="49"/>
      <c r="HI109" s="49"/>
      <c r="HJ109" s="49"/>
      <c r="HK109" s="49"/>
      <c r="HL109" s="49"/>
      <c r="HM109" s="49"/>
      <c r="HN109" s="49"/>
      <c r="HO109" s="49"/>
      <c r="HP109" s="49"/>
      <c r="HQ109" s="49"/>
      <c r="HR109" s="49"/>
      <c r="HS109" s="49"/>
      <c r="HT109" s="49"/>
      <c r="HU109" s="49"/>
      <c r="HV109" s="49"/>
      <c r="HW109" s="49"/>
      <c r="HX109" s="49"/>
      <c r="HY109" s="49"/>
      <c r="HZ109" s="49"/>
      <c r="IA109" s="49"/>
      <c r="IB109" s="49"/>
      <c r="IC109" s="49"/>
      <c r="ID109" s="49"/>
      <c r="IE109" s="49"/>
      <c r="IF109" s="49"/>
      <c r="IG109" s="49"/>
      <c r="IH109" s="49"/>
      <c r="II109" s="49"/>
      <c r="IJ109" s="49"/>
      <c r="IK109" s="49"/>
      <c r="IL109" s="49"/>
      <c r="IM109" s="49"/>
      <c r="IN109" s="49"/>
      <c r="IO109" s="49"/>
      <c r="IP109" s="49"/>
      <c r="IQ109" s="49"/>
      <c r="IR109" s="49"/>
      <c r="IS109" s="49"/>
      <c r="IT109" s="49"/>
      <c r="IU109" s="49"/>
      <c r="IV109" s="49"/>
    </row>
    <row r="110" spans="1:256" ht="42" x14ac:dyDescent="0.25">
      <c r="A110" s="82">
        <v>3</v>
      </c>
      <c r="B110" s="108" t="s">
        <v>120</v>
      </c>
      <c r="C110" s="44" t="s">
        <v>62</v>
      </c>
      <c r="D110" s="44">
        <f>16</f>
        <v>16</v>
      </c>
      <c r="E110" s="81">
        <v>220</v>
      </c>
      <c r="F110" s="48">
        <v>50</v>
      </c>
      <c r="G110" s="48">
        <f t="shared" si="11"/>
        <v>800</v>
      </c>
      <c r="H110" s="235">
        <f>E110*D110</f>
        <v>3520</v>
      </c>
      <c r="I110" s="76" t="s">
        <v>118</v>
      </c>
      <c r="J110" s="44" t="s">
        <v>7</v>
      </c>
      <c r="K110" s="67">
        <v>0</v>
      </c>
      <c r="L110" s="107">
        <v>0</v>
      </c>
      <c r="M110" s="107">
        <f t="shared" si="10"/>
        <v>0</v>
      </c>
      <c r="N110" s="171" t="s">
        <v>103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49"/>
      <c r="EX110" s="49"/>
      <c r="EY110" s="49"/>
      <c r="EZ110" s="49"/>
      <c r="FA110" s="49"/>
      <c r="FB110" s="49"/>
      <c r="FC110" s="49"/>
      <c r="FD110" s="49"/>
      <c r="FE110" s="49"/>
      <c r="FF110" s="49"/>
      <c r="FG110" s="49"/>
      <c r="FH110" s="49"/>
      <c r="FI110" s="49"/>
      <c r="FJ110" s="49"/>
      <c r="FK110" s="49"/>
      <c r="FL110" s="49"/>
      <c r="FM110" s="49"/>
      <c r="FN110" s="49"/>
      <c r="FO110" s="49"/>
      <c r="FP110" s="49"/>
      <c r="FQ110" s="49"/>
      <c r="FR110" s="49"/>
      <c r="FS110" s="49"/>
      <c r="FT110" s="49"/>
      <c r="FU110" s="49"/>
      <c r="FV110" s="49"/>
      <c r="FW110" s="49"/>
      <c r="FX110" s="49"/>
      <c r="FY110" s="49"/>
      <c r="FZ110" s="49"/>
      <c r="GA110" s="49"/>
      <c r="GB110" s="49"/>
      <c r="GC110" s="49"/>
      <c r="GD110" s="49"/>
      <c r="GE110" s="49"/>
      <c r="GF110" s="49"/>
      <c r="GG110" s="49"/>
      <c r="GH110" s="49"/>
      <c r="GI110" s="49"/>
      <c r="GJ110" s="49"/>
      <c r="GK110" s="49"/>
      <c r="GL110" s="49"/>
      <c r="GM110" s="49"/>
      <c r="GN110" s="49"/>
      <c r="GO110" s="49"/>
      <c r="GP110" s="49"/>
      <c r="GQ110" s="49"/>
      <c r="GR110" s="49"/>
      <c r="GS110" s="49"/>
      <c r="GT110" s="49"/>
      <c r="GU110" s="49"/>
      <c r="GV110" s="49"/>
      <c r="GW110" s="49"/>
      <c r="GX110" s="49"/>
      <c r="GY110" s="49"/>
      <c r="GZ110" s="49"/>
      <c r="HA110" s="49"/>
      <c r="HB110" s="49"/>
      <c r="HC110" s="49"/>
      <c r="HD110" s="49"/>
      <c r="HE110" s="49"/>
      <c r="HF110" s="49"/>
      <c r="HG110" s="49"/>
      <c r="HH110" s="49"/>
      <c r="HI110" s="49"/>
      <c r="HJ110" s="49"/>
      <c r="HK110" s="49"/>
      <c r="HL110" s="49"/>
      <c r="HM110" s="49"/>
      <c r="HN110" s="49"/>
      <c r="HO110" s="49"/>
      <c r="HP110" s="49"/>
      <c r="HQ110" s="49"/>
      <c r="HR110" s="49"/>
      <c r="HS110" s="49"/>
      <c r="HT110" s="49"/>
      <c r="HU110" s="49"/>
      <c r="HV110" s="49"/>
      <c r="HW110" s="49"/>
      <c r="HX110" s="49"/>
      <c r="HY110" s="49"/>
      <c r="HZ110" s="49"/>
      <c r="IA110" s="49"/>
      <c r="IB110" s="49"/>
      <c r="IC110" s="49"/>
      <c r="ID110" s="49"/>
      <c r="IE110" s="49"/>
      <c r="IF110" s="49"/>
      <c r="IG110" s="49"/>
      <c r="IH110" s="49"/>
      <c r="II110" s="49"/>
      <c r="IJ110" s="49"/>
      <c r="IK110" s="49"/>
      <c r="IL110" s="49"/>
      <c r="IM110" s="49"/>
      <c r="IN110" s="49"/>
      <c r="IO110" s="49"/>
      <c r="IP110" s="49"/>
      <c r="IQ110" s="49"/>
      <c r="IR110" s="49"/>
      <c r="IS110" s="49"/>
      <c r="IT110" s="49"/>
      <c r="IU110" s="49"/>
      <c r="IV110" s="49"/>
    </row>
    <row r="111" spans="1:256" ht="25.5" x14ac:dyDescent="0.25">
      <c r="A111" s="82"/>
      <c r="B111" s="108"/>
      <c r="C111" s="44"/>
      <c r="D111" s="44"/>
      <c r="E111" s="81"/>
      <c r="F111" s="48"/>
      <c r="G111" s="48">
        <f t="shared" si="11"/>
        <v>0</v>
      </c>
      <c r="H111" s="235"/>
      <c r="I111" s="76" t="s">
        <v>132</v>
      </c>
      <c r="J111" s="44" t="s">
        <v>2</v>
      </c>
      <c r="K111" s="44">
        <f>D110*0.25*15</f>
        <v>60</v>
      </c>
      <c r="L111" s="67">
        <v>4.2</v>
      </c>
      <c r="M111" s="68">
        <f t="shared" si="10"/>
        <v>252</v>
      </c>
      <c r="N111" s="181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  <c r="DV111" s="49"/>
      <c r="DW111" s="49"/>
      <c r="DX111" s="49"/>
      <c r="DY111" s="49"/>
      <c r="DZ111" s="49"/>
      <c r="EA111" s="49"/>
      <c r="EB111" s="49"/>
      <c r="EC111" s="49"/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  <c r="EU111" s="49"/>
      <c r="EV111" s="49"/>
      <c r="EW111" s="49"/>
      <c r="EX111" s="49"/>
      <c r="EY111" s="49"/>
      <c r="EZ111" s="49"/>
      <c r="FA111" s="49"/>
      <c r="FB111" s="49"/>
      <c r="FC111" s="49"/>
      <c r="FD111" s="49"/>
      <c r="FE111" s="49"/>
      <c r="FF111" s="49"/>
      <c r="FG111" s="49"/>
      <c r="FH111" s="49"/>
      <c r="FI111" s="49"/>
      <c r="FJ111" s="49"/>
      <c r="FK111" s="49"/>
      <c r="FL111" s="49"/>
      <c r="FM111" s="49"/>
      <c r="FN111" s="49"/>
      <c r="FO111" s="49"/>
      <c r="FP111" s="49"/>
      <c r="FQ111" s="49"/>
      <c r="FR111" s="49"/>
      <c r="FS111" s="49"/>
      <c r="FT111" s="49"/>
      <c r="FU111" s="49"/>
      <c r="FV111" s="49"/>
      <c r="FW111" s="49"/>
      <c r="FX111" s="49"/>
      <c r="FY111" s="49"/>
      <c r="FZ111" s="49"/>
      <c r="GA111" s="49"/>
      <c r="GB111" s="49"/>
      <c r="GC111" s="49"/>
      <c r="GD111" s="49"/>
      <c r="GE111" s="49"/>
      <c r="GF111" s="49"/>
      <c r="GG111" s="49"/>
      <c r="GH111" s="49"/>
      <c r="GI111" s="49"/>
      <c r="GJ111" s="49"/>
      <c r="GK111" s="49"/>
      <c r="GL111" s="49"/>
      <c r="GM111" s="49"/>
      <c r="GN111" s="49"/>
      <c r="GO111" s="49"/>
      <c r="GP111" s="49"/>
      <c r="GQ111" s="49"/>
      <c r="GR111" s="49"/>
      <c r="GS111" s="49"/>
      <c r="GT111" s="49"/>
      <c r="GU111" s="49"/>
      <c r="GV111" s="49"/>
      <c r="GW111" s="49"/>
      <c r="GX111" s="49"/>
      <c r="GY111" s="49"/>
      <c r="GZ111" s="49"/>
      <c r="HA111" s="49"/>
      <c r="HB111" s="49"/>
      <c r="HC111" s="49"/>
      <c r="HD111" s="49"/>
      <c r="HE111" s="49"/>
      <c r="HF111" s="49"/>
      <c r="HG111" s="49"/>
      <c r="HH111" s="49"/>
      <c r="HI111" s="49"/>
      <c r="HJ111" s="49"/>
      <c r="HK111" s="49"/>
      <c r="HL111" s="49"/>
      <c r="HM111" s="49"/>
      <c r="HN111" s="49"/>
      <c r="HO111" s="49"/>
      <c r="HP111" s="49"/>
      <c r="HQ111" s="49"/>
      <c r="HR111" s="49"/>
      <c r="HS111" s="49"/>
      <c r="HT111" s="49"/>
      <c r="HU111" s="49"/>
      <c r="HV111" s="49"/>
      <c r="HW111" s="49"/>
      <c r="HX111" s="49"/>
      <c r="HY111" s="49"/>
      <c r="HZ111" s="49"/>
      <c r="IA111" s="49"/>
      <c r="IB111" s="49"/>
      <c r="IC111" s="49"/>
      <c r="ID111" s="49"/>
      <c r="IE111" s="49"/>
      <c r="IF111" s="49"/>
      <c r="IG111" s="49"/>
      <c r="IH111" s="49"/>
      <c r="II111" s="49"/>
      <c r="IJ111" s="49"/>
      <c r="IK111" s="49"/>
      <c r="IL111" s="49"/>
      <c r="IM111" s="49"/>
      <c r="IN111" s="49"/>
      <c r="IO111" s="49"/>
      <c r="IP111" s="49"/>
      <c r="IQ111" s="49"/>
      <c r="IR111" s="49"/>
      <c r="IS111" s="49"/>
      <c r="IT111" s="49"/>
      <c r="IU111" s="49"/>
      <c r="IV111" s="49"/>
    </row>
    <row r="112" spans="1:256" ht="42" x14ac:dyDescent="0.25">
      <c r="A112" s="82">
        <v>4</v>
      </c>
      <c r="B112" s="108" t="s">
        <v>128</v>
      </c>
      <c r="C112" s="44" t="s">
        <v>62</v>
      </c>
      <c r="D112" s="44">
        <f>16</f>
        <v>16</v>
      </c>
      <c r="E112" s="81">
        <v>15</v>
      </c>
      <c r="F112" s="48">
        <v>5</v>
      </c>
      <c r="G112" s="48">
        <f t="shared" si="11"/>
        <v>80</v>
      </c>
      <c r="H112" s="235">
        <f>E112*D112</f>
        <v>240</v>
      </c>
      <c r="I112" s="50" t="s">
        <v>8</v>
      </c>
      <c r="J112" s="47" t="s">
        <v>3</v>
      </c>
      <c r="K112" s="47">
        <f>D112*0.1*0.3</f>
        <v>0.48</v>
      </c>
      <c r="L112" s="67">
        <v>22.95</v>
      </c>
      <c r="M112" s="68">
        <f t="shared" si="10"/>
        <v>11.016</v>
      </c>
      <c r="N112" s="181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49"/>
      <c r="EE112" s="49"/>
      <c r="EF112" s="49"/>
      <c r="EG112" s="49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49"/>
      <c r="ES112" s="49"/>
      <c r="ET112" s="49"/>
      <c r="EU112" s="49"/>
      <c r="EV112" s="49"/>
      <c r="EW112" s="49"/>
      <c r="EX112" s="49"/>
      <c r="EY112" s="49"/>
      <c r="EZ112" s="49"/>
      <c r="FA112" s="49"/>
      <c r="FB112" s="49"/>
      <c r="FC112" s="49"/>
      <c r="FD112" s="49"/>
      <c r="FE112" s="49"/>
      <c r="FF112" s="49"/>
      <c r="FG112" s="49"/>
      <c r="FH112" s="49"/>
      <c r="FI112" s="49"/>
      <c r="FJ112" s="49"/>
      <c r="FK112" s="49"/>
      <c r="FL112" s="49"/>
      <c r="FM112" s="49"/>
      <c r="FN112" s="49"/>
      <c r="FO112" s="49"/>
      <c r="FP112" s="49"/>
      <c r="FQ112" s="49"/>
      <c r="FR112" s="49"/>
      <c r="FS112" s="49"/>
      <c r="FT112" s="49"/>
      <c r="FU112" s="49"/>
      <c r="FV112" s="49"/>
      <c r="FW112" s="49"/>
      <c r="FX112" s="49"/>
      <c r="FY112" s="49"/>
      <c r="FZ112" s="49"/>
      <c r="GA112" s="49"/>
      <c r="GB112" s="49"/>
      <c r="GC112" s="49"/>
      <c r="GD112" s="49"/>
      <c r="GE112" s="49"/>
      <c r="GF112" s="49"/>
      <c r="GG112" s="49"/>
      <c r="GH112" s="49"/>
      <c r="GI112" s="49"/>
      <c r="GJ112" s="49"/>
      <c r="GK112" s="49"/>
      <c r="GL112" s="49"/>
      <c r="GM112" s="49"/>
      <c r="GN112" s="49"/>
      <c r="GO112" s="49"/>
      <c r="GP112" s="49"/>
      <c r="GQ112" s="49"/>
      <c r="GR112" s="49"/>
      <c r="GS112" s="49"/>
      <c r="GT112" s="49"/>
      <c r="GU112" s="49"/>
      <c r="GV112" s="49"/>
      <c r="GW112" s="49"/>
      <c r="GX112" s="49"/>
      <c r="GY112" s="49"/>
      <c r="GZ112" s="49"/>
      <c r="HA112" s="49"/>
      <c r="HB112" s="49"/>
      <c r="HC112" s="49"/>
      <c r="HD112" s="49"/>
      <c r="HE112" s="49"/>
      <c r="HF112" s="49"/>
      <c r="HG112" s="49"/>
      <c r="HH112" s="49"/>
      <c r="HI112" s="49"/>
      <c r="HJ112" s="49"/>
      <c r="HK112" s="49"/>
      <c r="HL112" s="49"/>
      <c r="HM112" s="49"/>
      <c r="HN112" s="49"/>
      <c r="HO112" s="49"/>
      <c r="HP112" s="49"/>
      <c r="HQ112" s="49"/>
      <c r="HR112" s="49"/>
      <c r="HS112" s="49"/>
      <c r="HT112" s="49"/>
      <c r="HU112" s="49"/>
      <c r="HV112" s="49"/>
      <c r="HW112" s="49"/>
      <c r="HX112" s="49"/>
      <c r="HY112" s="49"/>
      <c r="HZ112" s="49"/>
      <c r="IA112" s="49"/>
      <c r="IB112" s="49"/>
      <c r="IC112" s="49"/>
      <c r="ID112" s="49"/>
      <c r="IE112" s="49"/>
      <c r="IF112" s="49"/>
      <c r="IG112" s="49"/>
      <c r="IH112" s="49"/>
      <c r="II112" s="49"/>
      <c r="IJ112" s="49"/>
      <c r="IK112" s="49"/>
      <c r="IL112" s="49"/>
      <c r="IM112" s="49"/>
      <c r="IN112" s="49"/>
      <c r="IO112" s="49"/>
      <c r="IP112" s="49"/>
      <c r="IQ112" s="49"/>
      <c r="IR112" s="49"/>
      <c r="IS112" s="49"/>
      <c r="IT112" s="49"/>
      <c r="IU112" s="49"/>
      <c r="IV112" s="49"/>
    </row>
    <row r="113" spans="1:256" ht="42" x14ac:dyDescent="0.25">
      <c r="A113" s="82">
        <v>4</v>
      </c>
      <c r="B113" s="108" t="s">
        <v>127</v>
      </c>
      <c r="C113" s="44" t="s">
        <v>62</v>
      </c>
      <c r="D113" s="44">
        <f>16</f>
        <v>16</v>
      </c>
      <c r="E113" s="81">
        <v>160</v>
      </c>
      <c r="F113" s="48">
        <v>50</v>
      </c>
      <c r="G113" s="48">
        <f t="shared" si="11"/>
        <v>800</v>
      </c>
      <c r="H113" s="235">
        <f>E113*D113</f>
        <v>2560</v>
      </c>
      <c r="I113" s="112" t="s">
        <v>47</v>
      </c>
      <c r="J113" s="67" t="s">
        <v>2</v>
      </c>
      <c r="K113" s="67">
        <f>D113*0.1*20</f>
        <v>32</v>
      </c>
      <c r="L113" s="67">
        <v>4.5999999999999996</v>
      </c>
      <c r="M113" s="67">
        <f t="shared" si="10"/>
        <v>147.19999999999999</v>
      </c>
      <c r="N113" s="181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  <c r="DV113" s="49"/>
      <c r="DW113" s="49"/>
      <c r="DX113" s="49"/>
      <c r="DY113" s="49"/>
      <c r="DZ113" s="49"/>
      <c r="EA113" s="49"/>
      <c r="EB113" s="49"/>
      <c r="EC113" s="49"/>
      <c r="ED113" s="49"/>
      <c r="EE113" s="49"/>
      <c r="EF113" s="49"/>
      <c r="EG113" s="49"/>
      <c r="EH113" s="49"/>
      <c r="EI113" s="49"/>
      <c r="EJ113" s="49"/>
      <c r="EK113" s="49"/>
      <c r="EL113" s="49"/>
      <c r="EM113" s="49"/>
      <c r="EN113" s="49"/>
      <c r="EO113" s="49"/>
      <c r="EP113" s="49"/>
      <c r="EQ113" s="49"/>
      <c r="ER113" s="49"/>
      <c r="ES113" s="49"/>
      <c r="ET113" s="49"/>
      <c r="EU113" s="49"/>
      <c r="EV113" s="49"/>
      <c r="EW113" s="49"/>
      <c r="EX113" s="49"/>
      <c r="EY113" s="49"/>
      <c r="EZ113" s="49"/>
      <c r="FA113" s="49"/>
      <c r="FB113" s="49"/>
      <c r="FC113" s="49"/>
      <c r="FD113" s="49"/>
      <c r="FE113" s="49"/>
      <c r="FF113" s="49"/>
      <c r="FG113" s="49"/>
      <c r="FH113" s="49"/>
      <c r="FI113" s="49"/>
      <c r="FJ113" s="49"/>
      <c r="FK113" s="49"/>
      <c r="FL113" s="49"/>
      <c r="FM113" s="49"/>
      <c r="FN113" s="49"/>
      <c r="FO113" s="49"/>
      <c r="FP113" s="49"/>
      <c r="FQ113" s="49"/>
      <c r="FR113" s="49"/>
      <c r="FS113" s="49"/>
      <c r="FT113" s="49"/>
      <c r="FU113" s="49"/>
      <c r="FV113" s="49"/>
      <c r="FW113" s="49"/>
      <c r="FX113" s="49"/>
      <c r="FY113" s="49"/>
      <c r="FZ113" s="49"/>
      <c r="GA113" s="49"/>
      <c r="GB113" s="49"/>
      <c r="GC113" s="49"/>
      <c r="GD113" s="49"/>
      <c r="GE113" s="49"/>
      <c r="GF113" s="49"/>
      <c r="GG113" s="49"/>
      <c r="GH113" s="49"/>
      <c r="GI113" s="49"/>
      <c r="GJ113" s="49"/>
      <c r="GK113" s="49"/>
      <c r="GL113" s="49"/>
      <c r="GM113" s="49"/>
      <c r="GN113" s="49"/>
      <c r="GO113" s="49"/>
      <c r="GP113" s="49"/>
      <c r="GQ113" s="49"/>
      <c r="GR113" s="49"/>
      <c r="GS113" s="49"/>
      <c r="GT113" s="49"/>
      <c r="GU113" s="49"/>
      <c r="GV113" s="49"/>
      <c r="GW113" s="49"/>
      <c r="GX113" s="49"/>
      <c r="GY113" s="49"/>
      <c r="GZ113" s="49"/>
      <c r="HA113" s="49"/>
      <c r="HB113" s="49"/>
      <c r="HC113" s="49"/>
      <c r="HD113" s="49"/>
      <c r="HE113" s="49"/>
      <c r="HF113" s="49"/>
      <c r="HG113" s="49"/>
      <c r="HH113" s="49"/>
      <c r="HI113" s="49"/>
      <c r="HJ113" s="49"/>
      <c r="HK113" s="49"/>
      <c r="HL113" s="49"/>
      <c r="HM113" s="49"/>
      <c r="HN113" s="49"/>
      <c r="HO113" s="49"/>
      <c r="HP113" s="49"/>
      <c r="HQ113" s="49"/>
      <c r="HR113" s="49"/>
      <c r="HS113" s="49"/>
      <c r="HT113" s="49"/>
      <c r="HU113" s="49"/>
      <c r="HV113" s="49"/>
      <c r="HW113" s="49"/>
      <c r="HX113" s="49"/>
      <c r="HY113" s="49"/>
      <c r="HZ113" s="49"/>
      <c r="IA113" s="49"/>
      <c r="IB113" s="49"/>
      <c r="IC113" s="49"/>
      <c r="ID113" s="49"/>
      <c r="IE113" s="49"/>
      <c r="IF113" s="49"/>
      <c r="IG113" s="49"/>
      <c r="IH113" s="49"/>
      <c r="II113" s="49"/>
      <c r="IJ113" s="49"/>
      <c r="IK113" s="49"/>
      <c r="IL113" s="49"/>
      <c r="IM113" s="49"/>
      <c r="IN113" s="49"/>
      <c r="IO113" s="49"/>
      <c r="IP113" s="49"/>
      <c r="IQ113" s="49"/>
      <c r="IR113" s="49"/>
      <c r="IS113" s="49"/>
      <c r="IT113" s="49"/>
      <c r="IU113" s="49"/>
      <c r="IV113" s="49"/>
    </row>
    <row r="114" spans="1:256" ht="25.5" x14ac:dyDescent="0.25">
      <c r="A114" s="82">
        <v>4</v>
      </c>
      <c r="B114" s="108" t="s">
        <v>122</v>
      </c>
      <c r="C114" s="44" t="s">
        <v>121</v>
      </c>
      <c r="D114" s="44">
        <f>1</f>
        <v>1</v>
      </c>
      <c r="E114" s="81">
        <v>390</v>
      </c>
      <c r="F114" s="48">
        <v>0</v>
      </c>
      <c r="G114" s="48">
        <f t="shared" si="11"/>
        <v>0</v>
      </c>
      <c r="H114" s="235">
        <f>E114*D114</f>
        <v>390</v>
      </c>
      <c r="I114" s="76" t="s">
        <v>123</v>
      </c>
      <c r="J114" s="44" t="s">
        <v>2</v>
      </c>
      <c r="K114" s="44">
        <v>6.09</v>
      </c>
      <c r="L114" s="67">
        <v>3.05</v>
      </c>
      <c r="M114" s="68">
        <f t="shared" si="10"/>
        <v>18.574499999999997</v>
      </c>
      <c r="N114" s="181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  <c r="DR114" s="49"/>
      <c r="DS114" s="49"/>
      <c r="DT114" s="49"/>
      <c r="DU114" s="49"/>
      <c r="DV114" s="49"/>
      <c r="DW114" s="49"/>
      <c r="DX114" s="49"/>
      <c r="DY114" s="49"/>
      <c r="DZ114" s="49"/>
      <c r="EA114" s="49"/>
      <c r="EB114" s="49"/>
      <c r="EC114" s="49"/>
      <c r="ED114" s="49"/>
      <c r="EE114" s="49"/>
      <c r="EF114" s="49"/>
      <c r="EG114" s="49"/>
      <c r="EH114" s="49"/>
      <c r="EI114" s="49"/>
      <c r="EJ114" s="49"/>
      <c r="EK114" s="49"/>
      <c r="EL114" s="49"/>
      <c r="EM114" s="49"/>
      <c r="EN114" s="49"/>
      <c r="EO114" s="49"/>
      <c r="EP114" s="49"/>
      <c r="EQ114" s="49"/>
      <c r="ER114" s="49"/>
      <c r="ES114" s="49"/>
      <c r="ET114" s="49"/>
      <c r="EU114" s="49"/>
      <c r="EV114" s="49"/>
      <c r="EW114" s="49"/>
      <c r="EX114" s="49"/>
      <c r="EY114" s="49"/>
      <c r="EZ114" s="49"/>
      <c r="FA114" s="49"/>
      <c r="FB114" s="49"/>
      <c r="FC114" s="49"/>
      <c r="FD114" s="49"/>
      <c r="FE114" s="49"/>
      <c r="FF114" s="49"/>
      <c r="FG114" s="49"/>
      <c r="FH114" s="49"/>
      <c r="FI114" s="49"/>
      <c r="FJ114" s="49"/>
      <c r="FK114" s="49"/>
      <c r="FL114" s="49"/>
      <c r="FM114" s="49"/>
      <c r="FN114" s="49"/>
      <c r="FO114" s="49"/>
      <c r="FP114" s="49"/>
      <c r="FQ114" s="49"/>
      <c r="FR114" s="49"/>
      <c r="FS114" s="49"/>
      <c r="FT114" s="49"/>
      <c r="FU114" s="49"/>
      <c r="FV114" s="49"/>
      <c r="FW114" s="49"/>
      <c r="FX114" s="49"/>
      <c r="FY114" s="49"/>
      <c r="FZ114" s="49"/>
      <c r="GA114" s="49"/>
      <c r="GB114" s="49"/>
      <c r="GC114" s="49"/>
      <c r="GD114" s="49"/>
      <c r="GE114" s="49"/>
      <c r="GF114" s="49"/>
      <c r="GG114" s="49"/>
      <c r="GH114" s="49"/>
      <c r="GI114" s="49"/>
      <c r="GJ114" s="49"/>
      <c r="GK114" s="49"/>
      <c r="GL114" s="49"/>
      <c r="GM114" s="49"/>
      <c r="GN114" s="49"/>
      <c r="GO114" s="49"/>
      <c r="GP114" s="49"/>
      <c r="GQ114" s="49"/>
      <c r="GR114" s="49"/>
      <c r="GS114" s="49"/>
      <c r="GT114" s="49"/>
      <c r="GU114" s="49"/>
      <c r="GV114" s="49"/>
      <c r="GW114" s="49"/>
      <c r="GX114" s="49"/>
      <c r="GY114" s="49"/>
      <c r="GZ114" s="49"/>
      <c r="HA114" s="49"/>
      <c r="HB114" s="49"/>
      <c r="HC114" s="49"/>
      <c r="HD114" s="49"/>
      <c r="HE114" s="49"/>
      <c r="HF114" s="49"/>
      <c r="HG114" s="49"/>
      <c r="HH114" s="49"/>
      <c r="HI114" s="49"/>
      <c r="HJ114" s="49"/>
      <c r="HK114" s="49"/>
      <c r="HL114" s="49"/>
      <c r="HM114" s="49"/>
      <c r="HN114" s="49"/>
      <c r="HO114" s="49"/>
      <c r="HP114" s="49"/>
      <c r="HQ114" s="49"/>
      <c r="HR114" s="49"/>
      <c r="HS114" s="49"/>
      <c r="HT114" s="49"/>
      <c r="HU114" s="49"/>
      <c r="HV114" s="49"/>
      <c r="HW114" s="49"/>
      <c r="HX114" s="49"/>
      <c r="HY114" s="49"/>
      <c r="HZ114" s="49"/>
      <c r="IA114" s="49"/>
      <c r="IB114" s="49"/>
      <c r="IC114" s="49"/>
      <c r="ID114" s="49"/>
      <c r="IE114" s="49"/>
      <c r="IF114" s="49"/>
      <c r="IG114" s="49"/>
      <c r="IH114" s="49"/>
      <c r="II114" s="49"/>
      <c r="IJ114" s="49"/>
      <c r="IK114" s="49"/>
      <c r="IL114" s="49"/>
      <c r="IM114" s="49"/>
      <c r="IN114" s="49"/>
      <c r="IO114" s="49"/>
      <c r="IP114" s="49"/>
      <c r="IQ114" s="49"/>
      <c r="IR114" s="49"/>
      <c r="IS114" s="49"/>
      <c r="IT114" s="49"/>
      <c r="IU114" s="49"/>
      <c r="IV114" s="49"/>
    </row>
    <row r="115" spans="1:256" ht="25.5" x14ac:dyDescent="0.25">
      <c r="A115" s="82"/>
      <c r="B115" s="108"/>
      <c r="C115" s="44"/>
      <c r="D115" s="44"/>
      <c r="E115" s="81"/>
      <c r="F115" s="48"/>
      <c r="G115" s="48">
        <f t="shared" si="11"/>
        <v>0</v>
      </c>
      <c r="H115" s="235"/>
      <c r="I115" s="76" t="s">
        <v>124</v>
      </c>
      <c r="J115" s="44" t="s">
        <v>2</v>
      </c>
      <c r="K115" s="44">
        <v>15</v>
      </c>
      <c r="L115" s="67">
        <v>0.8</v>
      </c>
      <c r="M115" s="68">
        <f t="shared" si="10"/>
        <v>12</v>
      </c>
      <c r="N115" s="181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  <c r="DS115" s="49"/>
      <c r="DT115" s="49"/>
      <c r="DU115" s="49"/>
      <c r="DV115" s="49"/>
      <c r="DW115" s="49"/>
      <c r="DX115" s="49"/>
      <c r="DY115" s="49"/>
      <c r="DZ115" s="49"/>
      <c r="EA115" s="49"/>
      <c r="EB115" s="49"/>
      <c r="EC115" s="49"/>
      <c r="ED115" s="49"/>
      <c r="EE115" s="49"/>
      <c r="EF115" s="49"/>
      <c r="EG115" s="49"/>
      <c r="EH115" s="49"/>
      <c r="EI115" s="49"/>
      <c r="EJ115" s="49"/>
      <c r="EK115" s="49"/>
      <c r="EL115" s="49"/>
      <c r="EM115" s="49"/>
      <c r="EN115" s="49"/>
      <c r="EO115" s="49"/>
      <c r="EP115" s="49"/>
      <c r="EQ115" s="49"/>
      <c r="ER115" s="49"/>
      <c r="ES115" s="49"/>
      <c r="ET115" s="49"/>
      <c r="EU115" s="49"/>
      <c r="EV115" s="49"/>
      <c r="EW115" s="49"/>
      <c r="EX115" s="49"/>
      <c r="EY115" s="49"/>
      <c r="EZ115" s="49"/>
      <c r="FA115" s="49"/>
      <c r="FB115" s="49"/>
      <c r="FC115" s="49"/>
      <c r="FD115" s="49"/>
      <c r="FE115" s="49"/>
      <c r="FF115" s="49"/>
      <c r="FG115" s="49"/>
      <c r="FH115" s="49"/>
      <c r="FI115" s="49"/>
      <c r="FJ115" s="49"/>
      <c r="FK115" s="49"/>
      <c r="FL115" s="49"/>
      <c r="FM115" s="49"/>
      <c r="FN115" s="49"/>
      <c r="FO115" s="49"/>
      <c r="FP115" s="49"/>
      <c r="FQ115" s="49"/>
      <c r="FR115" s="49"/>
      <c r="FS115" s="49"/>
      <c r="FT115" s="49"/>
      <c r="FU115" s="49"/>
      <c r="FV115" s="49"/>
      <c r="FW115" s="49"/>
      <c r="FX115" s="49"/>
      <c r="FY115" s="49"/>
      <c r="FZ115" s="49"/>
      <c r="GA115" s="49"/>
      <c r="GB115" s="49"/>
      <c r="GC115" s="49"/>
      <c r="GD115" s="49"/>
      <c r="GE115" s="49"/>
      <c r="GF115" s="49"/>
      <c r="GG115" s="49"/>
      <c r="GH115" s="49"/>
      <c r="GI115" s="49"/>
      <c r="GJ115" s="49"/>
      <c r="GK115" s="49"/>
      <c r="GL115" s="49"/>
      <c r="GM115" s="49"/>
      <c r="GN115" s="49"/>
      <c r="GO115" s="49"/>
      <c r="GP115" s="49"/>
      <c r="GQ115" s="49"/>
      <c r="GR115" s="49"/>
      <c r="GS115" s="49"/>
      <c r="GT115" s="49"/>
      <c r="GU115" s="49"/>
      <c r="GV115" s="49"/>
      <c r="GW115" s="49"/>
      <c r="GX115" s="49"/>
      <c r="GY115" s="49"/>
      <c r="GZ115" s="49"/>
      <c r="HA115" s="49"/>
      <c r="HB115" s="49"/>
      <c r="HC115" s="49"/>
      <c r="HD115" s="49"/>
      <c r="HE115" s="49"/>
      <c r="HF115" s="49"/>
      <c r="HG115" s="49"/>
      <c r="HH115" s="49"/>
      <c r="HI115" s="49"/>
      <c r="HJ115" s="49"/>
      <c r="HK115" s="49"/>
      <c r="HL115" s="49"/>
      <c r="HM115" s="49"/>
      <c r="HN115" s="49"/>
      <c r="HO115" s="49"/>
      <c r="HP115" s="49"/>
      <c r="HQ115" s="49"/>
      <c r="HR115" s="49"/>
      <c r="HS115" s="49"/>
      <c r="HT115" s="49"/>
      <c r="HU115" s="49"/>
      <c r="HV115" s="49"/>
      <c r="HW115" s="49"/>
      <c r="HX115" s="49"/>
      <c r="HY115" s="49"/>
      <c r="HZ115" s="49"/>
      <c r="IA115" s="49"/>
      <c r="IB115" s="49"/>
      <c r="IC115" s="49"/>
      <c r="ID115" s="49"/>
      <c r="IE115" s="49"/>
      <c r="IF115" s="49"/>
      <c r="IG115" s="49"/>
      <c r="IH115" s="49"/>
      <c r="II115" s="49"/>
      <c r="IJ115" s="49"/>
      <c r="IK115" s="49"/>
      <c r="IL115" s="49"/>
      <c r="IM115" s="49"/>
      <c r="IN115" s="49"/>
      <c r="IO115" s="49"/>
      <c r="IP115" s="49"/>
      <c r="IQ115" s="49"/>
      <c r="IR115" s="49"/>
      <c r="IS115" s="49"/>
      <c r="IT115" s="49"/>
      <c r="IU115" s="49"/>
      <c r="IV115" s="49"/>
    </row>
    <row r="116" spans="1:256" ht="66" x14ac:dyDescent="0.25">
      <c r="A116" s="152">
        <v>5</v>
      </c>
      <c r="B116" s="153" t="s">
        <v>125</v>
      </c>
      <c r="C116" s="154" t="s">
        <v>121</v>
      </c>
      <c r="D116" s="154">
        <f>14*1</f>
        <v>14</v>
      </c>
      <c r="E116" s="211"/>
      <c r="F116" s="155"/>
      <c r="G116" s="48">
        <f t="shared" si="11"/>
        <v>0</v>
      </c>
      <c r="H116" s="238"/>
      <c r="I116" s="156"/>
      <c r="J116" s="154"/>
      <c r="K116" s="154"/>
      <c r="L116" s="157"/>
      <c r="M116" s="157"/>
      <c r="N116" s="185" t="s">
        <v>126</v>
      </c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  <c r="DO116" s="49"/>
      <c r="DP116" s="49"/>
      <c r="DQ116" s="49"/>
      <c r="DR116" s="49"/>
      <c r="DS116" s="49"/>
      <c r="DT116" s="49"/>
      <c r="DU116" s="49"/>
      <c r="DV116" s="49"/>
      <c r="DW116" s="49"/>
      <c r="DX116" s="49"/>
      <c r="DY116" s="49"/>
      <c r="DZ116" s="49"/>
      <c r="EA116" s="49"/>
      <c r="EB116" s="49"/>
      <c r="EC116" s="49"/>
      <c r="ED116" s="49"/>
      <c r="EE116" s="49"/>
      <c r="EF116" s="49"/>
      <c r="EG116" s="49"/>
      <c r="EH116" s="49"/>
      <c r="EI116" s="49"/>
      <c r="EJ116" s="49"/>
      <c r="EK116" s="49"/>
      <c r="EL116" s="49"/>
      <c r="EM116" s="49"/>
      <c r="EN116" s="49"/>
      <c r="EO116" s="49"/>
      <c r="EP116" s="49"/>
      <c r="EQ116" s="49"/>
      <c r="ER116" s="49"/>
      <c r="ES116" s="49"/>
      <c r="ET116" s="49"/>
      <c r="EU116" s="49"/>
      <c r="EV116" s="49"/>
      <c r="EW116" s="49"/>
      <c r="EX116" s="49"/>
      <c r="EY116" s="49"/>
      <c r="EZ116" s="49"/>
      <c r="FA116" s="49"/>
      <c r="FB116" s="49"/>
      <c r="FC116" s="49"/>
      <c r="FD116" s="49"/>
      <c r="FE116" s="49"/>
      <c r="FF116" s="49"/>
      <c r="FG116" s="49"/>
      <c r="FH116" s="49"/>
      <c r="FI116" s="49"/>
      <c r="FJ116" s="49"/>
      <c r="FK116" s="49"/>
      <c r="FL116" s="49"/>
      <c r="FM116" s="49"/>
      <c r="FN116" s="49"/>
      <c r="FO116" s="49"/>
      <c r="FP116" s="49"/>
      <c r="FQ116" s="49"/>
      <c r="FR116" s="49"/>
      <c r="FS116" s="49"/>
      <c r="FT116" s="49"/>
      <c r="FU116" s="49"/>
      <c r="FV116" s="49"/>
      <c r="FW116" s="49"/>
      <c r="FX116" s="49"/>
      <c r="FY116" s="49"/>
      <c r="FZ116" s="49"/>
      <c r="GA116" s="49"/>
      <c r="GB116" s="49"/>
      <c r="GC116" s="49"/>
      <c r="GD116" s="49"/>
      <c r="GE116" s="49"/>
      <c r="GF116" s="49"/>
      <c r="GG116" s="49"/>
      <c r="GH116" s="49"/>
      <c r="GI116" s="49"/>
      <c r="GJ116" s="49"/>
      <c r="GK116" s="49"/>
      <c r="GL116" s="49"/>
      <c r="GM116" s="49"/>
      <c r="GN116" s="49"/>
      <c r="GO116" s="49"/>
      <c r="GP116" s="49"/>
      <c r="GQ116" s="49"/>
      <c r="GR116" s="49"/>
      <c r="GS116" s="49"/>
      <c r="GT116" s="49"/>
      <c r="GU116" s="49"/>
      <c r="GV116" s="49"/>
      <c r="GW116" s="49"/>
      <c r="GX116" s="49"/>
      <c r="GY116" s="49"/>
      <c r="GZ116" s="49"/>
      <c r="HA116" s="49"/>
      <c r="HB116" s="49"/>
      <c r="HC116" s="49"/>
      <c r="HD116" s="49"/>
      <c r="HE116" s="49"/>
      <c r="HF116" s="49"/>
      <c r="HG116" s="49"/>
      <c r="HH116" s="49"/>
      <c r="HI116" s="49"/>
      <c r="HJ116" s="49"/>
      <c r="HK116" s="49"/>
      <c r="HL116" s="49"/>
      <c r="HM116" s="49"/>
      <c r="HN116" s="49"/>
      <c r="HO116" s="49"/>
      <c r="HP116" s="49"/>
      <c r="HQ116" s="49"/>
      <c r="HR116" s="49"/>
      <c r="HS116" s="49"/>
      <c r="HT116" s="49"/>
      <c r="HU116" s="49"/>
      <c r="HV116" s="49"/>
      <c r="HW116" s="49"/>
      <c r="HX116" s="49"/>
      <c r="HY116" s="49"/>
      <c r="HZ116" s="49"/>
      <c r="IA116" s="49"/>
      <c r="IB116" s="49"/>
      <c r="IC116" s="49"/>
      <c r="ID116" s="49"/>
      <c r="IE116" s="49"/>
      <c r="IF116" s="49"/>
      <c r="IG116" s="49"/>
      <c r="IH116" s="49"/>
      <c r="II116" s="49"/>
      <c r="IJ116" s="49"/>
      <c r="IK116" s="49"/>
      <c r="IL116" s="49"/>
      <c r="IM116" s="49"/>
      <c r="IN116" s="49"/>
      <c r="IO116" s="49"/>
      <c r="IP116" s="49"/>
      <c r="IQ116" s="49"/>
      <c r="IR116" s="49"/>
      <c r="IS116" s="49"/>
      <c r="IT116" s="49"/>
      <c r="IU116" s="49"/>
      <c r="IV116" s="49"/>
    </row>
    <row r="117" spans="1:256" ht="66" x14ac:dyDescent="0.25">
      <c r="A117" s="152">
        <v>6</v>
      </c>
      <c r="B117" s="153" t="s">
        <v>131</v>
      </c>
      <c r="C117" s="154" t="s">
        <v>121</v>
      </c>
      <c r="D117" s="154">
        <v>1</v>
      </c>
      <c r="E117" s="211"/>
      <c r="F117" s="155"/>
      <c r="G117" s="48">
        <f t="shared" si="11"/>
        <v>0</v>
      </c>
      <c r="H117" s="238"/>
      <c r="I117" s="156"/>
      <c r="J117" s="154"/>
      <c r="K117" s="154"/>
      <c r="L117" s="157"/>
      <c r="M117" s="157"/>
      <c r="N117" s="185" t="s">
        <v>126</v>
      </c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49"/>
      <c r="DQ117" s="49"/>
      <c r="DR117" s="49"/>
      <c r="DS117" s="49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49"/>
      <c r="EE117" s="49"/>
      <c r="EF117" s="49"/>
      <c r="EG117" s="49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49"/>
      <c r="ES117" s="49"/>
      <c r="ET117" s="49"/>
      <c r="EU117" s="49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49"/>
      <c r="FG117" s="49"/>
      <c r="FH117" s="49"/>
      <c r="FI117" s="49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49"/>
      <c r="FU117" s="49"/>
      <c r="FV117" s="49"/>
      <c r="FW117" s="49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49"/>
      <c r="GI117" s="49"/>
      <c r="GJ117" s="49"/>
      <c r="GK117" s="49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49"/>
      <c r="GW117" s="49"/>
      <c r="GX117" s="49"/>
      <c r="GY117" s="49"/>
      <c r="GZ117" s="49"/>
      <c r="HA117" s="49"/>
      <c r="HB117" s="49"/>
      <c r="HC117" s="49"/>
      <c r="HD117" s="49"/>
      <c r="HE117" s="49"/>
      <c r="HF117" s="49"/>
      <c r="HG117" s="49"/>
      <c r="HH117" s="49"/>
      <c r="HI117" s="49"/>
      <c r="HJ117" s="49"/>
      <c r="HK117" s="49"/>
      <c r="HL117" s="49"/>
      <c r="HM117" s="49"/>
      <c r="HN117" s="49"/>
      <c r="HO117" s="49"/>
      <c r="HP117" s="49"/>
      <c r="HQ117" s="49"/>
      <c r="HR117" s="49"/>
      <c r="HS117" s="49"/>
      <c r="HT117" s="49"/>
      <c r="HU117" s="49"/>
      <c r="HV117" s="49"/>
      <c r="HW117" s="49"/>
      <c r="HX117" s="49"/>
      <c r="HY117" s="49"/>
      <c r="HZ117" s="49"/>
      <c r="IA117" s="49"/>
      <c r="IB117" s="49"/>
      <c r="IC117" s="49"/>
      <c r="ID117" s="49"/>
      <c r="IE117" s="49"/>
      <c r="IF117" s="49"/>
      <c r="IG117" s="49"/>
      <c r="IH117" s="49"/>
      <c r="II117" s="49"/>
      <c r="IJ117" s="49"/>
      <c r="IK117" s="49"/>
      <c r="IL117" s="49"/>
      <c r="IM117" s="49"/>
      <c r="IN117" s="49"/>
      <c r="IO117" s="49"/>
      <c r="IP117" s="49"/>
      <c r="IQ117" s="49"/>
      <c r="IR117" s="49"/>
      <c r="IS117" s="49"/>
      <c r="IT117" s="49"/>
      <c r="IU117" s="49"/>
      <c r="IV117" s="49"/>
    </row>
    <row r="118" spans="1:256" ht="42" x14ac:dyDescent="0.25">
      <c r="A118" s="82">
        <v>1</v>
      </c>
      <c r="B118" s="108" t="s">
        <v>66</v>
      </c>
      <c r="C118" s="44" t="s">
        <v>67</v>
      </c>
      <c r="D118" s="68">
        <v>9</v>
      </c>
      <c r="E118" s="81">
        <v>500</v>
      </c>
      <c r="F118" s="48">
        <v>0</v>
      </c>
      <c r="G118" s="48">
        <f t="shared" si="11"/>
        <v>0</v>
      </c>
      <c r="H118" s="235">
        <f>E118*D118</f>
        <v>4500</v>
      </c>
      <c r="I118" s="76"/>
      <c r="J118" s="44"/>
      <c r="K118" s="67"/>
      <c r="L118" s="67"/>
      <c r="M118" s="68"/>
      <c r="N118" s="183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49"/>
      <c r="DH118" s="49"/>
      <c r="DI118" s="49"/>
      <c r="DJ118" s="49"/>
      <c r="DK118" s="49"/>
      <c r="DL118" s="49"/>
      <c r="DM118" s="49"/>
      <c r="DN118" s="49"/>
      <c r="DO118" s="49"/>
      <c r="DP118" s="49"/>
      <c r="DQ118" s="49"/>
      <c r="DR118" s="49"/>
      <c r="DS118" s="49"/>
      <c r="DT118" s="49"/>
      <c r="DU118" s="49"/>
      <c r="DV118" s="49"/>
      <c r="DW118" s="49"/>
      <c r="DX118" s="49"/>
      <c r="DY118" s="49"/>
      <c r="DZ118" s="49"/>
      <c r="EA118" s="49"/>
      <c r="EB118" s="49"/>
      <c r="EC118" s="49"/>
      <c r="ED118" s="49"/>
      <c r="EE118" s="49"/>
      <c r="EF118" s="49"/>
      <c r="EG118" s="49"/>
      <c r="EH118" s="49"/>
      <c r="EI118" s="49"/>
      <c r="EJ118" s="49"/>
      <c r="EK118" s="49"/>
      <c r="EL118" s="49"/>
      <c r="EM118" s="49"/>
      <c r="EN118" s="49"/>
      <c r="EO118" s="49"/>
      <c r="EP118" s="49"/>
      <c r="EQ118" s="49"/>
      <c r="ER118" s="49"/>
      <c r="ES118" s="49"/>
      <c r="ET118" s="49"/>
      <c r="EU118" s="49"/>
      <c r="EV118" s="49"/>
      <c r="EW118" s="49"/>
      <c r="EX118" s="49"/>
      <c r="EY118" s="49"/>
      <c r="EZ118" s="49"/>
      <c r="FA118" s="49"/>
      <c r="FB118" s="49"/>
      <c r="FC118" s="49"/>
      <c r="FD118" s="49"/>
      <c r="FE118" s="49"/>
      <c r="FF118" s="49"/>
      <c r="FG118" s="49"/>
      <c r="FH118" s="49"/>
      <c r="FI118" s="49"/>
      <c r="FJ118" s="49"/>
      <c r="FK118" s="49"/>
      <c r="FL118" s="49"/>
      <c r="FM118" s="49"/>
      <c r="FN118" s="49"/>
      <c r="FO118" s="49"/>
      <c r="FP118" s="49"/>
      <c r="FQ118" s="49"/>
      <c r="FR118" s="49"/>
      <c r="FS118" s="49"/>
      <c r="FT118" s="49"/>
      <c r="FU118" s="49"/>
      <c r="FV118" s="49"/>
      <c r="FW118" s="49"/>
      <c r="FX118" s="49"/>
      <c r="FY118" s="49"/>
      <c r="FZ118" s="49"/>
      <c r="GA118" s="49"/>
      <c r="GB118" s="49"/>
      <c r="GC118" s="49"/>
      <c r="GD118" s="49"/>
      <c r="GE118" s="49"/>
      <c r="GF118" s="49"/>
      <c r="GG118" s="49"/>
      <c r="GH118" s="49"/>
      <c r="GI118" s="49"/>
      <c r="GJ118" s="49"/>
      <c r="GK118" s="49"/>
      <c r="GL118" s="49"/>
      <c r="GM118" s="49"/>
      <c r="GN118" s="49"/>
      <c r="GO118" s="49"/>
      <c r="GP118" s="49"/>
      <c r="GQ118" s="49"/>
      <c r="GR118" s="49"/>
      <c r="GS118" s="49"/>
      <c r="GT118" s="49"/>
      <c r="GU118" s="49"/>
      <c r="GV118" s="49"/>
      <c r="GW118" s="49"/>
      <c r="GX118" s="49"/>
      <c r="GY118" s="49"/>
      <c r="GZ118" s="49"/>
      <c r="HA118" s="49"/>
      <c r="HB118" s="49"/>
      <c r="HC118" s="49"/>
      <c r="HD118" s="49"/>
      <c r="HE118" s="49"/>
      <c r="HF118" s="49"/>
      <c r="HG118" s="49"/>
      <c r="HH118" s="49"/>
      <c r="HI118" s="49"/>
      <c r="HJ118" s="49"/>
      <c r="HK118" s="49"/>
      <c r="HL118" s="49"/>
      <c r="HM118" s="49"/>
      <c r="HN118" s="49"/>
      <c r="HO118" s="49"/>
      <c r="HP118" s="49"/>
      <c r="HQ118" s="49"/>
      <c r="HR118" s="49"/>
      <c r="HS118" s="49"/>
      <c r="HT118" s="49"/>
      <c r="HU118" s="49"/>
      <c r="HV118" s="49"/>
      <c r="HW118" s="49"/>
      <c r="HX118" s="49"/>
      <c r="HY118" s="49"/>
      <c r="HZ118" s="49"/>
      <c r="IA118" s="49"/>
      <c r="IB118" s="49"/>
      <c r="IC118" s="49"/>
      <c r="ID118" s="49"/>
      <c r="IE118" s="49"/>
      <c r="IF118" s="49"/>
      <c r="IG118" s="49"/>
      <c r="IH118" s="49"/>
      <c r="II118" s="49"/>
      <c r="IJ118" s="49"/>
      <c r="IK118" s="49"/>
      <c r="IL118" s="49"/>
      <c r="IM118" s="49"/>
      <c r="IN118" s="49"/>
      <c r="IO118" s="49"/>
      <c r="IP118" s="49"/>
      <c r="IQ118" s="49"/>
      <c r="IR118" s="49"/>
      <c r="IS118" s="49"/>
      <c r="IT118" s="49"/>
      <c r="IU118" s="49"/>
      <c r="IV118" s="49"/>
    </row>
    <row r="119" spans="1:256" ht="25.5" x14ac:dyDescent="0.25">
      <c r="A119" s="82">
        <v>2</v>
      </c>
      <c r="B119" s="108" t="s">
        <v>111</v>
      </c>
      <c r="C119" s="44" t="s">
        <v>112</v>
      </c>
      <c r="D119" s="68">
        <v>4</v>
      </c>
      <c r="E119" s="81">
        <v>1800</v>
      </c>
      <c r="F119" s="48">
        <v>1200</v>
      </c>
      <c r="G119" s="48">
        <f t="shared" si="11"/>
        <v>4800</v>
      </c>
      <c r="H119" s="235">
        <f>E119*D119</f>
        <v>7200</v>
      </c>
      <c r="I119" s="76" t="s">
        <v>116</v>
      </c>
      <c r="J119" s="44" t="s">
        <v>7</v>
      </c>
      <c r="K119" s="67">
        <v>300</v>
      </c>
      <c r="L119" s="67">
        <v>6.8</v>
      </c>
      <c r="M119" s="68">
        <f>L119*K119</f>
        <v>2040</v>
      </c>
      <c r="N119" s="181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  <c r="DR119" s="49"/>
      <c r="DS119" s="49"/>
      <c r="DT119" s="49"/>
      <c r="DU119" s="49"/>
      <c r="DV119" s="49"/>
      <c r="DW119" s="49"/>
      <c r="DX119" s="49"/>
      <c r="DY119" s="49"/>
      <c r="DZ119" s="49"/>
      <c r="EA119" s="49"/>
      <c r="EB119" s="49"/>
      <c r="EC119" s="49"/>
      <c r="ED119" s="49"/>
      <c r="EE119" s="49"/>
      <c r="EF119" s="49"/>
      <c r="EG119" s="49"/>
      <c r="EH119" s="49"/>
      <c r="EI119" s="49"/>
      <c r="EJ119" s="49"/>
      <c r="EK119" s="49"/>
      <c r="EL119" s="49"/>
      <c r="EM119" s="49"/>
      <c r="EN119" s="49"/>
      <c r="EO119" s="49"/>
      <c r="EP119" s="49"/>
      <c r="EQ119" s="49"/>
      <c r="ER119" s="49"/>
      <c r="ES119" s="49"/>
      <c r="ET119" s="49"/>
      <c r="EU119" s="49"/>
      <c r="EV119" s="49"/>
      <c r="EW119" s="49"/>
      <c r="EX119" s="49"/>
      <c r="EY119" s="49"/>
      <c r="EZ119" s="49"/>
      <c r="FA119" s="49"/>
      <c r="FB119" s="49"/>
      <c r="FC119" s="49"/>
      <c r="FD119" s="49"/>
      <c r="FE119" s="49"/>
      <c r="FF119" s="49"/>
      <c r="FG119" s="49"/>
      <c r="FH119" s="49"/>
      <c r="FI119" s="49"/>
      <c r="FJ119" s="49"/>
      <c r="FK119" s="49"/>
      <c r="FL119" s="49"/>
      <c r="FM119" s="49"/>
      <c r="FN119" s="49"/>
      <c r="FO119" s="49"/>
      <c r="FP119" s="49"/>
      <c r="FQ119" s="49"/>
      <c r="FR119" s="49"/>
      <c r="FS119" s="49"/>
      <c r="FT119" s="49"/>
      <c r="FU119" s="49"/>
      <c r="FV119" s="49"/>
      <c r="FW119" s="49"/>
      <c r="FX119" s="49"/>
      <c r="FY119" s="49"/>
      <c r="FZ119" s="49"/>
      <c r="GA119" s="49"/>
      <c r="GB119" s="49"/>
      <c r="GC119" s="49"/>
      <c r="GD119" s="49"/>
      <c r="GE119" s="49"/>
      <c r="GF119" s="49"/>
      <c r="GG119" s="49"/>
      <c r="GH119" s="49"/>
      <c r="GI119" s="49"/>
      <c r="GJ119" s="49"/>
      <c r="GK119" s="49"/>
      <c r="GL119" s="49"/>
      <c r="GM119" s="49"/>
      <c r="GN119" s="49"/>
      <c r="GO119" s="49"/>
      <c r="GP119" s="49"/>
      <c r="GQ119" s="49"/>
      <c r="GR119" s="49"/>
      <c r="GS119" s="49"/>
      <c r="GT119" s="49"/>
      <c r="GU119" s="49"/>
      <c r="GV119" s="49"/>
      <c r="GW119" s="49"/>
      <c r="GX119" s="49"/>
      <c r="GY119" s="49"/>
      <c r="GZ119" s="49"/>
      <c r="HA119" s="49"/>
      <c r="HB119" s="49"/>
      <c r="HC119" s="49"/>
      <c r="HD119" s="49"/>
      <c r="HE119" s="49"/>
      <c r="HF119" s="49"/>
      <c r="HG119" s="49"/>
      <c r="HH119" s="49"/>
      <c r="HI119" s="49"/>
      <c r="HJ119" s="49"/>
      <c r="HK119" s="49"/>
      <c r="HL119" s="49"/>
      <c r="HM119" s="49"/>
      <c r="HN119" s="49"/>
      <c r="HO119" s="49"/>
      <c r="HP119" s="49"/>
      <c r="HQ119" s="49"/>
      <c r="HR119" s="49"/>
      <c r="HS119" s="49"/>
      <c r="HT119" s="49"/>
      <c r="HU119" s="49"/>
      <c r="HV119" s="49"/>
      <c r="HW119" s="49"/>
      <c r="HX119" s="49"/>
      <c r="HY119" s="49"/>
      <c r="HZ119" s="49"/>
      <c r="IA119" s="49"/>
      <c r="IB119" s="49"/>
      <c r="IC119" s="49"/>
      <c r="ID119" s="49"/>
      <c r="IE119" s="49"/>
      <c r="IF119" s="49"/>
      <c r="IG119" s="49"/>
      <c r="IH119" s="49"/>
      <c r="II119" s="49"/>
      <c r="IJ119" s="49"/>
      <c r="IK119" s="49"/>
      <c r="IL119" s="49"/>
      <c r="IM119" s="49"/>
      <c r="IN119" s="49"/>
      <c r="IO119" s="49"/>
      <c r="IP119" s="49"/>
      <c r="IQ119" s="49"/>
      <c r="IR119" s="49"/>
      <c r="IS119" s="49"/>
      <c r="IT119" s="49"/>
      <c r="IU119" s="49"/>
      <c r="IV119" s="49"/>
    </row>
    <row r="120" spans="1:256" ht="25.5" x14ac:dyDescent="0.25">
      <c r="A120" s="51"/>
      <c r="B120" s="52" t="s">
        <v>27</v>
      </c>
      <c r="C120" s="52"/>
      <c r="D120" s="53"/>
      <c r="E120" s="209"/>
      <c r="F120" s="53"/>
      <c r="G120" s="54">
        <f>SUM(G108:G119)</f>
        <v>6600</v>
      </c>
      <c r="H120" s="236">
        <f>SUM(H108:H119)</f>
        <v>19034</v>
      </c>
      <c r="I120" s="55"/>
      <c r="J120" s="56"/>
      <c r="K120" s="87"/>
      <c r="L120" s="88"/>
      <c r="M120" s="89">
        <f>SUM(M108:M119)</f>
        <v>2518.5905000000002</v>
      </c>
      <c r="N120" s="184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33"/>
      <c r="EK120" s="33"/>
      <c r="EL120" s="33"/>
      <c r="EM120" s="33"/>
      <c r="EN120" s="33"/>
      <c r="EO120" s="33"/>
      <c r="EP120" s="33"/>
      <c r="EQ120" s="33"/>
      <c r="ER120" s="33"/>
      <c r="ES120" s="33"/>
      <c r="ET120" s="33"/>
      <c r="EU120" s="33"/>
      <c r="EV120" s="33"/>
      <c r="EW120" s="33"/>
      <c r="EX120" s="33"/>
      <c r="EY120" s="33"/>
      <c r="EZ120" s="33"/>
      <c r="FA120" s="33"/>
      <c r="FB120" s="33"/>
      <c r="FC120" s="33"/>
      <c r="FD120" s="33"/>
      <c r="FE120" s="33"/>
      <c r="FF120" s="33"/>
      <c r="FG120" s="33"/>
      <c r="FH120" s="33"/>
      <c r="FI120" s="33"/>
      <c r="FJ120" s="33"/>
      <c r="FK120" s="33"/>
      <c r="FL120" s="33"/>
      <c r="FM120" s="33"/>
      <c r="FN120" s="33"/>
      <c r="FO120" s="33"/>
      <c r="FP120" s="33"/>
      <c r="FQ120" s="33"/>
      <c r="FR120" s="33"/>
      <c r="FS120" s="33"/>
      <c r="FT120" s="33"/>
      <c r="FU120" s="33"/>
      <c r="FV120" s="33"/>
      <c r="FW120" s="33"/>
      <c r="FX120" s="33"/>
      <c r="FY120" s="33"/>
      <c r="FZ120" s="33"/>
      <c r="GA120" s="33"/>
      <c r="GB120" s="33"/>
      <c r="GC120" s="33"/>
      <c r="GD120" s="33"/>
      <c r="GE120" s="33"/>
      <c r="GF120" s="33"/>
      <c r="GG120" s="33"/>
      <c r="GH120" s="33"/>
      <c r="GI120" s="33"/>
      <c r="GJ120" s="33"/>
      <c r="GK120" s="33"/>
      <c r="GL120" s="33"/>
      <c r="GM120" s="33"/>
      <c r="GN120" s="33"/>
      <c r="GO120" s="33"/>
      <c r="GP120" s="33"/>
      <c r="GQ120" s="33"/>
      <c r="GR120" s="33"/>
      <c r="GS120" s="33"/>
      <c r="GT120" s="33"/>
      <c r="GU120" s="33"/>
      <c r="GV120" s="33"/>
      <c r="GW120" s="33"/>
      <c r="GX120" s="33"/>
      <c r="GY120" s="33"/>
      <c r="GZ120" s="33"/>
      <c r="HA120" s="33"/>
      <c r="HB120" s="33"/>
      <c r="HC120" s="33"/>
      <c r="HD120" s="33"/>
      <c r="HE120" s="33"/>
      <c r="HF120" s="33"/>
      <c r="HG120" s="33"/>
      <c r="HH120" s="33"/>
      <c r="HI120" s="33"/>
      <c r="HJ120" s="33"/>
      <c r="HK120" s="33"/>
      <c r="HL120" s="33"/>
      <c r="HM120" s="33"/>
      <c r="HN120" s="33"/>
      <c r="HO120" s="33"/>
      <c r="HP120" s="33"/>
      <c r="HQ120" s="33"/>
      <c r="HR120" s="33"/>
      <c r="HS120" s="33"/>
      <c r="HT120" s="33"/>
      <c r="HU120" s="33"/>
      <c r="HV120" s="33"/>
      <c r="HW120" s="33"/>
      <c r="HX120" s="33"/>
      <c r="HY120" s="33"/>
      <c r="HZ120" s="33"/>
      <c r="IA120" s="33"/>
      <c r="IB120" s="33"/>
      <c r="IC120" s="33"/>
      <c r="ID120" s="33"/>
      <c r="IE120" s="33"/>
      <c r="IF120" s="33"/>
      <c r="IG120" s="33"/>
      <c r="IH120" s="33"/>
      <c r="II120" s="33"/>
      <c r="IJ120" s="33"/>
      <c r="IK120" s="33"/>
      <c r="IL120" s="33"/>
      <c r="IM120" s="33"/>
      <c r="IN120" s="33"/>
      <c r="IO120" s="33"/>
      <c r="IP120" s="33"/>
      <c r="IQ120" s="33"/>
      <c r="IR120" s="33"/>
      <c r="IS120" s="33"/>
      <c r="IT120" s="33"/>
      <c r="IU120" s="33"/>
      <c r="IV120" s="33"/>
    </row>
    <row r="121" spans="1:256" ht="25.5" x14ac:dyDescent="0.25">
      <c r="A121" s="57"/>
      <c r="B121" s="58" t="s">
        <v>28</v>
      </c>
      <c r="C121" s="58"/>
      <c r="D121" s="59"/>
      <c r="E121" s="210"/>
      <c r="F121" s="59"/>
      <c r="G121" s="59"/>
      <c r="H121" s="237"/>
      <c r="I121" s="60"/>
      <c r="J121" s="61"/>
      <c r="K121" s="90"/>
      <c r="L121" s="91"/>
      <c r="M121" s="91"/>
      <c r="N121" s="248">
        <f>M120+H120</f>
        <v>21552.590499999998</v>
      </c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3"/>
      <c r="CZ121" s="33"/>
      <c r="DA121" s="33"/>
      <c r="DB121" s="33"/>
      <c r="DC121" s="33"/>
      <c r="DD121" s="33"/>
      <c r="DE121" s="33"/>
      <c r="DF121" s="33"/>
      <c r="DG121" s="33"/>
      <c r="DH121" s="33"/>
      <c r="DI121" s="33"/>
      <c r="DJ121" s="33"/>
      <c r="DK121" s="33"/>
      <c r="DL121" s="33"/>
      <c r="DM121" s="33"/>
      <c r="DN121" s="33"/>
      <c r="DO121" s="33"/>
      <c r="DP121" s="33"/>
      <c r="DQ121" s="33"/>
      <c r="DR121" s="33"/>
      <c r="DS121" s="33"/>
      <c r="DT121" s="33"/>
      <c r="DU121" s="33"/>
      <c r="DV121" s="33"/>
      <c r="DW121" s="33"/>
      <c r="DX121" s="33"/>
      <c r="DY121" s="33"/>
      <c r="DZ121" s="33"/>
      <c r="EA121" s="33"/>
      <c r="EB121" s="33"/>
      <c r="EC121" s="33"/>
      <c r="ED121" s="33"/>
      <c r="EE121" s="33"/>
      <c r="EF121" s="33"/>
      <c r="EG121" s="33"/>
      <c r="EH121" s="33"/>
      <c r="EI121" s="33"/>
      <c r="EJ121" s="33"/>
      <c r="EK121" s="33"/>
      <c r="EL121" s="33"/>
      <c r="EM121" s="33"/>
      <c r="EN121" s="33"/>
      <c r="EO121" s="33"/>
      <c r="EP121" s="33"/>
      <c r="EQ121" s="33"/>
      <c r="ER121" s="33"/>
      <c r="ES121" s="33"/>
      <c r="ET121" s="33"/>
      <c r="EU121" s="33"/>
      <c r="EV121" s="33"/>
      <c r="EW121" s="33"/>
      <c r="EX121" s="33"/>
      <c r="EY121" s="33"/>
      <c r="EZ121" s="33"/>
      <c r="FA121" s="33"/>
      <c r="FB121" s="33"/>
      <c r="FC121" s="33"/>
      <c r="FD121" s="33"/>
      <c r="FE121" s="33"/>
      <c r="FF121" s="33"/>
      <c r="FG121" s="33"/>
      <c r="FH121" s="33"/>
      <c r="FI121" s="33"/>
      <c r="FJ121" s="33"/>
      <c r="FK121" s="33"/>
      <c r="FL121" s="33"/>
      <c r="FM121" s="33"/>
      <c r="FN121" s="33"/>
      <c r="FO121" s="33"/>
      <c r="FP121" s="33"/>
      <c r="FQ121" s="33"/>
      <c r="FR121" s="33"/>
      <c r="FS121" s="33"/>
      <c r="FT121" s="33"/>
      <c r="FU121" s="33"/>
      <c r="FV121" s="33"/>
      <c r="FW121" s="33"/>
      <c r="FX121" s="33"/>
      <c r="FY121" s="33"/>
      <c r="FZ121" s="33"/>
      <c r="GA121" s="33"/>
      <c r="GB121" s="33"/>
      <c r="GC121" s="33"/>
      <c r="GD121" s="33"/>
      <c r="GE121" s="33"/>
      <c r="GF121" s="33"/>
      <c r="GG121" s="33"/>
      <c r="GH121" s="33"/>
      <c r="GI121" s="33"/>
      <c r="GJ121" s="33"/>
      <c r="GK121" s="33"/>
      <c r="GL121" s="33"/>
      <c r="GM121" s="33"/>
      <c r="GN121" s="33"/>
      <c r="GO121" s="33"/>
      <c r="GP121" s="33"/>
      <c r="GQ121" s="33"/>
      <c r="GR121" s="33"/>
      <c r="GS121" s="33"/>
      <c r="GT121" s="33"/>
      <c r="GU121" s="33"/>
      <c r="GV121" s="33"/>
      <c r="GW121" s="33"/>
      <c r="GX121" s="33"/>
      <c r="GY121" s="33"/>
      <c r="GZ121" s="33"/>
      <c r="HA121" s="33"/>
      <c r="HB121" s="33"/>
      <c r="HC121" s="33"/>
      <c r="HD121" s="33"/>
      <c r="HE121" s="33"/>
      <c r="HF121" s="33"/>
      <c r="HG121" s="33"/>
      <c r="HH121" s="33"/>
      <c r="HI121" s="33"/>
      <c r="HJ121" s="33"/>
      <c r="HK121" s="33"/>
      <c r="HL121" s="33"/>
      <c r="HM121" s="33"/>
      <c r="HN121" s="33"/>
      <c r="HO121" s="33"/>
      <c r="HP121" s="33"/>
      <c r="HQ121" s="33"/>
      <c r="HR121" s="33"/>
      <c r="HS121" s="33"/>
      <c r="HT121" s="33"/>
      <c r="HU121" s="33"/>
      <c r="HV121" s="33"/>
      <c r="HW121" s="33"/>
      <c r="HX121" s="33"/>
      <c r="HY121" s="33"/>
      <c r="HZ121" s="33"/>
      <c r="IA121" s="33"/>
      <c r="IB121" s="33"/>
      <c r="IC121" s="33"/>
      <c r="ID121" s="33"/>
      <c r="IE121" s="33"/>
      <c r="IF121" s="33"/>
      <c r="IG121" s="33"/>
      <c r="IH121" s="33"/>
      <c r="II121" s="33"/>
      <c r="IJ121" s="33"/>
      <c r="IK121" s="33"/>
      <c r="IL121" s="33"/>
      <c r="IM121" s="33"/>
      <c r="IN121" s="33"/>
      <c r="IO121" s="33"/>
      <c r="IP121" s="33"/>
      <c r="IQ121" s="33"/>
      <c r="IR121" s="33"/>
      <c r="IS121" s="33"/>
      <c r="IT121" s="33"/>
      <c r="IU121" s="33"/>
      <c r="IV121" s="33"/>
    </row>
    <row r="122" spans="1:256" ht="25.5" x14ac:dyDescent="0.15">
      <c r="A122" s="186"/>
      <c r="B122" s="117"/>
      <c r="C122" s="117"/>
      <c r="D122" s="118"/>
      <c r="E122" s="212"/>
      <c r="F122" s="118"/>
      <c r="G122" s="118"/>
      <c r="H122" s="239"/>
      <c r="I122" s="119"/>
      <c r="J122" s="120"/>
      <c r="K122" s="121"/>
      <c r="L122" s="122"/>
      <c r="M122" s="122"/>
      <c r="N122" s="187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3"/>
      <c r="CZ122" s="33"/>
      <c r="DA122" s="33"/>
      <c r="DB122" s="33"/>
      <c r="DC122" s="33"/>
      <c r="DD122" s="33"/>
      <c r="DE122" s="33"/>
      <c r="DF122" s="33"/>
      <c r="DG122" s="33"/>
      <c r="DH122" s="33"/>
      <c r="DI122" s="33"/>
      <c r="DJ122" s="33"/>
      <c r="DK122" s="33"/>
      <c r="DL122" s="33"/>
      <c r="DM122" s="33"/>
      <c r="DN122" s="33"/>
      <c r="DO122" s="33"/>
      <c r="DP122" s="33"/>
      <c r="DQ122" s="33"/>
      <c r="DR122" s="33"/>
      <c r="DS122" s="33"/>
      <c r="DT122" s="33"/>
      <c r="DU122" s="33"/>
      <c r="DV122" s="33"/>
      <c r="DW122" s="33"/>
      <c r="DX122" s="33"/>
      <c r="DY122" s="33"/>
      <c r="DZ122" s="33"/>
      <c r="EA122" s="33"/>
      <c r="EB122" s="33"/>
      <c r="EC122" s="33"/>
      <c r="ED122" s="33"/>
      <c r="EE122" s="33"/>
      <c r="EF122" s="33"/>
      <c r="EG122" s="33"/>
      <c r="EH122" s="33"/>
      <c r="EI122" s="33"/>
      <c r="EJ122" s="33"/>
      <c r="EK122" s="33"/>
      <c r="EL122" s="33"/>
      <c r="EM122" s="33"/>
      <c r="EN122" s="33"/>
      <c r="EO122" s="33"/>
      <c r="EP122" s="33"/>
      <c r="EQ122" s="33"/>
      <c r="ER122" s="33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3"/>
      <c r="FS122" s="33"/>
      <c r="FT122" s="33"/>
      <c r="FU122" s="33"/>
      <c r="FV122" s="33"/>
      <c r="FW122" s="33"/>
      <c r="FX122" s="33"/>
      <c r="FY122" s="33"/>
      <c r="FZ122" s="33"/>
      <c r="GA122" s="33"/>
      <c r="GB122" s="33"/>
      <c r="GC122" s="33"/>
      <c r="GD122" s="33"/>
      <c r="GE122" s="33"/>
      <c r="GF122" s="33"/>
      <c r="GG122" s="33"/>
      <c r="GH122" s="33"/>
      <c r="GI122" s="33"/>
      <c r="GJ122" s="33"/>
      <c r="GK122" s="33"/>
      <c r="GL122" s="33"/>
      <c r="GM122" s="33"/>
      <c r="GN122" s="33"/>
      <c r="GO122" s="33"/>
      <c r="GP122" s="33"/>
      <c r="GQ122" s="33"/>
      <c r="GR122" s="33"/>
      <c r="GS122" s="33"/>
      <c r="GT122" s="33"/>
      <c r="GU122" s="33"/>
      <c r="GV122" s="33"/>
      <c r="GW122" s="33"/>
      <c r="GX122" s="33"/>
      <c r="GY122" s="33"/>
      <c r="GZ122" s="33"/>
      <c r="HA122" s="33"/>
      <c r="HB122" s="33"/>
      <c r="HC122" s="33"/>
      <c r="HD122" s="33"/>
      <c r="HE122" s="33"/>
      <c r="HF122" s="33"/>
      <c r="HG122" s="33"/>
      <c r="HH122" s="33"/>
      <c r="HI122" s="33"/>
      <c r="HJ122" s="33"/>
      <c r="HK122" s="33"/>
      <c r="HL122" s="33"/>
      <c r="HM122" s="33"/>
      <c r="HN122" s="33"/>
      <c r="HO122" s="33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3"/>
      <c r="IP122" s="33"/>
      <c r="IQ122" s="33"/>
      <c r="IR122" s="33"/>
      <c r="IS122" s="33"/>
      <c r="IT122" s="33"/>
      <c r="IU122" s="33"/>
      <c r="IV122" s="33"/>
    </row>
    <row r="123" spans="1:256" ht="22.5" x14ac:dyDescent="0.25">
      <c r="A123" s="188"/>
      <c r="B123" s="97" t="s">
        <v>143</v>
      </c>
      <c r="C123" s="94"/>
      <c r="D123" s="94"/>
      <c r="E123" s="213"/>
      <c r="F123" s="94"/>
      <c r="G123" s="94">
        <f>G120+G105+G55+G39</f>
        <v>204165.74599999998</v>
      </c>
      <c r="H123" s="240">
        <f>H120+H105+H55+H39</f>
        <v>342245.92</v>
      </c>
      <c r="I123" s="97" t="s">
        <v>146</v>
      </c>
      <c r="J123" s="94"/>
      <c r="K123" s="94"/>
      <c r="L123" s="94"/>
      <c r="M123" s="95">
        <f>M120+M105+M55+M39</f>
        <v>97176.798994800018</v>
      </c>
      <c r="N123" s="189"/>
    </row>
    <row r="124" spans="1:256" ht="49.5" customHeight="1" x14ac:dyDescent="0.25">
      <c r="A124" s="188"/>
      <c r="B124" s="93" t="s">
        <v>144</v>
      </c>
      <c r="C124" s="247" t="s">
        <v>4</v>
      </c>
      <c r="D124" s="247">
        <v>3</v>
      </c>
      <c r="E124" s="213" t="s">
        <v>155</v>
      </c>
      <c r="F124" s="94"/>
      <c r="G124" s="94"/>
      <c r="H124" s="241">
        <f>H123*D124%</f>
        <v>10267.3776</v>
      </c>
      <c r="I124" s="93" t="s">
        <v>149</v>
      </c>
      <c r="J124" s="247" t="s">
        <v>4</v>
      </c>
      <c r="K124" s="247">
        <v>5</v>
      </c>
      <c r="L124" s="94"/>
      <c r="M124" s="247">
        <f>M123*K124%</f>
        <v>4858.8399497400014</v>
      </c>
      <c r="N124" s="189"/>
    </row>
    <row r="125" spans="1:256" ht="22.5" x14ac:dyDescent="0.25">
      <c r="A125" s="188"/>
      <c r="B125" s="97"/>
      <c r="C125" s="94"/>
      <c r="D125" s="94"/>
      <c r="E125" s="213"/>
      <c r="F125" s="94"/>
      <c r="G125" s="94"/>
      <c r="H125" s="241"/>
      <c r="I125" s="97" t="s">
        <v>28</v>
      </c>
      <c r="J125" s="94"/>
      <c r="K125" s="94"/>
      <c r="L125" s="94"/>
      <c r="M125" s="94">
        <f>M123+M124</f>
        <v>102035.63894454001</v>
      </c>
      <c r="N125" s="189"/>
    </row>
    <row r="126" spans="1:256" ht="22.5" x14ac:dyDescent="0.25">
      <c r="A126" s="188"/>
      <c r="B126" s="93"/>
      <c r="C126" s="94"/>
      <c r="D126" s="94"/>
      <c r="E126" s="213"/>
      <c r="F126" s="94"/>
      <c r="G126" s="94"/>
      <c r="H126" s="241"/>
      <c r="I126" s="93" t="s">
        <v>150</v>
      </c>
      <c r="J126" s="247" t="s">
        <v>4</v>
      </c>
      <c r="K126" s="247">
        <v>10</v>
      </c>
      <c r="L126" s="94"/>
      <c r="M126" s="94">
        <f>M125*K126%</f>
        <v>10203.563894454002</v>
      </c>
      <c r="N126" s="189"/>
    </row>
    <row r="127" spans="1:256" ht="42" customHeight="1" thickBot="1" x14ac:dyDescent="0.3">
      <c r="A127" s="190"/>
      <c r="B127" s="191" t="s">
        <v>145</v>
      </c>
      <c r="C127" s="192"/>
      <c r="D127" s="192"/>
      <c r="E127" s="214"/>
      <c r="F127" s="192"/>
      <c r="G127" s="193">
        <f>1.2*G123</f>
        <v>244998.89519999997</v>
      </c>
      <c r="H127" s="242">
        <f>H123+H124</f>
        <v>352513.29759999999</v>
      </c>
      <c r="I127" s="191" t="s">
        <v>147</v>
      </c>
      <c r="J127" s="192"/>
      <c r="K127" s="192"/>
      <c r="L127" s="192"/>
      <c r="M127" s="250">
        <f>M125+M126</f>
        <v>112239.20283899401</v>
      </c>
      <c r="N127" s="194"/>
    </row>
    <row r="128" spans="1:256" x14ac:dyDescent="0.15">
      <c r="A128" s="11"/>
      <c r="B128" s="98"/>
      <c r="C128" s="99"/>
      <c r="D128" s="100"/>
      <c r="E128" s="215"/>
      <c r="F128" s="101"/>
      <c r="G128" s="101"/>
      <c r="H128" s="243"/>
      <c r="I128" s="11"/>
      <c r="J128" s="99"/>
      <c r="K128" s="102"/>
      <c r="L128" s="100"/>
      <c r="M128" s="99"/>
      <c r="N128" s="11"/>
    </row>
    <row r="129" spans="1:14" ht="22.5" x14ac:dyDescent="0.15">
      <c r="A129" s="103"/>
      <c r="B129" s="105"/>
      <c r="C129" s="104"/>
      <c r="D129" s="104"/>
      <c r="E129" s="216"/>
      <c r="F129" s="104"/>
      <c r="G129" s="104"/>
      <c r="H129" s="244"/>
      <c r="I129" s="96"/>
      <c r="J129" s="104"/>
      <c r="K129" s="476"/>
      <c r="L129" s="476"/>
      <c r="M129" s="104"/>
      <c r="N129" s="11"/>
    </row>
    <row r="130" spans="1:14" ht="25.5" x14ac:dyDescent="0.3">
      <c r="A130" s="103"/>
      <c r="B130" s="96"/>
      <c r="C130" s="104"/>
      <c r="D130" s="104"/>
      <c r="E130" s="216"/>
      <c r="F130" s="104"/>
      <c r="G130" s="104"/>
      <c r="H130" s="244"/>
      <c r="I130" s="96"/>
      <c r="J130" s="104"/>
      <c r="K130" s="104"/>
      <c r="L130" s="104"/>
      <c r="M130" s="104"/>
      <c r="N130" s="10"/>
    </row>
    <row r="131" spans="1:14" ht="25.5" x14ac:dyDescent="0.3">
      <c r="A131" s="103"/>
      <c r="B131" s="105" t="s">
        <v>140</v>
      </c>
      <c r="C131" s="104"/>
      <c r="D131" s="104"/>
      <c r="E131" s="216"/>
      <c r="F131" s="104"/>
      <c r="G131" s="104"/>
      <c r="H131" s="244"/>
      <c r="I131" s="96"/>
      <c r="J131" s="104"/>
      <c r="K131" s="477" t="s">
        <v>139</v>
      </c>
      <c r="L131" s="477"/>
      <c r="M131" s="104"/>
      <c r="N131" s="10"/>
    </row>
    <row r="132" spans="1:14" ht="25.5" x14ac:dyDescent="0.3">
      <c r="A132" s="103"/>
      <c r="B132" s="96"/>
      <c r="C132" s="104"/>
      <c r="D132" s="104"/>
      <c r="E132" s="216"/>
      <c r="F132" s="104"/>
      <c r="G132" s="104"/>
      <c r="H132" s="244"/>
      <c r="I132" s="96"/>
      <c r="J132" s="104"/>
      <c r="K132" s="104"/>
      <c r="L132" s="104"/>
      <c r="M132" s="104"/>
      <c r="N132" s="10"/>
    </row>
    <row r="133" spans="1:14" ht="25.5" x14ac:dyDescent="0.3">
      <c r="A133" s="103"/>
      <c r="B133" s="96" t="s">
        <v>141</v>
      </c>
      <c r="C133" s="104"/>
      <c r="D133" s="104"/>
      <c r="E133" s="216"/>
      <c r="F133" s="104"/>
      <c r="G133" s="104"/>
      <c r="H133" s="244"/>
      <c r="I133" s="96"/>
      <c r="J133" s="104"/>
      <c r="K133" s="478" t="s">
        <v>142</v>
      </c>
      <c r="L133" s="478"/>
      <c r="M133" s="478"/>
      <c r="N133" s="10"/>
    </row>
    <row r="134" spans="1:14" ht="25.5" x14ac:dyDescent="0.3">
      <c r="B134" s="6"/>
      <c r="C134" s="7"/>
      <c r="D134" s="8"/>
      <c r="E134" s="217"/>
      <c r="F134" s="9"/>
      <c r="G134" s="9"/>
      <c r="H134" s="245"/>
      <c r="I134" s="10"/>
      <c r="J134" s="7"/>
      <c r="K134" s="7"/>
      <c r="L134" s="8"/>
      <c r="M134" s="7"/>
      <c r="N134" s="10"/>
    </row>
  </sheetData>
  <autoFilter ref="A15:IV121" xr:uid="{00000000-0009-0000-0000-000002000000}"/>
  <mergeCells count="21">
    <mergeCell ref="E13:E14"/>
    <mergeCell ref="H13:H14"/>
    <mergeCell ref="N13:N14"/>
    <mergeCell ref="B13:B14"/>
    <mergeCell ref="C13:C14"/>
    <mergeCell ref="K129:L129"/>
    <mergeCell ref="K131:L131"/>
    <mergeCell ref="K133:M133"/>
    <mergeCell ref="A1:M1"/>
    <mergeCell ref="A2:I2"/>
    <mergeCell ref="A4:M4"/>
    <mergeCell ref="A5:N5"/>
    <mergeCell ref="M7:N7"/>
    <mergeCell ref="F12:G12"/>
    <mergeCell ref="M8:N8"/>
    <mergeCell ref="A13:A14"/>
    <mergeCell ref="M10:N10"/>
    <mergeCell ref="M11:N11"/>
    <mergeCell ref="M12:N12"/>
    <mergeCell ref="I13:M13"/>
    <mergeCell ref="D13:D14"/>
  </mergeCells>
  <pageMargins left="0.23622047244094491" right="0.2362204724409449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Лестн клетка 1-5 эт</vt:lpstr>
      <vt:lpstr>МОПы 3-5</vt:lpstr>
      <vt:lpstr>смета 10 этаж</vt:lpstr>
      <vt:lpstr>Лестн клетка 1-5 эт!Область_печати</vt:lpstr>
      <vt:lpstr>смета 10 этаж!Область_печати</vt:lpstr>
    </vt:vector>
  </TitlesOfParts>
  <Company>Жемчужина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Лутова</dc:creator>
  <cp:lastModifiedBy>Dmytro</cp:lastModifiedBy>
  <cp:lastPrinted>2019-04-22T15:30:10Z</cp:lastPrinted>
  <dcterms:created xsi:type="dcterms:W3CDTF">2005-05-31T13:18:33Z</dcterms:created>
  <dcterms:modified xsi:type="dcterms:W3CDTF">2019-06-07T20:44:00Z</dcterms:modified>
</cp:coreProperties>
</file>