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-105" yWindow="-105" windowWidth="23250" windowHeight="12570"/>
  </bookViews>
  <sheets>
    <sheet name="1" sheetId="3" r:id="rId1"/>
  </sheets>
  <definedNames>
    <definedName name="_xlnm._FilterDatabase" localSheetId="0" hidden="1">'1'!$A$7:$M$154</definedName>
    <definedName name="gh" localSheetId="0">#REF!</definedName>
    <definedName name="gh">#REF!</definedName>
    <definedName name="авв" localSheetId="0">#REF!</definedName>
    <definedName name="авв">#REF!</definedName>
    <definedName name="АВИР" localSheetId="0">#REF!</definedName>
    <definedName name="АВИР">#REF!</definedName>
    <definedName name="аВІВ" localSheetId="0">#REF!</definedName>
    <definedName name="аВІВ">#REF!</definedName>
    <definedName name="ак" localSheetId="0">#REF!</definedName>
    <definedName name="ак">#REF!</definedName>
    <definedName name="апр" localSheetId="0">#REF!</definedName>
    <definedName name="апр">#REF!</definedName>
    <definedName name="вацц" localSheetId="0">#REF!</definedName>
    <definedName name="вацц">#REF!</definedName>
    <definedName name="вва" localSheetId="0">#REF!</definedName>
    <definedName name="вва">#REF!</definedName>
    <definedName name="еее" localSheetId="0">#REF!</definedName>
    <definedName name="еее">#REF!</definedName>
    <definedName name="іва" localSheetId="0">#REF!</definedName>
    <definedName name="іва">#REF!</definedName>
    <definedName name="івак" localSheetId="0">#REF!</definedName>
    <definedName name="івак">#REF!</definedName>
    <definedName name="івацй" localSheetId="0">#REF!</definedName>
    <definedName name="івацй">#REF!</definedName>
    <definedName name="івп" localSheetId="0">#REF!</definedName>
    <definedName name="івп">#REF!</definedName>
    <definedName name="іі" localSheetId="0">#REF!</definedName>
    <definedName name="іі">#REF!</definedName>
    <definedName name="іуакцйка" localSheetId="0">#REF!</definedName>
    <definedName name="іуакцйка">#REF!</definedName>
    <definedName name="іфвап" localSheetId="0">#REF!</definedName>
    <definedName name="іфвап">#REF!</definedName>
    <definedName name="іфяіва" localSheetId="0">#REF!</definedName>
    <definedName name="іфяіва">#REF!</definedName>
    <definedName name="ййй" localSheetId="0">#REF!</definedName>
    <definedName name="ййй">#REF!</definedName>
    <definedName name="ккк" localSheetId="0">#REF!</definedName>
    <definedName name="ккк">#REF!</definedName>
    <definedName name="Коди_витрат" localSheetId="0">#REF!</definedName>
    <definedName name="Коди_витрат">#REF!</definedName>
    <definedName name="кОШТОРИС" localSheetId="0">#REF!</definedName>
    <definedName name="кОШТОРИС">#REF!</definedName>
    <definedName name="Курс_договора" localSheetId="0">#REF!</definedName>
    <definedName name="Курс_договора">#REF!</definedName>
    <definedName name="лощ" localSheetId="0">#REF!</definedName>
    <definedName name="лощ">#REF!</definedName>
    <definedName name="Матеріали_за_кошторисом" localSheetId="0">#REF!</definedName>
    <definedName name="Матеріали_за_кошторисом">#REF!</definedName>
    <definedName name="Матеріали_за_накопичувальною" localSheetId="0">'1'!#REF!</definedName>
    <definedName name="нет" localSheetId="0">#REF!</definedName>
    <definedName name="нет">#REF!</definedName>
    <definedName name="Обладнання_за_кошторисом" localSheetId="0">#REF!</definedName>
    <definedName name="Обладнання_за_кошторисом">#REF!</definedName>
    <definedName name="Обладнання_за_накопичувальною" localSheetId="0">'1'!#REF!</definedName>
    <definedName name="_xlnm.Print_Area" localSheetId="0">'1'!$A$1:$L$159</definedName>
    <definedName name="оке" localSheetId="0">#REF!</definedName>
    <definedName name="оке">#REF!</definedName>
    <definedName name="пар" localSheetId="0">#REF!</definedName>
    <definedName name="пар">#REF!</definedName>
    <definedName name="пгоп" localSheetId="0">#REF!</definedName>
    <definedName name="пгоп">#REF!</definedName>
    <definedName name="Проекти" localSheetId="0">#REF!</definedName>
    <definedName name="Проекти">#REF!</definedName>
    <definedName name="Роботи_за_кошторисом" localSheetId="0">#REF!</definedName>
    <definedName name="Роботи_за_кошторисом">#REF!</definedName>
    <definedName name="Роботи_за_накопичувальною" localSheetId="0">'1'!#REF!</definedName>
    <definedName name="ууу" localSheetId="0">#REF!</definedName>
    <definedName name="ууу">#REF!</definedName>
    <definedName name="ффф" localSheetId="0">#REF!</definedName>
    <definedName name="ффф">#REF!</definedName>
    <definedName name="ФФФФ" localSheetId="0">#REF!</definedName>
    <definedName name="ФФФФ">#REF!</definedName>
    <definedName name="цуакцук" localSheetId="0">#REF!</definedName>
    <definedName name="цуакцук">#REF!</definedName>
    <definedName name="цц" localSheetId="0">#REF!</definedName>
    <definedName name="цц">#REF!</definedName>
    <definedName name="ццц" localSheetId="0">#REF!</definedName>
    <definedName name="ццц">#REF!</definedName>
    <definedName name="яві" localSheetId="0">#REF!</definedName>
    <definedName name="яві">#REF!</definedName>
    <definedName name="яяя" localSheetId="0">#REF!</definedName>
    <definedName name="яя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2" i="3" l="1"/>
  <c r="K151" i="3"/>
  <c r="K150" i="3"/>
  <c r="H150" i="3"/>
  <c r="I150" i="3" s="1"/>
  <c r="G150" i="3"/>
  <c r="E149" i="3"/>
  <c r="H149" i="3" s="1"/>
  <c r="I149" i="3" s="1"/>
  <c r="K148" i="3"/>
  <c r="I148" i="3"/>
  <c r="G148" i="3"/>
  <c r="K147" i="3"/>
  <c r="I147" i="3"/>
  <c r="G147" i="3"/>
  <c r="K146" i="3"/>
  <c r="I146" i="3"/>
  <c r="G146" i="3"/>
  <c r="K145" i="3"/>
  <c r="L145" i="3" s="1"/>
  <c r="H145" i="3"/>
  <c r="K144" i="3"/>
  <c r="H144" i="3"/>
  <c r="I144" i="3" s="1"/>
  <c r="G144" i="3"/>
  <c r="K143" i="3"/>
  <c r="H143" i="3"/>
  <c r="I143" i="3" s="1"/>
  <c r="G143" i="3"/>
  <c r="K142" i="3"/>
  <c r="H142" i="3"/>
  <c r="I142" i="3" s="1"/>
  <c r="G142" i="3"/>
  <c r="K141" i="3"/>
  <c r="I141" i="3"/>
  <c r="G141" i="3"/>
  <c r="K140" i="3"/>
  <c r="H140" i="3"/>
  <c r="I140" i="3" s="1"/>
  <c r="H139" i="3"/>
  <c r="K138" i="3"/>
  <c r="L138" i="3" s="1"/>
  <c r="H138" i="3"/>
  <c r="H137" i="3"/>
  <c r="H136" i="3"/>
  <c r="E136" i="3"/>
  <c r="K136" i="3" s="1"/>
  <c r="K135" i="3"/>
  <c r="I135" i="3"/>
  <c r="G135" i="3"/>
  <c r="H134" i="3"/>
  <c r="E134" i="3"/>
  <c r="K134" i="3" s="1"/>
  <c r="E133" i="3"/>
  <c r="K133" i="3" s="1"/>
  <c r="K132" i="3"/>
  <c r="I132" i="3"/>
  <c r="G132" i="3"/>
  <c r="E131" i="3"/>
  <c r="K131" i="3" s="1"/>
  <c r="K130" i="3"/>
  <c r="I130" i="3"/>
  <c r="G130" i="3"/>
  <c r="H129" i="3"/>
  <c r="E129" i="3"/>
  <c r="K129" i="3" s="1"/>
  <c r="H128" i="3"/>
  <c r="E128" i="3"/>
  <c r="K128" i="3" s="1"/>
  <c r="K127" i="3"/>
  <c r="I127" i="3"/>
  <c r="G127" i="3"/>
  <c r="H126" i="3"/>
  <c r="I126" i="3" s="1"/>
  <c r="G126" i="3"/>
  <c r="K125" i="3"/>
  <c r="I125" i="3"/>
  <c r="G125" i="3"/>
  <c r="H124" i="3"/>
  <c r="E124" i="3"/>
  <c r="K124" i="3" s="1"/>
  <c r="K123" i="3"/>
  <c r="I123" i="3"/>
  <c r="G123" i="3"/>
  <c r="H122" i="3"/>
  <c r="E122" i="3"/>
  <c r="K122" i="3" s="1"/>
  <c r="K121" i="3"/>
  <c r="I121" i="3"/>
  <c r="G121" i="3"/>
  <c r="H120" i="3"/>
  <c r="G120" i="3"/>
  <c r="E120" i="3"/>
  <c r="K120" i="3" s="1"/>
  <c r="K119" i="3"/>
  <c r="I119" i="3"/>
  <c r="G119" i="3"/>
  <c r="H118" i="3"/>
  <c r="E118" i="3"/>
  <c r="K118" i="3" s="1"/>
  <c r="K117" i="3"/>
  <c r="I117" i="3"/>
  <c r="H116" i="3"/>
  <c r="E116" i="3"/>
  <c r="K116" i="3" s="1"/>
  <c r="K115" i="3"/>
  <c r="I115" i="3"/>
  <c r="G115" i="3"/>
  <c r="H114" i="3"/>
  <c r="E114" i="3"/>
  <c r="K113" i="3"/>
  <c r="I113" i="3"/>
  <c r="G113" i="3"/>
  <c r="H112" i="3"/>
  <c r="E111" i="3"/>
  <c r="K111" i="3" s="1"/>
  <c r="H110" i="3"/>
  <c r="E110" i="3"/>
  <c r="K110" i="3" s="1"/>
  <c r="K109" i="3"/>
  <c r="I109" i="3"/>
  <c r="G109" i="3"/>
  <c r="K108" i="3"/>
  <c r="H108" i="3"/>
  <c r="I108" i="3" s="1"/>
  <c r="G108" i="3"/>
  <c r="K107" i="3"/>
  <c r="H107" i="3"/>
  <c r="I107" i="3" s="1"/>
  <c r="G107" i="3"/>
  <c r="K106" i="3"/>
  <c r="H106" i="3"/>
  <c r="I106" i="3" s="1"/>
  <c r="G106" i="3"/>
  <c r="K105" i="3"/>
  <c r="H105" i="3"/>
  <c r="I105" i="3" s="1"/>
  <c r="G105" i="3"/>
  <c r="K104" i="3"/>
  <c r="I104" i="3"/>
  <c r="H104" i="3"/>
  <c r="G104" i="3"/>
  <c r="K103" i="3"/>
  <c r="H103" i="3"/>
  <c r="I103" i="3" s="1"/>
  <c r="G103" i="3"/>
  <c r="K102" i="3"/>
  <c r="H102" i="3"/>
  <c r="I102" i="3" s="1"/>
  <c r="G102" i="3"/>
  <c r="K101" i="3"/>
  <c r="H101" i="3"/>
  <c r="I101" i="3" s="1"/>
  <c r="G101" i="3"/>
  <c r="K100" i="3"/>
  <c r="H100" i="3"/>
  <c r="I100" i="3" s="1"/>
  <c r="G100" i="3"/>
  <c r="K99" i="3"/>
  <c r="H99" i="3"/>
  <c r="I99" i="3" s="1"/>
  <c r="G99" i="3"/>
  <c r="E98" i="3"/>
  <c r="I98" i="3" s="1"/>
  <c r="H96" i="3"/>
  <c r="E95" i="3"/>
  <c r="I95" i="3" s="1"/>
  <c r="H94" i="3"/>
  <c r="E93" i="3"/>
  <c r="I93" i="3" s="1"/>
  <c r="I90" i="3"/>
  <c r="E90" i="3"/>
  <c r="K88" i="3"/>
  <c r="K87" i="3"/>
  <c r="H87" i="3"/>
  <c r="I87" i="3" s="1"/>
  <c r="K86" i="3"/>
  <c r="H86" i="3"/>
  <c r="I86" i="3" s="1"/>
  <c r="G86" i="3"/>
  <c r="K85" i="3"/>
  <c r="H85" i="3"/>
  <c r="I85" i="3" s="1"/>
  <c r="G85" i="3"/>
  <c r="K84" i="3"/>
  <c r="H84" i="3"/>
  <c r="I84" i="3" s="1"/>
  <c r="G84" i="3"/>
  <c r="K83" i="3"/>
  <c r="I83" i="3"/>
  <c r="H83" i="3"/>
  <c r="G83" i="3"/>
  <c r="K82" i="3"/>
  <c r="H82" i="3"/>
  <c r="I82" i="3" s="1"/>
  <c r="G82" i="3"/>
  <c r="K81" i="3"/>
  <c r="H81" i="3"/>
  <c r="I81" i="3" s="1"/>
  <c r="G81" i="3"/>
  <c r="K80" i="3"/>
  <c r="H80" i="3"/>
  <c r="I80" i="3" s="1"/>
  <c r="G80" i="3"/>
  <c r="K79" i="3"/>
  <c r="H79" i="3"/>
  <c r="I79" i="3" s="1"/>
  <c r="G79" i="3"/>
  <c r="K78" i="3"/>
  <c r="H78" i="3"/>
  <c r="I78" i="3" s="1"/>
  <c r="G78" i="3"/>
  <c r="K77" i="3"/>
  <c r="H77" i="3"/>
  <c r="I77" i="3" s="1"/>
  <c r="G77" i="3"/>
  <c r="K76" i="3"/>
  <c r="H76" i="3"/>
  <c r="I76" i="3" s="1"/>
  <c r="G76" i="3"/>
  <c r="K75" i="3"/>
  <c r="I75" i="3"/>
  <c r="H75" i="3"/>
  <c r="G75" i="3"/>
  <c r="K74" i="3"/>
  <c r="H74" i="3"/>
  <c r="I74" i="3" s="1"/>
  <c r="G74" i="3"/>
  <c r="K73" i="3"/>
  <c r="I73" i="3"/>
  <c r="G73" i="3"/>
  <c r="K71" i="3"/>
  <c r="K70" i="3"/>
  <c r="I70" i="3"/>
  <c r="H70" i="3"/>
  <c r="G70" i="3"/>
  <c r="K69" i="3"/>
  <c r="I69" i="3"/>
  <c r="G69" i="3"/>
  <c r="K68" i="3"/>
  <c r="H68" i="3"/>
  <c r="I68" i="3" s="1"/>
  <c r="G68" i="3"/>
  <c r="K67" i="3"/>
  <c r="H67" i="3"/>
  <c r="I67" i="3" s="1"/>
  <c r="K66" i="3"/>
  <c r="H66" i="3"/>
  <c r="I66" i="3" s="1"/>
  <c r="G66" i="3"/>
  <c r="K65" i="3"/>
  <c r="H65" i="3"/>
  <c r="I65" i="3" s="1"/>
  <c r="K64" i="3"/>
  <c r="H64" i="3"/>
  <c r="I64" i="3" s="1"/>
  <c r="G64" i="3"/>
  <c r="E63" i="3"/>
  <c r="I63" i="3" s="1"/>
  <c r="K62" i="3"/>
  <c r="H62" i="3"/>
  <c r="I62" i="3" s="1"/>
  <c r="G62" i="3"/>
  <c r="K61" i="3"/>
  <c r="I61" i="3"/>
  <c r="G61" i="3"/>
  <c r="H60" i="3"/>
  <c r="E60" i="3"/>
  <c r="K60" i="3" s="1"/>
  <c r="K59" i="3"/>
  <c r="I59" i="3"/>
  <c r="G59" i="3"/>
  <c r="H58" i="3"/>
  <c r="E58" i="3"/>
  <c r="K58" i="3" s="1"/>
  <c r="K57" i="3"/>
  <c r="I57" i="3"/>
  <c r="G57" i="3"/>
  <c r="K56" i="3"/>
  <c r="H56" i="3"/>
  <c r="I56" i="3" s="1"/>
  <c r="G56" i="3"/>
  <c r="K55" i="3"/>
  <c r="I55" i="3"/>
  <c r="G55" i="3"/>
  <c r="K54" i="3"/>
  <c r="H54" i="3"/>
  <c r="I54" i="3" s="1"/>
  <c r="G54" i="3"/>
  <c r="K53" i="3"/>
  <c r="I53" i="3"/>
  <c r="K52" i="3"/>
  <c r="H52" i="3"/>
  <c r="I52" i="3" s="1"/>
  <c r="K51" i="3"/>
  <c r="H51" i="3"/>
  <c r="I51" i="3" s="1"/>
  <c r="G51" i="3"/>
  <c r="K50" i="3"/>
  <c r="I50" i="3"/>
  <c r="H50" i="3"/>
  <c r="K49" i="3"/>
  <c r="I49" i="3"/>
  <c r="H49" i="3"/>
  <c r="G49" i="3"/>
  <c r="K48" i="3"/>
  <c r="H48" i="3"/>
  <c r="I48" i="3" s="1"/>
  <c r="K47" i="3"/>
  <c r="H47" i="3"/>
  <c r="I47" i="3" s="1"/>
  <c r="K46" i="3"/>
  <c r="H46" i="3"/>
  <c r="I46" i="3" s="1"/>
  <c r="K45" i="3"/>
  <c r="H45" i="3"/>
  <c r="I45" i="3" s="1"/>
  <c r="K44" i="3"/>
  <c r="H44" i="3"/>
  <c r="I44" i="3" s="1"/>
  <c r="E43" i="3"/>
  <c r="I43" i="3" s="1"/>
  <c r="K42" i="3"/>
  <c r="H42" i="3"/>
  <c r="I42" i="3" s="1"/>
  <c r="G42" i="3"/>
  <c r="K41" i="3"/>
  <c r="H41" i="3"/>
  <c r="I41" i="3" s="1"/>
  <c r="G41" i="3"/>
  <c r="K40" i="3"/>
  <c r="H40" i="3"/>
  <c r="I40" i="3" s="1"/>
  <c r="K39" i="3"/>
  <c r="H39" i="3"/>
  <c r="I39" i="3" s="1"/>
  <c r="G39" i="3"/>
  <c r="H38" i="3"/>
  <c r="K37" i="3"/>
  <c r="H37" i="3"/>
  <c r="I37" i="3" s="1"/>
  <c r="G37" i="3"/>
  <c r="K36" i="3"/>
  <c r="H36" i="3"/>
  <c r="I36" i="3" s="1"/>
  <c r="G36" i="3"/>
  <c r="H35" i="3"/>
  <c r="E35" i="3"/>
  <c r="G35" i="3" s="1"/>
  <c r="H34" i="3"/>
  <c r="K33" i="3"/>
  <c r="I33" i="3"/>
  <c r="G33" i="3"/>
  <c r="E32" i="3"/>
  <c r="I32" i="3" s="1"/>
  <c r="E31" i="3"/>
  <c r="E34" i="3" s="1"/>
  <c r="H30" i="3"/>
  <c r="E29" i="3"/>
  <c r="K29" i="3" s="1"/>
  <c r="H28" i="3"/>
  <c r="E28" i="3"/>
  <c r="K28" i="3" s="1"/>
  <c r="K27" i="3"/>
  <c r="I27" i="3"/>
  <c r="G27" i="3"/>
  <c r="K26" i="3"/>
  <c r="H26" i="3"/>
  <c r="I26" i="3" s="1"/>
  <c r="G26" i="3"/>
  <c r="K25" i="3"/>
  <c r="H25" i="3"/>
  <c r="I25" i="3" s="1"/>
  <c r="G25" i="3"/>
  <c r="K24" i="3"/>
  <c r="H24" i="3"/>
  <c r="I24" i="3" s="1"/>
  <c r="G24" i="3"/>
  <c r="K23" i="3"/>
  <c r="H23" i="3"/>
  <c r="I23" i="3" s="1"/>
  <c r="G23" i="3"/>
  <c r="K22" i="3"/>
  <c r="H22" i="3"/>
  <c r="I22" i="3" s="1"/>
  <c r="G22" i="3"/>
  <c r="K21" i="3"/>
  <c r="H21" i="3"/>
  <c r="I21" i="3" s="1"/>
  <c r="G21" i="3"/>
  <c r="K20" i="3"/>
  <c r="H20" i="3"/>
  <c r="I20" i="3" s="1"/>
  <c r="G20" i="3"/>
  <c r="K19" i="3"/>
  <c r="H19" i="3"/>
  <c r="I19" i="3" s="1"/>
  <c r="G19" i="3"/>
  <c r="K18" i="3"/>
  <c r="I18" i="3"/>
  <c r="G18" i="3"/>
  <c r="H16" i="3"/>
  <c r="I15" i="3"/>
  <c r="E15" i="3"/>
  <c r="E16" i="3" s="1"/>
  <c r="H14" i="3"/>
  <c r="E14" i="3"/>
  <c r="I14" i="3" s="1"/>
  <c r="E13" i="3"/>
  <c r="K13" i="3" s="1"/>
  <c r="E10" i="3"/>
  <c r="K10" i="3" s="1"/>
  <c r="K93" i="3" l="1"/>
  <c r="I13" i="3"/>
  <c r="G15" i="3"/>
  <c r="G58" i="3"/>
  <c r="L123" i="3"/>
  <c r="G124" i="3"/>
  <c r="L141" i="3"/>
  <c r="L37" i="3"/>
  <c r="L55" i="3"/>
  <c r="L59" i="3"/>
  <c r="L119" i="3"/>
  <c r="I124" i="3"/>
  <c r="L24" i="3"/>
  <c r="G43" i="3"/>
  <c r="G60" i="3"/>
  <c r="L148" i="3"/>
  <c r="I28" i="3"/>
  <c r="L50" i="3"/>
  <c r="I60" i="3"/>
  <c r="L67" i="3"/>
  <c r="G118" i="3"/>
  <c r="G122" i="3"/>
  <c r="L140" i="3"/>
  <c r="G28" i="3"/>
  <c r="I122" i="3"/>
  <c r="L52" i="3"/>
  <c r="L60" i="3"/>
  <c r="L109" i="3"/>
  <c r="L115" i="3"/>
  <c r="L132" i="3"/>
  <c r="L87" i="3"/>
  <c r="L117" i="3"/>
  <c r="L121" i="3"/>
  <c r="L40" i="3"/>
  <c r="L45" i="3"/>
  <c r="L47" i="3"/>
  <c r="L53" i="3"/>
  <c r="L61" i="3"/>
  <c r="L73" i="3"/>
  <c r="L146" i="3"/>
  <c r="K16" i="3"/>
  <c r="G16" i="3"/>
  <c r="E38" i="3"/>
  <c r="L66" i="3"/>
  <c r="L36" i="3"/>
  <c r="L42" i="3"/>
  <c r="L57" i="3"/>
  <c r="K72" i="3"/>
  <c r="H88" i="3" s="1"/>
  <c r="I88" i="3" s="1"/>
  <c r="L88" i="3" s="1"/>
  <c r="L77" i="3"/>
  <c r="L85" i="3"/>
  <c r="E94" i="3"/>
  <c r="K94" i="3" s="1"/>
  <c r="L106" i="3"/>
  <c r="G110" i="3"/>
  <c r="G111" i="3"/>
  <c r="L147" i="3"/>
  <c r="L56" i="3"/>
  <c r="L79" i="3"/>
  <c r="L100" i="3"/>
  <c r="L108" i="3"/>
  <c r="E112" i="3"/>
  <c r="I112" i="3" s="1"/>
  <c r="L23" i="3"/>
  <c r="K15" i="3"/>
  <c r="L15" i="3" s="1"/>
  <c r="E17" i="3"/>
  <c r="G17" i="3" s="1"/>
  <c r="L18" i="3"/>
  <c r="L21" i="3"/>
  <c r="K32" i="3"/>
  <c r="L49" i="3"/>
  <c r="L51" i="3"/>
  <c r="L54" i="3"/>
  <c r="I58" i="3"/>
  <c r="L58" i="3" s="1"/>
  <c r="L70" i="3"/>
  <c r="G72" i="3"/>
  <c r="L83" i="3"/>
  <c r="G93" i="3"/>
  <c r="L93" i="3" s="1"/>
  <c r="L104" i="3"/>
  <c r="I111" i="3"/>
  <c r="I118" i="3"/>
  <c r="I120" i="3"/>
  <c r="L120" i="3" s="1"/>
  <c r="L135" i="3"/>
  <c r="L22" i="3"/>
  <c r="L27" i="3"/>
  <c r="G32" i="3"/>
  <c r="G13" i="3"/>
  <c r="L19" i="3"/>
  <c r="L20" i="3"/>
  <c r="L26" i="3"/>
  <c r="L39" i="3"/>
  <c r="K43" i="3"/>
  <c r="L64" i="3"/>
  <c r="L69" i="3"/>
  <c r="L81" i="3"/>
  <c r="L102" i="3"/>
  <c r="I110" i="3"/>
  <c r="L125" i="3"/>
  <c r="L127" i="3"/>
  <c r="L130" i="3"/>
  <c r="H131" i="3"/>
  <c r="I131" i="3" s="1"/>
  <c r="L143" i="3"/>
  <c r="L144" i="3"/>
  <c r="G149" i="3"/>
  <c r="G34" i="3"/>
  <c r="K34" i="3"/>
  <c r="L25" i="3"/>
  <c r="K14" i="3"/>
  <c r="G10" i="3"/>
  <c r="G14" i="3"/>
  <c r="E30" i="3"/>
  <c r="L75" i="3"/>
  <c r="L124" i="3"/>
  <c r="I10" i="3"/>
  <c r="I16" i="3"/>
  <c r="I29" i="3"/>
  <c r="L33" i="3"/>
  <c r="I34" i="3"/>
  <c r="K35" i="3"/>
  <c r="L44" i="3"/>
  <c r="L46" i="3"/>
  <c r="L48" i="3"/>
  <c r="L62" i="3"/>
  <c r="L68" i="3"/>
  <c r="L74" i="3"/>
  <c r="L76" i="3"/>
  <c r="L78" i="3"/>
  <c r="L80" i="3"/>
  <c r="L82" i="3"/>
  <c r="L84" i="3"/>
  <c r="L86" i="3"/>
  <c r="E96" i="3"/>
  <c r="G95" i="3"/>
  <c r="E97" i="3"/>
  <c r="K95" i="3"/>
  <c r="L99" i="3"/>
  <c r="L101" i="3"/>
  <c r="L103" i="3"/>
  <c r="L105" i="3"/>
  <c r="L107" i="3"/>
  <c r="L113" i="3"/>
  <c r="G129" i="3"/>
  <c r="I129" i="3"/>
  <c r="L142" i="3"/>
  <c r="K31" i="3"/>
  <c r="G31" i="3"/>
  <c r="E137" i="3"/>
  <c r="G136" i="3"/>
  <c r="I136" i="3"/>
  <c r="E11" i="3"/>
  <c r="K11" i="3" s="1"/>
  <c r="G29" i="3"/>
  <c r="I31" i="3"/>
  <c r="I35" i="3"/>
  <c r="G63" i="3"/>
  <c r="K63" i="3"/>
  <c r="G114" i="3"/>
  <c r="I114" i="3"/>
  <c r="H133" i="3"/>
  <c r="I133" i="3" s="1"/>
  <c r="G133" i="3"/>
  <c r="L41" i="3"/>
  <c r="L65" i="3"/>
  <c r="K90" i="3"/>
  <c r="E91" i="3"/>
  <c r="G90" i="3"/>
  <c r="G98" i="3"/>
  <c r="K98" i="3"/>
  <c r="K114" i="3"/>
  <c r="L150" i="3"/>
  <c r="G116" i="3"/>
  <c r="G128" i="3"/>
  <c r="G131" i="3"/>
  <c r="G134" i="3"/>
  <c r="K149" i="3"/>
  <c r="L149" i="3" s="1"/>
  <c r="I116" i="3"/>
  <c r="I128" i="3"/>
  <c r="I134" i="3"/>
  <c r="L13" i="3" l="1"/>
  <c r="L28" i="3"/>
  <c r="L29" i="3"/>
  <c r="L31" i="3"/>
  <c r="L43" i="3"/>
  <c r="L122" i="3"/>
  <c r="L118" i="3"/>
  <c r="L116" i="3"/>
  <c r="I72" i="3"/>
  <c r="L72" i="3" s="1"/>
  <c r="L10" i="3"/>
  <c r="L32" i="3"/>
  <c r="L16" i="3"/>
  <c r="L34" i="3"/>
  <c r="I17" i="3"/>
  <c r="K17" i="3"/>
  <c r="N17" i="3"/>
  <c r="O17" i="3" s="1"/>
  <c r="P17" i="3" s="1"/>
  <c r="G112" i="3"/>
  <c r="K112" i="3"/>
  <c r="L111" i="3"/>
  <c r="G38" i="3"/>
  <c r="K38" i="3"/>
  <c r="L35" i="3"/>
  <c r="G94" i="3"/>
  <c r="L95" i="3"/>
  <c r="L110" i="3"/>
  <c r="I38" i="3"/>
  <c r="I94" i="3"/>
  <c r="L90" i="3"/>
  <c r="K137" i="3"/>
  <c r="I137" i="3"/>
  <c r="E139" i="3"/>
  <c r="G137" i="3"/>
  <c r="I91" i="3"/>
  <c r="K91" i="3"/>
  <c r="E92" i="3"/>
  <c r="G91" i="3"/>
  <c r="L63" i="3"/>
  <c r="K96" i="3"/>
  <c r="I96" i="3"/>
  <c r="G96" i="3"/>
  <c r="L14" i="3"/>
  <c r="L131" i="3"/>
  <c r="G30" i="3"/>
  <c r="K30" i="3"/>
  <c r="L134" i="3"/>
  <c r="L98" i="3"/>
  <c r="I11" i="3"/>
  <c r="E12" i="3"/>
  <c r="G11" i="3"/>
  <c r="I30" i="3"/>
  <c r="L128" i="3"/>
  <c r="L133" i="3"/>
  <c r="L114" i="3"/>
  <c r="L136" i="3"/>
  <c r="L129" i="3"/>
  <c r="I97" i="3"/>
  <c r="K97" i="3"/>
  <c r="G97" i="3"/>
  <c r="L11" i="3" l="1"/>
  <c r="L112" i="3"/>
  <c r="L17" i="3"/>
  <c r="L94" i="3"/>
  <c r="L38" i="3"/>
  <c r="G12" i="3"/>
  <c r="K12" i="3"/>
  <c r="K9" i="3" s="1"/>
  <c r="I12" i="3"/>
  <c r="L96" i="3"/>
  <c r="L91" i="3"/>
  <c r="L137" i="3"/>
  <c r="G9" i="3"/>
  <c r="L97" i="3"/>
  <c r="L30" i="3"/>
  <c r="G92" i="3"/>
  <c r="K92" i="3"/>
  <c r="K89" i="3" s="1"/>
  <c r="H151" i="3" s="1"/>
  <c r="I151" i="3" s="1"/>
  <c r="L151" i="3" s="1"/>
  <c r="I92" i="3"/>
  <c r="I139" i="3"/>
  <c r="K139" i="3"/>
  <c r="G139" i="3"/>
  <c r="G89" i="3" l="1"/>
  <c r="I89" i="3"/>
  <c r="H71" i="3"/>
  <c r="I71" i="3" s="1"/>
  <c r="L71" i="3" s="1"/>
  <c r="K8" i="3"/>
  <c r="K152" i="3" s="1"/>
  <c r="G8" i="3"/>
  <c r="G152" i="3" s="1"/>
  <c r="L12" i="3"/>
  <c r="L139" i="3"/>
  <c r="L92" i="3"/>
  <c r="L89" i="3" l="1"/>
  <c r="I9" i="3"/>
  <c r="L9" i="3" s="1"/>
  <c r="K153" i="3"/>
  <c r="K154" i="3" s="1"/>
  <c r="G153" i="3"/>
  <c r="G154" i="3" s="1"/>
  <c r="I8" i="3" l="1"/>
  <c r="I152" i="3" s="1"/>
  <c r="I153" i="3" s="1"/>
  <c r="I154" i="3" s="1"/>
  <c r="L8" i="3"/>
  <c r="L152" i="3" s="1"/>
  <c r="L153" i="3" s="1"/>
  <c r="L154" i="3" s="1"/>
</calcChain>
</file>

<file path=xl/sharedStrings.xml><?xml version="1.0" encoding="utf-8"?>
<sst xmlns="http://schemas.openxmlformats.org/spreadsheetml/2006/main" count="452" uniqueCount="291">
  <si>
    <t>№</t>
  </si>
  <si>
    <t>Найменування Послуг/Робіт</t>
  </si>
  <si>
    <t>Од. вим.</t>
  </si>
  <si>
    <t>Розділ ЗВК</t>
  </si>
  <si>
    <t>1</t>
  </si>
  <si>
    <t>Зовнішня мережа водопроводу від 8 до 12 колодязя</t>
  </si>
  <si>
    <t>1.1</t>
  </si>
  <si>
    <t>Розробка ґрунту екскаватором з навантаженням на автосамоскиди</t>
  </si>
  <si>
    <t>м3</t>
  </si>
  <si>
    <t>1.2</t>
  </si>
  <si>
    <t>Розробка грунту вручну</t>
  </si>
  <si>
    <t>1.3</t>
  </si>
  <si>
    <t>Вивіз грунту</t>
  </si>
  <si>
    <t>т</t>
  </si>
  <si>
    <t>1.4</t>
  </si>
  <si>
    <t>Підсипка і засипка верху труби піском з ущільненням трамбівками пошарово через 60см</t>
  </si>
  <si>
    <t>1.5</t>
  </si>
  <si>
    <t>Пiсок природний, рядовий</t>
  </si>
  <si>
    <t>1.6</t>
  </si>
  <si>
    <t>Зворотня засипка грунту і піску екскаватором</t>
  </si>
  <si>
    <t>1.7</t>
  </si>
  <si>
    <t>1.8</t>
  </si>
  <si>
    <t>Ущільнення трамбівками  пошарово через 60см</t>
  </si>
  <si>
    <t>1.9</t>
  </si>
  <si>
    <t>Монтаж залізобетонних елементів водопровідних колодязів</t>
  </si>
  <si>
    <t>шт</t>
  </si>
  <si>
    <t>1.10</t>
  </si>
  <si>
    <t>ПН15</t>
  </si>
  <si>
    <t>1.11</t>
  </si>
  <si>
    <t>ПН20</t>
  </si>
  <si>
    <t>1.12</t>
  </si>
  <si>
    <t>КС15.9</t>
  </si>
  <si>
    <t>1.13</t>
  </si>
  <si>
    <t>КС15.3</t>
  </si>
  <si>
    <t>1.14</t>
  </si>
  <si>
    <t>КС20.3</t>
  </si>
  <si>
    <t>1.15</t>
  </si>
  <si>
    <t>КС20.9</t>
  </si>
  <si>
    <t>1.16</t>
  </si>
  <si>
    <t>1ПП15</t>
  </si>
  <si>
    <t>1.17</t>
  </si>
  <si>
    <t>1ПП20</t>
  </si>
  <si>
    <t>1.18</t>
  </si>
  <si>
    <t>Нанесення праймеру для гідроізоляції колодязів</t>
  </si>
  <si>
    <t>м2</t>
  </si>
  <si>
    <t>1.19</t>
  </si>
  <si>
    <t>Праймер бітумно-каучуковий</t>
  </si>
  <si>
    <t>кг</t>
  </si>
  <si>
    <t>1.20</t>
  </si>
  <si>
    <t>Нанесення бітуму для гідроізоляції колодязів за 1 раз при витрачанні 1кг/м2</t>
  </si>
  <si>
    <t>1.21</t>
  </si>
  <si>
    <t>Мастика бітумно-каучукова "Універсальна"</t>
  </si>
  <si>
    <t>1.22</t>
  </si>
  <si>
    <t>Укладання труб ВЧШГ DN150</t>
  </si>
  <si>
    <t>м.п.</t>
  </si>
  <si>
    <t>1.23</t>
  </si>
  <si>
    <t>1.24</t>
  </si>
  <si>
    <t>Укладання труб ВЧШГ DN 50</t>
  </si>
  <si>
    <t>1.25</t>
  </si>
  <si>
    <t>Труба ВЧШГ Ду150 RJ  виробник Saint Gobain PAM</t>
  </si>
  <si>
    <t>1.26</t>
  </si>
  <si>
    <t xml:space="preserve">Труба ВЧШГ Ду 50 RJ </t>
  </si>
  <si>
    <t>1.27</t>
  </si>
  <si>
    <t>Анкерне кільце Д150</t>
  </si>
  <si>
    <t>1.28</t>
  </si>
  <si>
    <t>Гумове кільце Д150</t>
  </si>
  <si>
    <t>1.29</t>
  </si>
  <si>
    <t>1.30</t>
  </si>
  <si>
    <t>Муфта-фланець чавунні Ду 150</t>
  </si>
  <si>
    <t>1.31</t>
  </si>
  <si>
    <t>Муфта-фланець чавунні Ду 50</t>
  </si>
  <si>
    <t>1.32</t>
  </si>
  <si>
    <t>Розділювач труб Д150мм виробник SAB Italy</t>
  </si>
  <si>
    <t>1.33</t>
  </si>
  <si>
    <t>1.34</t>
  </si>
  <si>
    <t>Установлення чавунних фасонних частин DN150</t>
  </si>
  <si>
    <t>1.35</t>
  </si>
  <si>
    <t>Відвід чавунний раструбний   45⁰ DN 150, PN10</t>
  </si>
  <si>
    <t>1.36</t>
  </si>
  <si>
    <t>Відвід чавунний раструбний   22⁰ DN 150, PN10</t>
  </si>
  <si>
    <t>1.37</t>
  </si>
  <si>
    <t>Відвід чавунний раструбний   30⁰ DN 150, PN10</t>
  </si>
  <si>
    <t>1.38</t>
  </si>
  <si>
    <t>Кільце гумове ущільнююче із зубцями Ду 150</t>
  </si>
  <si>
    <t>1.39</t>
  </si>
  <si>
    <t>Кільце гумове ущільнююче із зубцями Ду 50</t>
  </si>
  <si>
    <t>1.40</t>
  </si>
  <si>
    <t>Ковзні опори для прокладання в футляри труб діаметром 150 мм</t>
  </si>
  <si>
    <t>комп.</t>
  </si>
  <si>
    <t>1.41</t>
  </si>
  <si>
    <t>Коліно чавунне раструбне 11* Ду 150</t>
  </si>
  <si>
    <t>1.42</t>
  </si>
  <si>
    <t>Просмолена пакля</t>
  </si>
  <si>
    <t>1.43</t>
  </si>
  <si>
    <t>Виготовлення та монтаж драбини в колодязях</t>
  </si>
  <si>
    <t>1.44</t>
  </si>
  <si>
    <t>Улаштування упори з блоків ФБС</t>
  </si>
  <si>
    <t>1.45</t>
  </si>
  <si>
    <t>ФБС 9-4-6Т</t>
  </si>
  <si>
    <t>1.46</t>
  </si>
  <si>
    <t>Установлення чавунних засувок
дiаметром 50 мм</t>
  </si>
  <si>
    <t>1.47</t>
  </si>
  <si>
    <t>Засувка VAG EKOplus DN 50 PN 16 (в комплекті з болтами, проклатками та фланцями)</t>
  </si>
  <si>
    <t>1.48</t>
  </si>
  <si>
    <t>Установлення чавунних засувок
дiаметром 100 мм</t>
  </si>
  <si>
    <t>1.49</t>
  </si>
  <si>
    <t>Засувка фланцева (в комплекті з болтами, проклатками та фланцями), DN 100 мм</t>
  </si>
  <si>
    <t>1.50</t>
  </si>
  <si>
    <t>Установлення чавунних засувок дiаметром 150 мм</t>
  </si>
  <si>
    <t>1.51</t>
  </si>
  <si>
    <t>Засувка фланцева (в комплекті з болтами, проклатками та фланцями), DN 150 мм</t>
  </si>
  <si>
    <t>1.52</t>
  </si>
  <si>
    <t>Установлення гiдрантiв пожежних</t>
  </si>
  <si>
    <t>1.53</t>
  </si>
  <si>
    <t>Гiдранти пожежнi пiдземнi діаметром 100 мм, h=1,5 м (AVK) з підставкою</t>
  </si>
  <si>
    <t>1.54</t>
  </si>
  <si>
    <t>1.55</t>
  </si>
  <si>
    <t>Хрестовина чавунна фланцева 150*150</t>
  </si>
  <si>
    <t>1.56</t>
  </si>
  <si>
    <t>Фланець чавунний перехідний 150х100</t>
  </si>
  <si>
    <t>1.57</t>
  </si>
  <si>
    <t>Трійник чавунний фланцевий DN150/100</t>
  </si>
  <si>
    <t>1.58</t>
  </si>
  <si>
    <t>Фланець чавунний перехідний 100х50</t>
  </si>
  <si>
    <t>1.59</t>
  </si>
  <si>
    <t>Коліно чавунне фланцеве DN100/90</t>
  </si>
  <si>
    <t>1.60</t>
  </si>
  <si>
    <t>Влаштування монолітних упорів у водопровідних колодязях</t>
  </si>
  <si>
    <t>1.61</t>
  </si>
  <si>
    <t>Бетон   B7,5 Р4 ( М-100)</t>
  </si>
  <si>
    <t>1.62</t>
  </si>
  <si>
    <t>Витратні матеріали</t>
  </si>
  <si>
    <t>к-т</t>
  </si>
  <si>
    <t>2</t>
  </si>
  <si>
    <t>Водомірний вузол</t>
  </si>
  <si>
    <t>2.1</t>
  </si>
  <si>
    <t>Влаштування водомірного вузлу (лічильника, манометра технічного, кранів кульових, патрубок вставок, зворотній клапан, перехід, фільтр сітчастий, муфти</t>
  </si>
  <si>
    <t>2.2</t>
  </si>
  <si>
    <t>Лічильник води SENSUS 420PC Qn 6.3 Dn25</t>
  </si>
  <si>
    <t>2.3</t>
  </si>
  <si>
    <t>Патрубок вставка Д 25 L=260 мм</t>
  </si>
  <si>
    <t>2.4</t>
  </si>
  <si>
    <t>Манометр технічний 0-10 атм.</t>
  </si>
  <si>
    <t>2.5</t>
  </si>
  <si>
    <t>Кран кульовий Valtec Д 25 мм</t>
  </si>
  <si>
    <t>2.6</t>
  </si>
  <si>
    <t>Кран кульовий Valtec Д 15 мм</t>
  </si>
  <si>
    <t>2.7</t>
  </si>
  <si>
    <t>Кран трьохходовий Д 15 мм</t>
  </si>
  <si>
    <t>2.8</t>
  </si>
  <si>
    <t>Патрубок вставка Д 25 L=300 мм</t>
  </si>
  <si>
    <t>2.9</t>
  </si>
  <si>
    <t>Патрубок вставка Д 15 L=100 мм</t>
  </si>
  <si>
    <t>2.10</t>
  </si>
  <si>
    <t>Перехід сталевий приварний Д50*Д25мм</t>
  </si>
  <si>
    <t>2.11</t>
  </si>
  <si>
    <t>Зворотній клапан Valtec Д25мм</t>
  </si>
  <si>
    <t>2.12</t>
  </si>
  <si>
    <t>Фільтр сітчастий Valtec Д 25 мм</t>
  </si>
  <si>
    <t>2.13</t>
  </si>
  <si>
    <t>Муфта Д25 мм</t>
  </si>
  <si>
    <t>2.14</t>
  </si>
  <si>
    <t>Контргайка Д25 мм</t>
  </si>
  <si>
    <t>2.15</t>
  </si>
  <si>
    <t>Штуцер для лічильника Д 25 мм</t>
  </si>
  <si>
    <t>2.16</t>
  </si>
  <si>
    <t>К-ть</t>
  </si>
  <si>
    <t>Вартість</t>
  </si>
  <si>
    <t>Всього, грн без ПДВ</t>
  </si>
  <si>
    <t>Обладнання</t>
  </si>
  <si>
    <t>Матеріали</t>
  </si>
  <si>
    <t>Робота</t>
  </si>
  <si>
    <t>Ціна обладнання, грн без ПДВ</t>
  </si>
  <si>
    <t>Вартість обладнання, грн без ПДВ</t>
  </si>
  <si>
    <t>Ціна матеріалів, грн без ПДВ</t>
  </si>
  <si>
    <t>Вартість матеріалів, грн без ПДВ</t>
  </si>
  <si>
    <t>Ціна робіт, грн без ПДВ</t>
  </si>
  <si>
    <t>Вартість робіт, грн без ПДВ</t>
  </si>
  <si>
    <t>*</t>
  </si>
  <si>
    <t xml:space="preserve">Укладання трубопроводiв iз полiетиленових труб дiаметром 225-280 мм (футляру)                                                                  </t>
  </si>
  <si>
    <t>Труби полiетиленовi для подачi холодної води РЕ 100 SDR-26(0,6 МПа), зовнiшнiй дiаметр 280х10.7 мм                                                        </t>
  </si>
  <si>
    <t>3</t>
  </si>
  <si>
    <t>Мережа дощової каналізації в зоні фонтану від колодязю 10 до колодязю 21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</si>
  <si>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</si>
  <si>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</si>
  <si>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</si>
  <si>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</si>
  <si>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</si>
  <si>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</si>
  <si>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</si>
  <si>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</si>
  <si>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</si>
  <si>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</si>
  <si>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ПП10</t>
  </si>
  <si>
    <t>3.11</t>
  </si>
  <si>
    <t>ПП15</t>
  </si>
  <si>
    <t>3.12</t>
  </si>
  <si>
    <t>КС10.3</t>
  </si>
  <si>
    <t>3.13</t>
  </si>
  <si>
    <t>КС10.6</t>
  </si>
  <si>
    <t>3.14</t>
  </si>
  <si>
    <t>КС10.9</t>
  </si>
  <si>
    <t>3.15</t>
  </si>
  <si>
    <t>3.16</t>
  </si>
  <si>
    <t>КС15.6</t>
  </si>
  <si>
    <t>3.17</t>
  </si>
  <si>
    <t>3.18</t>
  </si>
  <si>
    <t>ПН10</t>
  </si>
  <si>
    <t>3.19</t>
  </si>
  <si>
    <t>3.20</t>
  </si>
  <si>
    <t>3.21</t>
  </si>
  <si>
    <t>3.22</t>
  </si>
  <si>
    <t>3.23</t>
  </si>
  <si>
    <t>3.24</t>
  </si>
  <si>
    <t>Укладання труб ПЕ100 SDR17 DN50</t>
  </si>
  <si>
    <t>3.25</t>
  </si>
  <si>
    <t>Труба ПЕ100 SDR17 DN50</t>
  </si>
  <si>
    <t>3.26</t>
  </si>
  <si>
    <t>Укладання труб ПЕ100 SDR17 DN160</t>
  </si>
  <si>
    <t>3.27</t>
  </si>
  <si>
    <t>Труба ПЕ100 SDR17 DN160</t>
  </si>
  <si>
    <t>3.28</t>
  </si>
  <si>
    <t>Укладання труб ПЕ100 SDR17 DN225</t>
  </si>
  <si>
    <t>3.29</t>
  </si>
  <si>
    <t>Труба ПЕ100 SDR17 DN225</t>
  </si>
  <si>
    <t>3.30</t>
  </si>
  <si>
    <t>Укладання труб ПЕ100 SDR17 DN355</t>
  </si>
  <si>
    <t>3.31</t>
  </si>
  <si>
    <t>Труба ПЕ100 SDR17 DN355</t>
  </si>
  <si>
    <t>3.32</t>
  </si>
  <si>
    <t>Укладання труб ПЕ100 DN450 (футляр)</t>
  </si>
  <si>
    <t>3.33</t>
  </si>
  <si>
    <t>Труба ПЕ100 SDR26 DN450</t>
  </si>
  <si>
    <t>3.34</t>
  </si>
  <si>
    <t>Укладання труб ПЕ100 DN560 (футляр)</t>
  </si>
  <si>
    <t>3.35</t>
  </si>
  <si>
    <t>Труба ПЕ100 SDR21 DN560</t>
  </si>
  <si>
    <t>3.36</t>
  </si>
  <si>
    <t>Влаштування вертикальних скобів у колодязі</t>
  </si>
  <si>
    <t>3.37</t>
  </si>
  <si>
    <t>Скоби чавунні в пластиковій оболонці</t>
  </si>
  <si>
    <t>3.38</t>
  </si>
  <si>
    <t>Вертикальна опалубка для бетонної підготовки під дощоприймічі</t>
  </si>
  <si>
    <t>мп</t>
  </si>
  <si>
    <t>3.39</t>
  </si>
  <si>
    <t xml:space="preserve">Пиломатеріал </t>
  </si>
  <si>
    <t>3.40</t>
  </si>
  <si>
    <t>Змазка для опалубки</t>
  </si>
  <si>
    <t>3.41</t>
  </si>
  <si>
    <t>Улаштування бетонної підготовки під дощоприймічі</t>
  </si>
  <si>
    <t>3.42</t>
  </si>
  <si>
    <t>3.43</t>
  </si>
  <si>
    <t>Монтаж дощоприймача в бетон</t>
  </si>
  <si>
    <t>3.44</t>
  </si>
  <si>
    <t>Бетон В25 Р4 W 6 (М-300)</t>
  </si>
  <si>
    <t>3.45</t>
  </si>
  <si>
    <t>Дощоприймальний колодязь BetoMax з рішіткою (дві частини)</t>
  </si>
  <si>
    <t>3.46</t>
  </si>
  <si>
    <t>Монтаж лотків</t>
  </si>
  <si>
    <t>3.47</t>
  </si>
  <si>
    <t>Жолоб HAURATON Faserfix KS 100 (160х 160х 1000) з армованого бетону, тип 01, 1м.п.</t>
  </si>
  <si>
    <t>3.48</t>
  </si>
  <si>
    <t>Решітка HAURATON Faserfix KS 100 чавунна щілинна (SW 14) з антикорозійним покриттям KTL, кл. C250, 0.5 м.п.»</t>
  </si>
  <si>
    <t>3.49</t>
  </si>
  <si>
    <t>Заглушка HAURATON Faserfix KS 100 глуха тип 01</t>
  </si>
  <si>
    <t>3.50</t>
  </si>
  <si>
    <t>Кріплення HAURATON Faserfix KS 100  ( до чавунних решіток )</t>
  </si>
  <si>
    <t>3.51</t>
  </si>
  <si>
    <t>Герметик МS-полімер 112M, файл-пакет 600 мл G12M60-C</t>
  </si>
  <si>
    <t>3.52</t>
  </si>
  <si>
    <t>Монтаж піскоуловлювача</t>
  </si>
  <si>
    <t>3.53</t>
  </si>
  <si>
    <t>Пісковловлювач HAURATON Slotted Channel 100 Faserfix (160х480х500) з армованого бетону та з корзиною для сміття, 0.5м.п.</t>
  </si>
  <si>
    <t>3.54</t>
  </si>
  <si>
    <t>Верхня частина -кришка до пісковловлювача HAURATON Slotted Channel 100 (160х128х500) асиметрична з оцинк. сталі, кл. A15, 0.5м.п.</t>
  </si>
  <si>
    <t>3.55</t>
  </si>
  <si>
    <t>Інструмент для зняття щілинного покриття до пісковловлювача</t>
  </si>
  <si>
    <t>3.56</t>
  </si>
  <si>
    <t>3.57</t>
  </si>
  <si>
    <t>Монтаж дренажного насосу</t>
  </si>
  <si>
    <t>3.58</t>
  </si>
  <si>
    <t>Дренажний насос DIVA 15 в комплекті з приладом керування одним насосом та датчиком рівня N=1,5кВт, 3 фази</t>
  </si>
  <si>
    <t>3.59</t>
  </si>
  <si>
    <t>Влаштування бетонного лотка в колодязі</t>
  </si>
  <si>
    <t>3.60</t>
  </si>
  <si>
    <t>3.61</t>
  </si>
  <si>
    <t>Встановлення фасонних частин гаснику напору DN100</t>
  </si>
  <si>
    <t>3.62</t>
  </si>
  <si>
    <t>ПДВ 20%:</t>
  </si>
  <si>
    <t>Разом, грн з ПДВ:</t>
  </si>
  <si>
    <t>Кошторис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</si>
</sst>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FFFFFF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9"/>
      <color rgb="FF0070C0"/>
      <name val="Calibri"/>
      <family val="2"/>
      <charset val="204"/>
      <scheme val="minor"/>
    </font>
    <font>
      <sz val="9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8" fillId="0" borderId="0"/>
    <xf numFmtId="0" fontId="4" fillId="0" borderId="0"/>
  </cellStyleXfs>
  <cellXfs count="6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2" applyFont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49" fontId="7" fillId="0" borderId="1" xfId="2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7" fillId="0" borderId="1" xfId="4" applyFont="1" applyBorder="1" applyAlignment="1">
      <alignment vertic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1" xfId="3" applyFont="1" applyBorder="1" applyAlignment="1">
      <alignment horizontal="center" vertical="center" wrapText="1"/>
    </xf>
    <xf numFmtId="0" fontId="7" fillId="0" borderId="1" xfId="4" applyFont="1" applyBorder="1" applyAlignment="1">
      <alignment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4" fontId="10" fillId="2" borderId="5" xfId="1" applyNumberFormat="1" applyFont="1" applyFill="1" applyBorder="1" applyAlignment="1">
      <alignment horizontal="centerContinuous" vertical="center" wrapText="1"/>
    </xf>
    <xf numFmtId="4" fontId="10" fillId="2" borderId="6" xfId="1" applyNumberFormat="1" applyFont="1" applyFill="1" applyBorder="1" applyAlignment="1">
      <alignment horizontal="centerContinuous" vertical="center" wrapText="1"/>
    </xf>
    <xf numFmtId="4" fontId="10" fillId="2" borderId="7" xfId="1" applyNumberFormat="1" applyFont="1" applyFill="1" applyBorder="1" applyAlignment="1">
      <alignment horizontal="centerContinuous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vertical="center"/>
    </xf>
    <xf numFmtId="4" fontId="10" fillId="3" borderId="1" xfId="1" applyNumberFormat="1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7" fillId="0" borderId="1" xfId="2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0" fontId="11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1" xfId="3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vertical="center"/>
    </xf>
    <xf numFmtId="0" fontId="2" fillId="2" borderId="0" xfId="0" applyFont="1" applyFill="1"/>
    <xf numFmtId="0" fontId="7" fillId="2" borderId="0" xfId="0" applyFont="1" applyFill="1"/>
    <xf numFmtId="4" fontId="5" fillId="3" borderId="5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5" fillId="3" borderId="5" xfId="1" applyNumberFormat="1" applyFont="1" applyFill="1" applyBorder="1" applyAlignment="1">
      <alignment horizontal="right" vertical="center" wrapText="1"/>
    </xf>
    <xf numFmtId="4" fontId="5" fillId="3" borderId="7" xfId="1" applyNumberFormat="1" applyFont="1" applyFill="1" applyBorder="1" applyAlignment="1">
      <alignment horizontal="right" vertical="center" wrapText="1"/>
    </xf>
    <xf numFmtId="49" fontId="6" fillId="0" borderId="0" xfId="0" applyNumberFormat="1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12" fillId="0" borderId="0" xfId="0" applyNumberFormat="1" applyFont="1"/>
    <xf numFmtId="0" fontId="5" fillId="0" borderId="1" xfId="3" applyFont="1" applyBorder="1" applyAlignment="1">
      <alignment horizontal="left" vertical="center" wrapText="1"/>
    </xf>
    <xf numFmtId="0" fontId="5" fillId="2" borderId="1" xfId="3" applyFont="1" applyFill="1" applyBorder="1" applyAlignment="1">
      <alignment horizontal="left" vertical="center" wrapText="1"/>
    </xf>
    <xf numFmtId="4" fontId="10" fillId="5" borderId="5" xfId="1" applyNumberFormat="1" applyFont="1" applyFill="1" applyBorder="1" applyAlignment="1">
      <alignment horizontal="centerContinuous" vertical="center" wrapText="1"/>
    </xf>
    <xf numFmtId="4" fontId="10" fillId="5" borderId="7" xfId="1" applyNumberFormat="1" applyFont="1" applyFill="1" applyBorder="1" applyAlignment="1">
      <alignment horizontal="centerContinuous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</cellXfs>
  <cellStyles count="5">
    <cellStyle name="0,0_x000d__x000a_NA_x000d__x000a_" xfId="1"/>
    <cellStyle name="Обычный" xfId="0" builtinId="0"/>
    <cellStyle name="Обычный 14" xfId="2"/>
    <cellStyle name="Обычный 2" xfId="3"/>
    <cellStyle name="Обычный_BeeR_Letter__18_09_2003_Исправленный_Лотки" xfId="4"/>
  </cellStyles>
  <dxfs count="115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  <pageSetUpPr fitToPage="1"/>
  </sheetPr>
  <dimension ref="A2:BR166"/>
  <sheetViews>
    <sheetView tabSelected="1" topLeftCell="A148" zoomScale="130" zoomScaleNormal="130" zoomScaleSheetLayoutView="115" workbookViewId="0">
      <selection activeCell="B156" sqref="B156:M159"/>
    </sheetView>
  </sheetViews>
  <sheetFormatPr defaultColWidth="9" defaultRowHeight="12" x14ac:dyDescent="0.2"/>
  <cols>
    <col min="1" max="1" width="2.7109375" style="1" customWidth="1"/>
    <col min="2" max="2" width="5.85546875" style="2" customWidth="1"/>
    <col min="3" max="3" width="53.85546875" style="26" customWidth="1"/>
    <col min="4" max="4" width="6.140625" style="1" customWidth="1"/>
    <col min="5" max="5" width="8" style="1" customWidth="1"/>
    <col min="6" max="6" width="10.140625" style="1" customWidth="1"/>
    <col min="7" max="7" width="12.7109375" style="1" customWidth="1"/>
    <col min="8" max="8" width="11.140625" style="1" customWidth="1"/>
    <col min="9" max="9" width="12.85546875" style="1" customWidth="1"/>
    <col min="10" max="10" width="10.5703125" style="1" customWidth="1"/>
    <col min="11" max="11" width="11.7109375" style="1" customWidth="1"/>
    <col min="12" max="12" width="12.140625" style="1" customWidth="1"/>
    <col min="13" max="13" width="2.85546875" style="1" customWidth="1"/>
    <col min="14" max="16384" width="9" style="1"/>
  </cols>
  <sheetData>
    <row r="2" spans="1:13" x14ac:dyDescent="0.2">
      <c r="C2" s="60" t="s">
        <v>290</v>
      </c>
      <c r="D2" s="60"/>
      <c r="E2" s="60"/>
      <c r="F2" s="60"/>
      <c r="G2" s="60"/>
      <c r="H2" s="60"/>
      <c r="I2" s="60"/>
      <c r="J2" s="60"/>
      <c r="K2" s="60"/>
      <c r="L2" s="60"/>
    </row>
    <row r="3" spans="1:13" x14ac:dyDescent="0.2"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3" x14ac:dyDescent="0.2">
      <c r="L4" s="27">
        <v>0.130435</v>
      </c>
    </row>
    <row r="5" spans="1:13" s="3" customFormat="1" x14ac:dyDescent="0.25">
      <c r="B5" s="61" t="s">
        <v>0</v>
      </c>
      <c r="C5" s="62" t="s">
        <v>1</v>
      </c>
      <c r="D5" s="62" t="s">
        <v>2</v>
      </c>
      <c r="E5" s="63" t="s">
        <v>166</v>
      </c>
      <c r="F5" s="28" t="s">
        <v>167</v>
      </c>
      <c r="G5" s="29"/>
      <c r="H5" s="29"/>
      <c r="I5" s="29"/>
      <c r="J5" s="29"/>
      <c r="K5" s="30"/>
      <c r="L5" s="66" t="s">
        <v>168</v>
      </c>
    </row>
    <row r="6" spans="1:13" s="3" customFormat="1" x14ac:dyDescent="0.25">
      <c r="B6" s="61"/>
      <c r="C6" s="62"/>
      <c r="D6" s="62"/>
      <c r="E6" s="64"/>
      <c r="F6" s="29" t="s">
        <v>169</v>
      </c>
      <c r="G6" s="30"/>
      <c r="H6" s="28" t="s">
        <v>170</v>
      </c>
      <c r="I6" s="30"/>
      <c r="J6" s="55" t="s">
        <v>171</v>
      </c>
      <c r="K6" s="56"/>
      <c r="L6" s="67"/>
    </row>
    <row r="7" spans="1:13" s="3" customFormat="1" ht="48" x14ac:dyDescent="0.25">
      <c r="B7" s="61"/>
      <c r="C7" s="62"/>
      <c r="D7" s="62"/>
      <c r="E7" s="65"/>
      <c r="F7" s="31" t="s">
        <v>172</v>
      </c>
      <c r="G7" s="31" t="s">
        <v>173</v>
      </c>
      <c r="H7" s="31" t="s">
        <v>174</v>
      </c>
      <c r="I7" s="31" t="s">
        <v>175</v>
      </c>
      <c r="J7" s="57" t="s">
        <v>176</v>
      </c>
      <c r="K7" s="57" t="s">
        <v>177</v>
      </c>
      <c r="L7" s="68"/>
    </row>
    <row r="8" spans="1:13" x14ac:dyDescent="0.2">
      <c r="A8" s="4"/>
      <c r="B8" s="5"/>
      <c r="C8" s="58" t="s">
        <v>3</v>
      </c>
      <c r="D8" s="6"/>
      <c r="E8" s="7"/>
      <c r="F8" s="32"/>
      <c r="G8" s="32">
        <f>SUMIF($M$9:$M$151,"=*",G9:G151)</f>
        <v>0</v>
      </c>
      <c r="H8" s="33"/>
      <c r="I8" s="33">
        <f>SUMIF($M$9:$M$151,"=*",I9:I151)</f>
        <v>2526197.0395</v>
      </c>
      <c r="J8" s="33"/>
      <c r="K8" s="33">
        <f>SUMIF($M$9:$M$151,"=*",K9:K151)</f>
        <v>0</v>
      </c>
      <c r="L8" s="33">
        <f>SUMIF($M$9:$M$151,"=*",L9:L151)</f>
        <v>2526197.0395</v>
      </c>
      <c r="M8" s="1" t="s">
        <v>178</v>
      </c>
    </row>
    <row r="9" spans="1:13" s="12" customFormat="1" x14ac:dyDescent="0.2">
      <c r="A9" s="8"/>
      <c r="B9" s="9" t="s">
        <v>4</v>
      </c>
      <c r="C9" s="59" t="s">
        <v>5</v>
      </c>
      <c r="D9" s="10"/>
      <c r="E9" s="11"/>
      <c r="F9" s="10"/>
      <c r="G9" s="10">
        <f>SUM(G10:G71)</f>
        <v>0</v>
      </c>
      <c r="H9" s="34"/>
      <c r="I9" s="10">
        <f>SUM(I10:I71)</f>
        <v>809760.00000000012</v>
      </c>
      <c r="J9" s="34"/>
      <c r="K9" s="10">
        <f>SUM(K10:K71)</f>
        <v>0</v>
      </c>
      <c r="L9" s="10">
        <f t="shared" ref="L9:L40" si="0">G9+I9+K9</f>
        <v>809760.00000000012</v>
      </c>
      <c r="M9" s="12" t="s">
        <v>178</v>
      </c>
    </row>
    <row r="10" spans="1:13" ht="15.75" customHeight="1" x14ac:dyDescent="0.2">
      <c r="A10" s="13"/>
      <c r="B10" s="14" t="s">
        <v>6</v>
      </c>
      <c r="C10" s="15" t="s">
        <v>7</v>
      </c>
      <c r="D10" s="16" t="s">
        <v>8</v>
      </c>
      <c r="E10" s="17">
        <f>381*2</f>
        <v>762</v>
      </c>
      <c r="F10" s="35">
        <v>0</v>
      </c>
      <c r="G10" s="35">
        <f>E10*F10</f>
        <v>0</v>
      </c>
      <c r="H10" s="35">
        <v>0</v>
      </c>
      <c r="I10" s="35">
        <f>H10*E10</f>
        <v>0</v>
      </c>
      <c r="J10" s="35"/>
      <c r="K10" s="35">
        <f t="shared" ref="K10:K41" si="1">E10*J10</f>
        <v>0</v>
      </c>
      <c r="L10" s="35">
        <f t="shared" si="0"/>
        <v>0</v>
      </c>
    </row>
    <row r="11" spans="1:13" x14ac:dyDescent="0.2">
      <c r="A11" s="13"/>
      <c r="B11" s="14" t="s">
        <v>9</v>
      </c>
      <c r="C11" s="53" t="s">
        <v>10</v>
      </c>
      <c r="D11" s="16" t="s">
        <v>8</v>
      </c>
      <c r="E11" s="17">
        <f>ROUNDUP(E10*0.05,0)</f>
        <v>39</v>
      </c>
      <c r="F11" s="35">
        <v>0</v>
      </c>
      <c r="G11" s="35">
        <f>E11*F11</f>
        <v>0</v>
      </c>
      <c r="H11" s="35">
        <v>0</v>
      </c>
      <c r="I11" s="35">
        <f t="shared" ref="I11:I71" si="2">H11*E11</f>
        <v>0</v>
      </c>
      <c r="J11" s="35"/>
      <c r="K11" s="35">
        <f t="shared" si="1"/>
        <v>0</v>
      </c>
      <c r="L11" s="35">
        <f t="shared" si="0"/>
        <v>0</v>
      </c>
    </row>
    <row r="12" spans="1:13" x14ac:dyDescent="0.2">
      <c r="A12" s="13"/>
      <c r="B12" s="14" t="s">
        <v>11</v>
      </c>
      <c r="C12" s="18" t="s">
        <v>12</v>
      </c>
      <c r="D12" s="16" t="s">
        <v>13</v>
      </c>
      <c r="E12" s="17">
        <f>ROUND((E11+E10)*1.65,0)</f>
        <v>1322</v>
      </c>
      <c r="F12" s="35">
        <v>0</v>
      </c>
      <c r="G12" s="35">
        <f>E12*F12</f>
        <v>0</v>
      </c>
      <c r="H12" s="35">
        <v>0</v>
      </c>
      <c r="I12" s="35">
        <f t="shared" si="2"/>
        <v>0</v>
      </c>
      <c r="J12" s="35"/>
      <c r="K12" s="35">
        <f t="shared" si="1"/>
        <v>0</v>
      </c>
      <c r="L12" s="35">
        <f t="shared" si="0"/>
        <v>0</v>
      </c>
    </row>
    <row r="13" spans="1:13" ht="24" x14ac:dyDescent="0.2">
      <c r="A13" s="13"/>
      <c r="B13" s="14" t="s">
        <v>14</v>
      </c>
      <c r="C13" s="53" t="s">
        <v>15</v>
      </c>
      <c r="D13" s="16" t="s">
        <v>8</v>
      </c>
      <c r="E13" s="19">
        <f>ROUNDUP(20.12*2*1.1,0)</f>
        <v>45</v>
      </c>
      <c r="F13" s="35">
        <v>0</v>
      </c>
      <c r="G13" s="35">
        <f>E13*F13</f>
        <v>0</v>
      </c>
      <c r="H13" s="35">
        <v>0</v>
      </c>
      <c r="I13" s="35">
        <f>E13*H13</f>
        <v>0</v>
      </c>
      <c r="J13" s="35"/>
      <c r="K13" s="35">
        <f t="shared" si="1"/>
        <v>0</v>
      </c>
      <c r="L13" s="35">
        <f t="shared" si="0"/>
        <v>0</v>
      </c>
    </row>
    <row r="14" spans="1:13" s="21" customFormat="1" x14ac:dyDescent="0.2">
      <c r="A14" s="20"/>
      <c r="B14" s="14" t="s">
        <v>16</v>
      </c>
      <c r="C14" s="15" t="s">
        <v>17</v>
      </c>
      <c r="D14" s="16" t="s">
        <v>8</v>
      </c>
      <c r="E14" s="19">
        <f>ROUND(E13*1.2,1)</f>
        <v>54</v>
      </c>
      <c r="F14" s="35">
        <v>0</v>
      </c>
      <c r="G14" s="35">
        <f t="shared" ref="G14:G37" si="3">E14*F14</f>
        <v>0</v>
      </c>
      <c r="H14" s="35">
        <f>ROUND(170.83*1.13*1.65,0)</f>
        <v>319</v>
      </c>
      <c r="I14" s="35">
        <f>E14*H14</f>
        <v>17226</v>
      </c>
      <c r="J14" s="35"/>
      <c r="K14" s="35">
        <f t="shared" si="1"/>
        <v>0</v>
      </c>
      <c r="L14" s="35">
        <f t="shared" si="0"/>
        <v>17226</v>
      </c>
      <c r="M14" s="1"/>
    </row>
    <row r="15" spans="1:13" s="21" customFormat="1" x14ac:dyDescent="0.2">
      <c r="A15" s="20"/>
      <c r="B15" s="14" t="s">
        <v>18</v>
      </c>
      <c r="C15" s="53" t="s">
        <v>19</v>
      </c>
      <c r="D15" s="16" t="s">
        <v>8</v>
      </c>
      <c r="E15" s="19">
        <f>ROUNDUP((28.71+178.23)*2*1.1,0)</f>
        <v>456</v>
      </c>
      <c r="F15" s="35">
        <v>0</v>
      </c>
      <c r="G15" s="35">
        <f t="shared" si="3"/>
        <v>0</v>
      </c>
      <c r="H15" s="35">
        <v>0</v>
      </c>
      <c r="I15" s="35">
        <f>H15*E15</f>
        <v>0</v>
      </c>
      <c r="J15" s="35"/>
      <c r="K15" s="35">
        <f t="shared" si="1"/>
        <v>0</v>
      </c>
      <c r="L15" s="35">
        <f t="shared" si="0"/>
        <v>0</v>
      </c>
      <c r="M15" s="1"/>
    </row>
    <row r="16" spans="1:13" s="22" customFormat="1" x14ac:dyDescent="0.2">
      <c r="A16" s="13"/>
      <c r="B16" s="14" t="s">
        <v>20</v>
      </c>
      <c r="C16" s="15" t="s">
        <v>17</v>
      </c>
      <c r="D16" s="16" t="s">
        <v>8</v>
      </c>
      <c r="E16" s="19">
        <f>ROUND(E15*1.2,1)</f>
        <v>547.20000000000005</v>
      </c>
      <c r="F16" s="35">
        <v>0</v>
      </c>
      <c r="G16" s="35">
        <f t="shared" si="3"/>
        <v>0</v>
      </c>
      <c r="H16" s="35">
        <f>ROUND(170.83*1.13*1.65,0)</f>
        <v>319</v>
      </c>
      <c r="I16" s="35">
        <f>E16*H16</f>
        <v>174556.80000000002</v>
      </c>
      <c r="J16" s="35"/>
      <c r="K16" s="35">
        <f t="shared" si="1"/>
        <v>0</v>
      </c>
      <c r="L16" s="35">
        <f t="shared" si="0"/>
        <v>174556.80000000002</v>
      </c>
      <c r="M16" s="1"/>
    </row>
    <row r="17" spans="1:16" s="22" customFormat="1" x14ac:dyDescent="0.2">
      <c r="A17" s="13"/>
      <c r="B17" s="14" t="s">
        <v>21</v>
      </c>
      <c r="C17" s="53" t="s">
        <v>22</v>
      </c>
      <c r="D17" s="16" t="s">
        <v>8</v>
      </c>
      <c r="E17" s="19">
        <f>E15</f>
        <v>456</v>
      </c>
      <c r="F17" s="35">
        <v>0</v>
      </c>
      <c r="G17" s="35">
        <f t="shared" si="3"/>
        <v>0</v>
      </c>
      <c r="H17" s="35">
        <v>0</v>
      </c>
      <c r="I17" s="35">
        <f>H17*E17</f>
        <v>0</v>
      </c>
      <c r="J17" s="35"/>
      <c r="K17" s="35">
        <f t="shared" si="1"/>
        <v>0</v>
      </c>
      <c r="L17" s="35">
        <f t="shared" si="0"/>
        <v>0</v>
      </c>
      <c r="M17" s="1"/>
      <c r="N17" s="22">
        <f>E17/0.6</f>
        <v>760</v>
      </c>
      <c r="O17" s="22">
        <f>N17*15</f>
        <v>11400</v>
      </c>
      <c r="P17" s="22">
        <f>O17/E17</f>
        <v>25</v>
      </c>
    </row>
    <row r="18" spans="1:16" s="22" customFormat="1" x14ac:dyDescent="0.2">
      <c r="A18" s="13"/>
      <c r="B18" s="14" t="s">
        <v>23</v>
      </c>
      <c r="C18" s="53" t="s">
        <v>24</v>
      </c>
      <c r="D18" s="16" t="s">
        <v>25</v>
      </c>
      <c r="E18" s="19">
        <v>18</v>
      </c>
      <c r="F18" s="35">
        <v>0</v>
      </c>
      <c r="G18" s="35">
        <f t="shared" si="3"/>
        <v>0</v>
      </c>
      <c r="H18" s="35">
        <v>0</v>
      </c>
      <c r="I18" s="35">
        <f t="shared" si="2"/>
        <v>0</v>
      </c>
      <c r="J18" s="35"/>
      <c r="K18" s="35">
        <f t="shared" si="1"/>
        <v>0</v>
      </c>
      <c r="L18" s="35">
        <f t="shared" si="0"/>
        <v>0</v>
      </c>
      <c r="M18" s="1"/>
    </row>
    <row r="19" spans="1:16" s="22" customFormat="1" x14ac:dyDescent="0.2">
      <c r="A19" s="13"/>
      <c r="B19" s="14" t="s">
        <v>26</v>
      </c>
      <c r="C19" s="15" t="s">
        <v>27</v>
      </c>
      <c r="D19" s="16" t="s">
        <v>25</v>
      </c>
      <c r="E19" s="17">
        <v>2</v>
      </c>
      <c r="F19" s="35">
        <v>0</v>
      </c>
      <c r="G19" s="35">
        <f t="shared" si="3"/>
        <v>0</v>
      </c>
      <c r="H19" s="35">
        <f>ROUND(1850.71*1.13,1)</f>
        <v>2091.3000000000002</v>
      </c>
      <c r="I19" s="35">
        <f t="shared" si="2"/>
        <v>4182.6000000000004</v>
      </c>
      <c r="J19" s="35"/>
      <c r="K19" s="35">
        <f t="shared" si="1"/>
        <v>0</v>
      </c>
      <c r="L19" s="35">
        <f t="shared" si="0"/>
        <v>4182.6000000000004</v>
      </c>
      <c r="M19" s="1"/>
    </row>
    <row r="20" spans="1:16" x14ac:dyDescent="0.2">
      <c r="A20" s="13"/>
      <c r="B20" s="14" t="s">
        <v>28</v>
      </c>
      <c r="C20" s="15" t="s">
        <v>29</v>
      </c>
      <c r="D20" s="16" t="s">
        <v>25</v>
      </c>
      <c r="E20" s="17">
        <v>2</v>
      </c>
      <c r="F20" s="35">
        <v>0</v>
      </c>
      <c r="G20" s="35">
        <f t="shared" si="3"/>
        <v>0</v>
      </c>
      <c r="H20" s="35">
        <f>ROUND(3994.69*1.13,1)</f>
        <v>4514</v>
      </c>
      <c r="I20" s="35">
        <f t="shared" si="2"/>
        <v>9028</v>
      </c>
      <c r="J20" s="35"/>
      <c r="K20" s="35">
        <f t="shared" si="1"/>
        <v>0</v>
      </c>
      <c r="L20" s="35">
        <f t="shared" si="0"/>
        <v>9028</v>
      </c>
    </row>
    <row r="21" spans="1:16" s="22" customFormat="1" x14ac:dyDescent="0.2">
      <c r="A21" s="13"/>
      <c r="B21" s="14" t="s">
        <v>30</v>
      </c>
      <c r="C21" s="15" t="s">
        <v>31</v>
      </c>
      <c r="D21" s="16" t="s">
        <v>25</v>
      </c>
      <c r="E21" s="17">
        <v>4</v>
      </c>
      <c r="F21" s="35">
        <v>0</v>
      </c>
      <c r="G21" s="35">
        <f t="shared" si="3"/>
        <v>0</v>
      </c>
      <c r="H21" s="35">
        <f>ROUND(1009.29*1.13,1)</f>
        <v>1140.5</v>
      </c>
      <c r="I21" s="35">
        <f t="shared" si="2"/>
        <v>4562</v>
      </c>
      <c r="J21" s="35"/>
      <c r="K21" s="35">
        <f t="shared" si="1"/>
        <v>0</v>
      </c>
      <c r="L21" s="35">
        <f t="shared" si="0"/>
        <v>4562</v>
      </c>
      <c r="M21" s="1"/>
    </row>
    <row r="22" spans="1:16" s="22" customFormat="1" x14ac:dyDescent="0.2">
      <c r="A22" s="13"/>
      <c r="B22" s="14" t="s">
        <v>32</v>
      </c>
      <c r="C22" s="15" t="s">
        <v>33</v>
      </c>
      <c r="D22" s="16" t="s">
        <v>25</v>
      </c>
      <c r="E22" s="17">
        <v>1</v>
      </c>
      <c r="F22" s="35">
        <v>0</v>
      </c>
      <c r="G22" s="35">
        <f t="shared" si="3"/>
        <v>0</v>
      </c>
      <c r="H22" s="35">
        <f>ROUNDUP(872.74*1.13,2)</f>
        <v>986.2</v>
      </c>
      <c r="I22" s="35">
        <f t="shared" si="2"/>
        <v>986.2</v>
      </c>
      <c r="J22" s="35"/>
      <c r="K22" s="35">
        <f t="shared" si="1"/>
        <v>0</v>
      </c>
      <c r="L22" s="35">
        <f t="shared" si="0"/>
        <v>986.2</v>
      </c>
      <c r="M22" s="1"/>
    </row>
    <row r="23" spans="1:16" x14ac:dyDescent="0.2">
      <c r="A23" s="13"/>
      <c r="B23" s="14" t="s">
        <v>34</v>
      </c>
      <c r="C23" s="15" t="s">
        <v>35</v>
      </c>
      <c r="D23" s="16" t="s">
        <v>25</v>
      </c>
      <c r="E23" s="17">
        <v>2</v>
      </c>
      <c r="F23" s="35">
        <v>0</v>
      </c>
      <c r="G23" s="35">
        <f t="shared" si="3"/>
        <v>0</v>
      </c>
      <c r="H23" s="35">
        <f>ROUNDUP(1283.39*1.13,1)</f>
        <v>1450.3</v>
      </c>
      <c r="I23" s="35">
        <f t="shared" si="2"/>
        <v>2900.6</v>
      </c>
      <c r="J23" s="35"/>
      <c r="K23" s="35">
        <f t="shared" si="1"/>
        <v>0</v>
      </c>
      <c r="L23" s="35">
        <f t="shared" si="0"/>
        <v>2900.6</v>
      </c>
    </row>
    <row r="24" spans="1:16" x14ac:dyDescent="0.2">
      <c r="A24" s="13"/>
      <c r="B24" s="14" t="s">
        <v>36</v>
      </c>
      <c r="C24" s="15" t="s">
        <v>37</v>
      </c>
      <c r="D24" s="16" t="s">
        <v>25</v>
      </c>
      <c r="E24" s="17">
        <v>4</v>
      </c>
      <c r="F24" s="35">
        <v>0</v>
      </c>
      <c r="G24" s="35">
        <f t="shared" si="3"/>
        <v>0</v>
      </c>
      <c r="H24" s="35">
        <f>ROUND(2057*1.13,1)</f>
        <v>2324.4</v>
      </c>
      <c r="I24" s="35">
        <f t="shared" si="2"/>
        <v>9297.6</v>
      </c>
      <c r="J24" s="35"/>
      <c r="K24" s="35">
        <f t="shared" si="1"/>
        <v>0</v>
      </c>
      <c r="L24" s="35">
        <f t="shared" si="0"/>
        <v>9297.6</v>
      </c>
    </row>
    <row r="25" spans="1:16" x14ac:dyDescent="0.2">
      <c r="A25" s="13"/>
      <c r="B25" s="14" t="s">
        <v>38</v>
      </c>
      <c r="C25" s="15" t="s">
        <v>39</v>
      </c>
      <c r="D25" s="16" t="s">
        <v>25</v>
      </c>
      <c r="E25" s="17">
        <v>2</v>
      </c>
      <c r="F25" s="35">
        <v>0</v>
      </c>
      <c r="G25" s="35">
        <f t="shared" si="3"/>
        <v>0</v>
      </c>
      <c r="H25" s="35">
        <f>ROUND(1867.03*1.05,1)</f>
        <v>1960.4</v>
      </c>
      <c r="I25" s="35">
        <f t="shared" si="2"/>
        <v>3920.8</v>
      </c>
      <c r="J25" s="35"/>
      <c r="K25" s="35">
        <f t="shared" si="1"/>
        <v>0</v>
      </c>
      <c r="L25" s="35">
        <f t="shared" si="0"/>
        <v>3920.8</v>
      </c>
    </row>
    <row r="26" spans="1:16" x14ac:dyDescent="0.2">
      <c r="A26" s="13"/>
      <c r="B26" s="14" t="s">
        <v>40</v>
      </c>
      <c r="C26" s="15" t="s">
        <v>41</v>
      </c>
      <c r="D26" s="16" t="s">
        <v>25</v>
      </c>
      <c r="E26" s="17">
        <v>2</v>
      </c>
      <c r="F26" s="35">
        <v>0</v>
      </c>
      <c r="G26" s="35">
        <f t="shared" si="3"/>
        <v>0</v>
      </c>
      <c r="H26" s="35">
        <f>ROUND(4186*1.13,1)</f>
        <v>4730.2</v>
      </c>
      <c r="I26" s="35">
        <f t="shared" si="2"/>
        <v>9460.4</v>
      </c>
      <c r="J26" s="35"/>
      <c r="K26" s="35">
        <f t="shared" si="1"/>
        <v>0</v>
      </c>
      <c r="L26" s="35">
        <f t="shared" si="0"/>
        <v>9460.4</v>
      </c>
    </row>
    <row r="27" spans="1:16" s="22" customFormat="1" x14ac:dyDescent="0.2">
      <c r="A27" s="13"/>
      <c r="B27" s="14" t="s">
        <v>42</v>
      </c>
      <c r="C27" s="53" t="s">
        <v>43</v>
      </c>
      <c r="D27" s="23" t="s">
        <v>44</v>
      </c>
      <c r="E27" s="17">
        <v>70</v>
      </c>
      <c r="F27" s="35">
        <v>0</v>
      </c>
      <c r="G27" s="35">
        <f t="shared" si="3"/>
        <v>0</v>
      </c>
      <c r="H27" s="35">
        <v>0</v>
      </c>
      <c r="I27" s="35">
        <f t="shared" si="2"/>
        <v>0</v>
      </c>
      <c r="J27" s="35"/>
      <c r="K27" s="35">
        <f t="shared" si="1"/>
        <v>0</v>
      </c>
      <c r="L27" s="35">
        <f t="shared" si="0"/>
        <v>0</v>
      </c>
    </row>
    <row r="28" spans="1:16" s="12" customFormat="1" x14ac:dyDescent="0.2">
      <c r="A28" s="8"/>
      <c r="B28" s="14" t="s">
        <v>45</v>
      </c>
      <c r="C28" s="15" t="s">
        <v>46</v>
      </c>
      <c r="D28" s="23" t="s">
        <v>47</v>
      </c>
      <c r="E28" s="24">
        <f>ROUNDUP(E27*0.5*1.02,0)</f>
        <v>36</v>
      </c>
      <c r="F28" s="35">
        <v>0</v>
      </c>
      <c r="G28" s="35">
        <f t="shared" si="3"/>
        <v>0</v>
      </c>
      <c r="H28" s="35">
        <f>ROUND(32.55*1.13,0)</f>
        <v>37</v>
      </c>
      <c r="I28" s="35">
        <f t="shared" si="2"/>
        <v>1332</v>
      </c>
      <c r="J28" s="35"/>
      <c r="K28" s="35">
        <f t="shared" si="1"/>
        <v>0</v>
      </c>
      <c r="L28" s="35">
        <f t="shared" si="0"/>
        <v>1332</v>
      </c>
      <c r="M28" s="22"/>
    </row>
    <row r="29" spans="1:16" ht="24" x14ac:dyDescent="0.2">
      <c r="A29" s="13"/>
      <c r="B29" s="14" t="s">
        <v>48</v>
      </c>
      <c r="C29" s="53" t="s">
        <v>49</v>
      </c>
      <c r="D29" s="23" t="s">
        <v>44</v>
      </c>
      <c r="E29" s="17">
        <f>E27</f>
        <v>70</v>
      </c>
      <c r="F29" s="35">
        <v>0</v>
      </c>
      <c r="G29" s="35">
        <f t="shared" si="3"/>
        <v>0</v>
      </c>
      <c r="H29" s="35">
        <v>0</v>
      </c>
      <c r="I29" s="35">
        <f t="shared" si="2"/>
        <v>0</v>
      </c>
      <c r="J29" s="35"/>
      <c r="K29" s="35">
        <f t="shared" si="1"/>
        <v>0</v>
      </c>
      <c r="L29" s="35">
        <f t="shared" si="0"/>
        <v>0</v>
      </c>
      <c r="M29" s="22"/>
    </row>
    <row r="30" spans="1:16" x14ac:dyDescent="0.2">
      <c r="A30" s="13"/>
      <c r="B30" s="14" t="s">
        <v>50</v>
      </c>
      <c r="C30" s="15" t="s">
        <v>51</v>
      </c>
      <c r="D30" s="23" t="s">
        <v>47</v>
      </c>
      <c r="E30" s="24">
        <f>ROUNDUP(E29*1*1.1,0)</f>
        <v>77</v>
      </c>
      <c r="F30" s="35">
        <v>0</v>
      </c>
      <c r="G30" s="35">
        <f t="shared" si="3"/>
        <v>0</v>
      </c>
      <c r="H30" s="35">
        <f>ROUND(24.71*1.13,0)</f>
        <v>28</v>
      </c>
      <c r="I30" s="35">
        <f t="shared" si="2"/>
        <v>2156</v>
      </c>
      <c r="J30" s="35"/>
      <c r="K30" s="35">
        <f t="shared" si="1"/>
        <v>0</v>
      </c>
      <c r="L30" s="35">
        <f t="shared" si="0"/>
        <v>2156</v>
      </c>
      <c r="M30" s="22"/>
    </row>
    <row r="31" spans="1:16" s="22" customFormat="1" x14ac:dyDescent="0.2">
      <c r="A31" s="13"/>
      <c r="B31" s="14" t="s">
        <v>52</v>
      </c>
      <c r="C31" s="53" t="s">
        <v>53</v>
      </c>
      <c r="D31" s="16" t="s">
        <v>54</v>
      </c>
      <c r="E31" s="17">
        <f>ROUNDUP(136.5*1.02,0)</f>
        <v>140</v>
      </c>
      <c r="F31" s="35">
        <v>0</v>
      </c>
      <c r="G31" s="35">
        <f>E31*F31</f>
        <v>0</v>
      </c>
      <c r="H31" s="35">
        <v>0</v>
      </c>
      <c r="I31" s="35">
        <f t="shared" si="2"/>
        <v>0</v>
      </c>
      <c r="J31" s="35"/>
      <c r="K31" s="35">
        <f t="shared" si="1"/>
        <v>0</v>
      </c>
      <c r="L31" s="35">
        <f t="shared" si="0"/>
        <v>0</v>
      </c>
      <c r="M31" s="1"/>
    </row>
    <row r="32" spans="1:16" s="22" customFormat="1" ht="24" x14ac:dyDescent="0.2">
      <c r="A32" s="13"/>
      <c r="B32" s="14" t="s">
        <v>55</v>
      </c>
      <c r="C32" s="53" t="s">
        <v>179</v>
      </c>
      <c r="D32" s="16" t="s">
        <v>54</v>
      </c>
      <c r="E32" s="17">
        <f>ROUNDUP(91.5*1.05,0)</f>
        <v>97</v>
      </c>
      <c r="F32" s="35">
        <v>0</v>
      </c>
      <c r="G32" s="35">
        <f t="shared" si="3"/>
        <v>0</v>
      </c>
      <c r="H32" s="35">
        <v>0</v>
      </c>
      <c r="I32" s="35">
        <f t="shared" si="2"/>
        <v>0</v>
      </c>
      <c r="J32" s="35"/>
      <c r="K32" s="35">
        <f t="shared" si="1"/>
        <v>0</v>
      </c>
      <c r="L32" s="35">
        <f t="shared" si="0"/>
        <v>0</v>
      </c>
      <c r="M32" s="1"/>
    </row>
    <row r="33" spans="1:13" s="22" customFormat="1" x14ac:dyDescent="0.2">
      <c r="A33" s="13"/>
      <c r="B33" s="14" t="s">
        <v>56</v>
      </c>
      <c r="C33" s="53" t="s">
        <v>57</v>
      </c>
      <c r="D33" s="16" t="s">
        <v>54</v>
      </c>
      <c r="E33" s="17">
        <v>4</v>
      </c>
      <c r="F33" s="35">
        <v>0</v>
      </c>
      <c r="G33" s="35">
        <f t="shared" si="3"/>
        <v>0</v>
      </c>
      <c r="H33" s="35">
        <v>0</v>
      </c>
      <c r="I33" s="35">
        <f t="shared" si="2"/>
        <v>0</v>
      </c>
      <c r="J33" s="35"/>
      <c r="K33" s="35">
        <f t="shared" si="1"/>
        <v>0</v>
      </c>
      <c r="L33" s="35">
        <f t="shared" si="0"/>
        <v>0</v>
      </c>
      <c r="M33" s="1"/>
    </row>
    <row r="34" spans="1:13" s="22" customFormat="1" x14ac:dyDescent="0.2">
      <c r="A34" s="13"/>
      <c r="B34" s="14" t="s">
        <v>58</v>
      </c>
      <c r="C34" s="25" t="s">
        <v>59</v>
      </c>
      <c r="D34" s="16" t="s">
        <v>54</v>
      </c>
      <c r="E34" s="17">
        <f>ROUNDUP(E31*1.035,0)</f>
        <v>145</v>
      </c>
      <c r="F34" s="35">
        <v>0</v>
      </c>
      <c r="G34" s="35">
        <f>E34*F34</f>
        <v>0</v>
      </c>
      <c r="H34" s="35">
        <f>ROUND(1584.96*1.13,1)</f>
        <v>1791</v>
      </c>
      <c r="I34" s="35">
        <f t="shared" si="2"/>
        <v>259695</v>
      </c>
      <c r="J34" s="35"/>
      <c r="K34" s="35">
        <f t="shared" si="1"/>
        <v>0</v>
      </c>
      <c r="L34" s="35">
        <f t="shared" si="0"/>
        <v>259695</v>
      </c>
      <c r="M34" s="1"/>
    </row>
    <row r="35" spans="1:13" s="22" customFormat="1" x14ac:dyDescent="0.2">
      <c r="A35" s="13"/>
      <c r="B35" s="14" t="s">
        <v>60</v>
      </c>
      <c r="C35" s="15" t="s">
        <v>61</v>
      </c>
      <c r="D35" s="16" t="s">
        <v>54</v>
      </c>
      <c r="E35" s="17">
        <f>ROUNDUP(E33*1.05,0)</f>
        <v>5</v>
      </c>
      <c r="F35" s="35">
        <v>0</v>
      </c>
      <c r="G35" s="35">
        <f t="shared" si="3"/>
        <v>0</v>
      </c>
      <c r="H35" s="35">
        <f>ROUND(887.2*1.13,1)</f>
        <v>1002.5</v>
      </c>
      <c r="I35" s="35">
        <f t="shared" si="2"/>
        <v>5012.5</v>
      </c>
      <c r="J35" s="35"/>
      <c r="K35" s="35">
        <f t="shared" si="1"/>
        <v>0</v>
      </c>
      <c r="L35" s="35">
        <f t="shared" si="0"/>
        <v>5012.5</v>
      </c>
      <c r="M35" s="1"/>
    </row>
    <row r="36" spans="1:13" s="22" customFormat="1" x14ac:dyDescent="0.2">
      <c r="A36" s="13"/>
      <c r="B36" s="14" t="s">
        <v>62</v>
      </c>
      <c r="C36" s="15" t="s">
        <v>63</v>
      </c>
      <c r="D36" s="16" t="s">
        <v>25</v>
      </c>
      <c r="E36" s="17">
        <v>20</v>
      </c>
      <c r="F36" s="35">
        <v>0</v>
      </c>
      <c r="G36" s="35">
        <f t="shared" si="3"/>
        <v>0</v>
      </c>
      <c r="H36" s="35">
        <f>ROUND(453.86*1.13,1)</f>
        <v>512.9</v>
      </c>
      <c r="I36" s="35">
        <f t="shared" si="2"/>
        <v>10258</v>
      </c>
      <c r="J36" s="35"/>
      <c r="K36" s="35">
        <f t="shared" si="1"/>
        <v>0</v>
      </c>
      <c r="L36" s="35">
        <f t="shared" si="0"/>
        <v>10258</v>
      </c>
      <c r="M36" s="1"/>
    </row>
    <row r="37" spans="1:13" s="22" customFormat="1" x14ac:dyDescent="0.2">
      <c r="A37" s="13"/>
      <c r="B37" s="14" t="s">
        <v>64</v>
      </c>
      <c r="C37" s="15" t="s">
        <v>65</v>
      </c>
      <c r="D37" s="16" t="s">
        <v>25</v>
      </c>
      <c r="E37" s="17">
        <v>20</v>
      </c>
      <c r="F37" s="35">
        <v>0</v>
      </c>
      <c r="G37" s="35">
        <f t="shared" si="3"/>
        <v>0</v>
      </c>
      <c r="H37" s="35">
        <f>ROUND(55.01*1.13,1)</f>
        <v>62.2</v>
      </c>
      <c r="I37" s="35">
        <f t="shared" si="2"/>
        <v>1244</v>
      </c>
      <c r="J37" s="35"/>
      <c r="K37" s="35">
        <f t="shared" si="1"/>
        <v>0</v>
      </c>
      <c r="L37" s="35">
        <f t="shared" si="0"/>
        <v>1244</v>
      </c>
      <c r="M37" s="1"/>
    </row>
    <row r="38" spans="1:13" s="22" customFormat="1" ht="36" x14ac:dyDescent="0.2">
      <c r="A38" s="13"/>
      <c r="B38" s="14" t="s">
        <v>66</v>
      </c>
      <c r="C38" s="15" t="s">
        <v>180</v>
      </c>
      <c r="D38" s="16" t="s">
        <v>54</v>
      </c>
      <c r="E38" s="17">
        <f>ROUNDUP(E32*1.05,0)</f>
        <v>102</v>
      </c>
      <c r="F38" s="35">
        <v>0</v>
      </c>
      <c r="G38" s="35">
        <f>E38*F38</f>
        <v>0</v>
      </c>
      <c r="H38" s="35">
        <f>ROUND(889.88*1.13,1)</f>
        <v>1005.6</v>
      </c>
      <c r="I38" s="35">
        <f t="shared" si="2"/>
        <v>102571.2</v>
      </c>
      <c r="J38" s="35"/>
      <c r="K38" s="35">
        <f t="shared" si="1"/>
        <v>0</v>
      </c>
      <c r="L38" s="35">
        <f t="shared" si="0"/>
        <v>102571.2</v>
      </c>
      <c r="M38" s="1"/>
    </row>
    <row r="39" spans="1:13" s="22" customFormat="1" x14ac:dyDescent="0.2">
      <c r="A39" s="13"/>
      <c r="B39" s="14" t="s">
        <v>67</v>
      </c>
      <c r="C39" s="15" t="s">
        <v>68</v>
      </c>
      <c r="D39" s="16" t="s">
        <v>25</v>
      </c>
      <c r="E39" s="17">
        <v>8</v>
      </c>
      <c r="F39" s="35">
        <v>0</v>
      </c>
      <c r="G39" s="35">
        <f>E39*F39</f>
        <v>0</v>
      </c>
      <c r="H39" s="35">
        <f>ROUND(1287.2*1.13,1)</f>
        <v>1454.5</v>
      </c>
      <c r="I39" s="35">
        <f t="shared" si="2"/>
        <v>11636</v>
      </c>
      <c r="J39" s="35"/>
      <c r="K39" s="35">
        <f t="shared" si="1"/>
        <v>0</v>
      </c>
      <c r="L39" s="35">
        <f t="shared" si="0"/>
        <v>11636</v>
      </c>
      <c r="M39" s="1"/>
    </row>
    <row r="40" spans="1:13" x14ac:dyDescent="0.2">
      <c r="A40" s="13"/>
      <c r="B40" s="14" t="s">
        <v>69</v>
      </c>
      <c r="C40" s="15" t="s">
        <v>70</v>
      </c>
      <c r="D40" s="16" t="s">
        <v>25</v>
      </c>
      <c r="E40" s="17">
        <v>1</v>
      </c>
      <c r="F40" s="35"/>
      <c r="G40" s="35"/>
      <c r="H40" s="35">
        <f>ROUND(657.1*1.13,1)</f>
        <v>742.5</v>
      </c>
      <c r="I40" s="35">
        <f t="shared" si="2"/>
        <v>742.5</v>
      </c>
      <c r="J40" s="35"/>
      <c r="K40" s="35">
        <f t="shared" si="1"/>
        <v>0</v>
      </c>
      <c r="L40" s="35">
        <f t="shared" si="0"/>
        <v>742.5</v>
      </c>
    </row>
    <row r="41" spans="1:13" s="22" customFormat="1" x14ac:dyDescent="0.2">
      <c r="A41" s="13"/>
      <c r="B41" s="14" t="s">
        <v>71</v>
      </c>
      <c r="C41" s="15" t="s">
        <v>72</v>
      </c>
      <c r="D41" s="16" t="s">
        <v>25</v>
      </c>
      <c r="E41" s="17">
        <v>20</v>
      </c>
      <c r="F41" s="35">
        <v>0</v>
      </c>
      <c r="G41" s="35">
        <f>E41*F41</f>
        <v>0</v>
      </c>
      <c r="H41" s="35">
        <f>ROUND(230.09*1.13,1)</f>
        <v>260</v>
      </c>
      <c r="I41" s="35">
        <f t="shared" si="2"/>
        <v>5200</v>
      </c>
      <c r="J41" s="35"/>
      <c r="K41" s="35">
        <f t="shared" si="1"/>
        <v>0</v>
      </c>
      <c r="L41" s="35">
        <f t="shared" ref="L41:L72" si="4">G41+I41+K41</f>
        <v>5200</v>
      </c>
      <c r="M41" s="1"/>
    </row>
    <row r="42" spans="1:13" s="22" customFormat="1" x14ac:dyDescent="0.2">
      <c r="A42" s="13"/>
      <c r="B42" s="14" t="s">
        <v>73</v>
      </c>
      <c r="C42" s="15" t="s">
        <v>65</v>
      </c>
      <c r="D42" s="16" t="s">
        <v>25</v>
      </c>
      <c r="E42" s="17">
        <v>20</v>
      </c>
      <c r="F42" s="35">
        <v>0</v>
      </c>
      <c r="G42" s="35">
        <f>E42*F42</f>
        <v>0</v>
      </c>
      <c r="H42" s="35">
        <f>ROUND(55.01*1.13,1)</f>
        <v>62.2</v>
      </c>
      <c r="I42" s="35">
        <f t="shared" si="2"/>
        <v>1244</v>
      </c>
      <c r="J42" s="35"/>
      <c r="K42" s="35">
        <f t="shared" ref="K42:K73" si="5">E42*J42</f>
        <v>0</v>
      </c>
      <c r="L42" s="35">
        <f t="shared" si="4"/>
        <v>1244</v>
      </c>
      <c r="M42" s="1"/>
    </row>
    <row r="43" spans="1:13" s="22" customFormat="1" x14ac:dyDescent="0.2">
      <c r="A43" s="13"/>
      <c r="B43" s="14" t="s">
        <v>74</v>
      </c>
      <c r="C43" s="53" t="s">
        <v>75</v>
      </c>
      <c r="D43" s="16" t="s">
        <v>25</v>
      </c>
      <c r="E43" s="17">
        <f>SUM(E44:E46)</f>
        <v>9</v>
      </c>
      <c r="F43" s="35">
        <v>0</v>
      </c>
      <c r="G43" s="35">
        <f>E43*F43</f>
        <v>0</v>
      </c>
      <c r="H43" s="35">
        <v>0</v>
      </c>
      <c r="I43" s="35">
        <f t="shared" si="2"/>
        <v>0</v>
      </c>
      <c r="J43" s="35"/>
      <c r="K43" s="35">
        <f t="shared" si="5"/>
        <v>0</v>
      </c>
      <c r="L43" s="35">
        <f t="shared" si="4"/>
        <v>0</v>
      </c>
      <c r="M43" s="1"/>
    </row>
    <row r="44" spans="1:13" s="22" customFormat="1" x14ac:dyDescent="0.2">
      <c r="A44" s="13"/>
      <c r="B44" s="14" t="s">
        <v>76</v>
      </c>
      <c r="C44" s="15" t="s">
        <v>77</v>
      </c>
      <c r="D44" s="16" t="s">
        <v>25</v>
      </c>
      <c r="E44" s="17">
        <v>2</v>
      </c>
      <c r="F44" s="35"/>
      <c r="G44" s="35"/>
      <c r="H44" s="35">
        <f>ROUND(2391.48*1.13,1)</f>
        <v>2702.4</v>
      </c>
      <c r="I44" s="35">
        <f t="shared" si="2"/>
        <v>5404.8</v>
      </c>
      <c r="J44" s="35"/>
      <c r="K44" s="35">
        <f t="shared" si="5"/>
        <v>0</v>
      </c>
      <c r="L44" s="35">
        <f t="shared" si="4"/>
        <v>5404.8</v>
      </c>
      <c r="M44" s="1"/>
    </row>
    <row r="45" spans="1:13" s="22" customFormat="1" x14ac:dyDescent="0.2">
      <c r="A45" s="13"/>
      <c r="B45" s="14" t="s">
        <v>78</v>
      </c>
      <c r="C45" s="15" t="s">
        <v>79</v>
      </c>
      <c r="D45" s="16" t="s">
        <v>25</v>
      </c>
      <c r="E45" s="17">
        <v>5</v>
      </c>
      <c r="F45" s="35"/>
      <c r="G45" s="35"/>
      <c r="H45" s="35">
        <f>ROUND(2391.48*1.13,1)</f>
        <v>2702.4</v>
      </c>
      <c r="I45" s="35">
        <f t="shared" si="2"/>
        <v>13512</v>
      </c>
      <c r="J45" s="35"/>
      <c r="K45" s="35">
        <f t="shared" si="5"/>
        <v>0</v>
      </c>
      <c r="L45" s="35">
        <f t="shared" si="4"/>
        <v>13512</v>
      </c>
      <c r="M45" s="1"/>
    </row>
    <row r="46" spans="1:13" x14ac:dyDescent="0.2">
      <c r="A46" s="13"/>
      <c r="B46" s="14" t="s">
        <v>80</v>
      </c>
      <c r="C46" s="15" t="s">
        <v>81</v>
      </c>
      <c r="D46" s="16" t="s">
        <v>25</v>
      </c>
      <c r="E46" s="17">
        <v>2</v>
      </c>
      <c r="F46" s="35"/>
      <c r="G46" s="35"/>
      <c r="H46" s="35">
        <f>ROUND(2391.48*1.13,1)</f>
        <v>2702.4</v>
      </c>
      <c r="I46" s="35">
        <f t="shared" si="2"/>
        <v>5404.8</v>
      </c>
      <c r="J46" s="35"/>
      <c r="K46" s="35">
        <f t="shared" si="5"/>
        <v>0</v>
      </c>
      <c r="L46" s="35">
        <f t="shared" si="4"/>
        <v>5404.8</v>
      </c>
    </row>
    <row r="47" spans="1:13" x14ac:dyDescent="0.2">
      <c r="A47" s="13"/>
      <c r="B47" s="14" t="s">
        <v>82</v>
      </c>
      <c r="C47" s="15" t="s">
        <v>83</v>
      </c>
      <c r="D47" s="16" t="s">
        <v>25</v>
      </c>
      <c r="E47" s="17">
        <v>8</v>
      </c>
      <c r="F47" s="35"/>
      <c r="G47" s="35"/>
      <c r="H47" s="35">
        <f>ROUND(769.44*1.13,1)</f>
        <v>869.5</v>
      </c>
      <c r="I47" s="35">
        <f t="shared" si="2"/>
        <v>6956</v>
      </c>
      <c r="J47" s="35"/>
      <c r="K47" s="35">
        <f t="shared" si="5"/>
        <v>0</v>
      </c>
      <c r="L47" s="35">
        <f t="shared" si="4"/>
        <v>6956</v>
      </c>
    </row>
    <row r="48" spans="1:13" x14ac:dyDescent="0.2">
      <c r="A48" s="13"/>
      <c r="B48" s="14" t="s">
        <v>84</v>
      </c>
      <c r="C48" s="15" t="s">
        <v>85</v>
      </c>
      <c r="D48" s="16" t="s">
        <v>25</v>
      </c>
      <c r="E48" s="17">
        <v>1</v>
      </c>
      <c r="F48" s="35"/>
      <c r="G48" s="35"/>
      <c r="H48" s="35">
        <f>ROUND(526.12*1.13,1)</f>
        <v>594.5</v>
      </c>
      <c r="I48" s="35">
        <f t="shared" si="2"/>
        <v>594.5</v>
      </c>
      <c r="J48" s="35"/>
      <c r="K48" s="35">
        <f t="shared" si="5"/>
        <v>0</v>
      </c>
      <c r="L48" s="35">
        <f t="shared" si="4"/>
        <v>594.5</v>
      </c>
    </row>
    <row r="49" spans="1:13" s="22" customFormat="1" x14ac:dyDescent="0.2">
      <c r="A49" s="13"/>
      <c r="B49" s="14" t="s">
        <v>86</v>
      </c>
      <c r="C49" s="15" t="s">
        <v>87</v>
      </c>
      <c r="D49" s="16" t="s">
        <v>88</v>
      </c>
      <c r="E49" s="17">
        <v>22</v>
      </c>
      <c r="F49" s="35">
        <v>0</v>
      </c>
      <c r="G49" s="35">
        <f>E49*F49</f>
        <v>0</v>
      </c>
      <c r="H49" s="35">
        <f>ROUND(321*1.13,1)</f>
        <v>362.7</v>
      </c>
      <c r="I49" s="35">
        <f t="shared" si="2"/>
        <v>7979.4</v>
      </c>
      <c r="J49" s="35"/>
      <c r="K49" s="35">
        <f t="shared" si="5"/>
        <v>0</v>
      </c>
      <c r="L49" s="35">
        <f t="shared" si="4"/>
        <v>7979.4</v>
      </c>
      <c r="M49" s="1"/>
    </row>
    <row r="50" spans="1:13" x14ac:dyDescent="0.2">
      <c r="A50" s="13"/>
      <c r="B50" s="14" t="s">
        <v>89</v>
      </c>
      <c r="C50" s="15" t="s">
        <v>90</v>
      </c>
      <c r="D50" s="16" t="s">
        <v>25</v>
      </c>
      <c r="E50" s="17">
        <v>4</v>
      </c>
      <c r="F50" s="35"/>
      <c r="G50" s="35"/>
      <c r="H50" s="35">
        <f>ROUND(1136.92*1.13,1)</f>
        <v>1284.7</v>
      </c>
      <c r="I50" s="35">
        <f t="shared" si="2"/>
        <v>5138.8</v>
      </c>
      <c r="J50" s="35"/>
      <c r="K50" s="35">
        <f t="shared" si="5"/>
        <v>0</v>
      </c>
      <c r="L50" s="35">
        <f t="shared" si="4"/>
        <v>5138.8</v>
      </c>
    </row>
    <row r="51" spans="1:13" s="22" customFormat="1" x14ac:dyDescent="0.2">
      <c r="A51" s="13"/>
      <c r="B51" s="14" t="s">
        <v>91</v>
      </c>
      <c r="C51" s="15" t="s">
        <v>92</v>
      </c>
      <c r="D51" s="16" t="s">
        <v>47</v>
      </c>
      <c r="E51" s="17">
        <v>0.5</v>
      </c>
      <c r="F51" s="35">
        <v>0</v>
      </c>
      <c r="G51" s="35">
        <f>E51*F51</f>
        <v>0</v>
      </c>
      <c r="H51" s="35">
        <f>ROUND(494*1.13,1)</f>
        <v>558.20000000000005</v>
      </c>
      <c r="I51" s="35">
        <f t="shared" si="2"/>
        <v>279.10000000000002</v>
      </c>
      <c r="J51" s="35"/>
      <c r="K51" s="35">
        <f t="shared" si="5"/>
        <v>0</v>
      </c>
      <c r="L51" s="35">
        <f t="shared" si="4"/>
        <v>279.10000000000002</v>
      </c>
      <c r="M51" s="1"/>
    </row>
    <row r="52" spans="1:13" x14ac:dyDescent="0.2">
      <c r="A52" s="13"/>
      <c r="B52" s="14" t="s">
        <v>93</v>
      </c>
      <c r="C52" s="15" t="s">
        <v>94</v>
      </c>
      <c r="D52" s="16" t="s">
        <v>88</v>
      </c>
      <c r="E52" s="17">
        <v>4</v>
      </c>
      <c r="F52" s="35"/>
      <c r="G52" s="35"/>
      <c r="H52" s="35">
        <f>ROUND(1086.92*1.13,1)</f>
        <v>1228.2</v>
      </c>
      <c r="I52" s="35">
        <f t="shared" si="2"/>
        <v>4912.8</v>
      </c>
      <c r="J52" s="35"/>
      <c r="K52" s="35">
        <f t="shared" si="5"/>
        <v>0</v>
      </c>
      <c r="L52" s="35">
        <f t="shared" si="4"/>
        <v>4912.8</v>
      </c>
    </row>
    <row r="53" spans="1:13" x14ac:dyDescent="0.2">
      <c r="A53" s="13"/>
      <c r="B53" s="14" t="s">
        <v>95</v>
      </c>
      <c r="C53" s="15" t="s">
        <v>96</v>
      </c>
      <c r="D53" s="16" t="s">
        <v>25</v>
      </c>
      <c r="E53" s="17">
        <v>4</v>
      </c>
      <c r="F53" s="35"/>
      <c r="G53" s="35"/>
      <c r="H53" s="35"/>
      <c r="I53" s="35">
        <f t="shared" si="2"/>
        <v>0</v>
      </c>
      <c r="J53" s="35"/>
      <c r="K53" s="35">
        <f t="shared" si="5"/>
        <v>0</v>
      </c>
      <c r="L53" s="35">
        <f t="shared" si="4"/>
        <v>0</v>
      </c>
    </row>
    <row r="54" spans="1:13" x14ac:dyDescent="0.2">
      <c r="A54" s="13"/>
      <c r="B54" s="14" t="s">
        <v>97</v>
      </c>
      <c r="C54" s="15" t="s">
        <v>98</v>
      </c>
      <c r="D54" s="16" t="s">
        <v>25</v>
      </c>
      <c r="E54" s="17">
        <v>4</v>
      </c>
      <c r="F54" s="35">
        <v>0</v>
      </c>
      <c r="G54" s="35">
        <f t="shared" ref="G54:G63" si="6">E54*F54</f>
        <v>0</v>
      </c>
      <c r="H54" s="35">
        <f>ROUND(446.08*1.13,1)</f>
        <v>504.1</v>
      </c>
      <c r="I54" s="35">
        <f t="shared" si="2"/>
        <v>2016.4</v>
      </c>
      <c r="J54" s="35"/>
      <c r="K54" s="35">
        <f t="shared" si="5"/>
        <v>0</v>
      </c>
      <c r="L54" s="35">
        <f t="shared" si="4"/>
        <v>2016.4</v>
      </c>
    </row>
    <row r="55" spans="1:13" s="22" customFormat="1" ht="24" x14ac:dyDescent="0.2">
      <c r="A55" s="13"/>
      <c r="B55" s="14" t="s">
        <v>99</v>
      </c>
      <c r="C55" s="53" t="s">
        <v>100</v>
      </c>
      <c r="D55" s="16" t="s">
        <v>25</v>
      </c>
      <c r="E55" s="17">
        <v>1</v>
      </c>
      <c r="F55" s="35">
        <v>0</v>
      </c>
      <c r="G55" s="35">
        <f t="shared" si="6"/>
        <v>0</v>
      </c>
      <c r="H55" s="35">
        <v>0</v>
      </c>
      <c r="I55" s="35">
        <f t="shared" si="2"/>
        <v>0</v>
      </c>
      <c r="J55" s="35"/>
      <c r="K55" s="35">
        <f t="shared" si="5"/>
        <v>0</v>
      </c>
      <c r="L55" s="35">
        <f t="shared" si="4"/>
        <v>0</v>
      </c>
      <c r="M55" s="1"/>
    </row>
    <row r="56" spans="1:13" s="22" customFormat="1" ht="24" x14ac:dyDescent="0.2">
      <c r="A56" s="13"/>
      <c r="B56" s="14" t="s">
        <v>101</v>
      </c>
      <c r="C56" s="15" t="s">
        <v>102</v>
      </c>
      <c r="D56" s="16" t="s">
        <v>25</v>
      </c>
      <c r="E56" s="17">
        <v>1</v>
      </c>
      <c r="F56" s="35">
        <v>0</v>
      </c>
      <c r="G56" s="35">
        <f t="shared" si="6"/>
        <v>0</v>
      </c>
      <c r="H56" s="35">
        <f>ROUND(2706.65*1.13,1)</f>
        <v>3058.5</v>
      </c>
      <c r="I56" s="35">
        <f t="shared" si="2"/>
        <v>3058.5</v>
      </c>
      <c r="J56" s="35"/>
      <c r="K56" s="35">
        <f t="shared" si="5"/>
        <v>0</v>
      </c>
      <c r="L56" s="35">
        <f t="shared" si="4"/>
        <v>3058.5</v>
      </c>
      <c r="M56" s="1"/>
    </row>
    <row r="57" spans="1:13" s="22" customFormat="1" ht="24" x14ac:dyDescent="0.2">
      <c r="A57" s="13"/>
      <c r="B57" s="14" t="s">
        <v>103</v>
      </c>
      <c r="C57" s="53" t="s">
        <v>104</v>
      </c>
      <c r="D57" s="16" t="s">
        <v>25</v>
      </c>
      <c r="E57" s="17">
        <v>4</v>
      </c>
      <c r="F57" s="35">
        <v>0</v>
      </c>
      <c r="G57" s="35">
        <f t="shared" si="6"/>
        <v>0</v>
      </c>
      <c r="H57" s="35">
        <v>0</v>
      </c>
      <c r="I57" s="35">
        <f t="shared" si="2"/>
        <v>0</v>
      </c>
      <c r="J57" s="35"/>
      <c r="K57" s="35">
        <f t="shared" si="5"/>
        <v>0</v>
      </c>
      <c r="L57" s="35">
        <f t="shared" si="4"/>
        <v>0</v>
      </c>
      <c r="M57" s="1"/>
    </row>
    <row r="58" spans="1:13" s="22" customFormat="1" ht="24" x14ac:dyDescent="0.2">
      <c r="A58" s="13"/>
      <c r="B58" s="14" t="s">
        <v>105</v>
      </c>
      <c r="C58" s="15" t="s">
        <v>106</v>
      </c>
      <c r="D58" s="16" t="s">
        <v>25</v>
      </c>
      <c r="E58" s="17">
        <f>E57</f>
        <v>4</v>
      </c>
      <c r="F58" s="35">
        <v>0</v>
      </c>
      <c r="G58" s="35">
        <f t="shared" si="6"/>
        <v>0</v>
      </c>
      <c r="H58" s="35">
        <f>ROUND(5327.14*1.13,1)</f>
        <v>6019.7</v>
      </c>
      <c r="I58" s="35">
        <f t="shared" si="2"/>
        <v>24078.799999999999</v>
      </c>
      <c r="J58" s="35"/>
      <c r="K58" s="35">
        <f t="shared" si="5"/>
        <v>0</v>
      </c>
      <c r="L58" s="35">
        <f t="shared" si="4"/>
        <v>24078.799999999999</v>
      </c>
      <c r="M58" s="1"/>
    </row>
    <row r="59" spans="1:13" s="22" customFormat="1" x14ac:dyDescent="0.2">
      <c r="A59" s="13"/>
      <c r="B59" s="14" t="s">
        <v>107</v>
      </c>
      <c r="C59" s="53" t="s">
        <v>108</v>
      </c>
      <c r="D59" s="16" t="s">
        <v>25</v>
      </c>
      <c r="E59" s="17">
        <v>3</v>
      </c>
      <c r="F59" s="35">
        <v>0</v>
      </c>
      <c r="G59" s="35">
        <f t="shared" si="6"/>
        <v>0</v>
      </c>
      <c r="H59" s="35">
        <v>0</v>
      </c>
      <c r="I59" s="35">
        <f t="shared" si="2"/>
        <v>0</v>
      </c>
      <c r="J59" s="35"/>
      <c r="K59" s="35">
        <f t="shared" si="5"/>
        <v>0</v>
      </c>
      <c r="L59" s="35">
        <f t="shared" si="4"/>
        <v>0</v>
      </c>
      <c r="M59" s="1"/>
    </row>
    <row r="60" spans="1:13" s="22" customFormat="1" ht="24" x14ac:dyDescent="0.2">
      <c r="A60" s="13"/>
      <c r="B60" s="14" t="s">
        <v>109</v>
      </c>
      <c r="C60" s="15" t="s">
        <v>110</v>
      </c>
      <c r="D60" s="16" t="s">
        <v>25</v>
      </c>
      <c r="E60" s="17">
        <f>E59</f>
        <v>3</v>
      </c>
      <c r="F60" s="35">
        <v>0</v>
      </c>
      <c r="G60" s="35">
        <f t="shared" si="6"/>
        <v>0</v>
      </c>
      <c r="H60" s="35">
        <f>ROUND(9333.33*1.13,1)</f>
        <v>10546.7</v>
      </c>
      <c r="I60" s="35">
        <f t="shared" si="2"/>
        <v>31640.100000000002</v>
      </c>
      <c r="J60" s="35"/>
      <c r="K60" s="35">
        <f t="shared" si="5"/>
        <v>0</v>
      </c>
      <c r="L60" s="35">
        <f t="shared" si="4"/>
        <v>31640.100000000002</v>
      </c>
      <c r="M60" s="1"/>
    </row>
    <row r="61" spans="1:13" s="22" customFormat="1" x14ac:dyDescent="0.2">
      <c r="A61" s="13"/>
      <c r="B61" s="14" t="s">
        <v>111</v>
      </c>
      <c r="C61" s="53" t="s">
        <v>112</v>
      </c>
      <c r="D61" s="16" t="s">
        <v>25</v>
      </c>
      <c r="E61" s="17">
        <v>2</v>
      </c>
      <c r="F61" s="35">
        <v>0</v>
      </c>
      <c r="G61" s="35">
        <f t="shared" si="6"/>
        <v>0</v>
      </c>
      <c r="H61" s="35">
        <v>0</v>
      </c>
      <c r="I61" s="35">
        <f t="shared" si="2"/>
        <v>0</v>
      </c>
      <c r="J61" s="35"/>
      <c r="K61" s="35">
        <f t="shared" si="5"/>
        <v>0</v>
      </c>
      <c r="L61" s="35">
        <f t="shared" si="4"/>
        <v>0</v>
      </c>
      <c r="M61" s="1"/>
    </row>
    <row r="62" spans="1:13" s="22" customFormat="1" ht="24" x14ac:dyDescent="0.2">
      <c r="A62" s="13"/>
      <c r="B62" s="14" t="s">
        <v>113</v>
      </c>
      <c r="C62" s="15" t="s">
        <v>114</v>
      </c>
      <c r="D62" s="16" t="s">
        <v>25</v>
      </c>
      <c r="E62" s="17">
        <v>2</v>
      </c>
      <c r="F62" s="35">
        <v>0</v>
      </c>
      <c r="G62" s="35">
        <f t="shared" si="6"/>
        <v>0</v>
      </c>
      <c r="H62" s="35">
        <f>ROUND(9800*1.13,1)</f>
        <v>11074</v>
      </c>
      <c r="I62" s="35">
        <f t="shared" si="2"/>
        <v>22148</v>
      </c>
      <c r="J62" s="35"/>
      <c r="K62" s="35">
        <f t="shared" si="5"/>
        <v>0</v>
      </c>
      <c r="L62" s="35">
        <f t="shared" si="4"/>
        <v>22148</v>
      </c>
      <c r="M62" s="1"/>
    </row>
    <row r="63" spans="1:13" s="22" customFormat="1" x14ac:dyDescent="0.2">
      <c r="A63" s="13"/>
      <c r="B63" s="14" t="s">
        <v>115</v>
      </c>
      <c r="C63" s="53" t="s">
        <v>75</v>
      </c>
      <c r="D63" s="16" t="s">
        <v>25</v>
      </c>
      <c r="E63" s="17">
        <f>SUM(E64:E69)</f>
        <v>15</v>
      </c>
      <c r="F63" s="35">
        <v>0</v>
      </c>
      <c r="G63" s="35">
        <f t="shared" si="6"/>
        <v>0</v>
      </c>
      <c r="H63" s="35">
        <v>0</v>
      </c>
      <c r="I63" s="35">
        <f t="shared" si="2"/>
        <v>0</v>
      </c>
      <c r="J63" s="35"/>
      <c r="K63" s="35">
        <f t="shared" si="5"/>
        <v>0</v>
      </c>
      <c r="L63" s="35">
        <f t="shared" si="4"/>
        <v>0</v>
      </c>
      <c r="M63" s="1"/>
    </row>
    <row r="64" spans="1:13" s="22" customFormat="1" x14ac:dyDescent="0.2">
      <c r="A64" s="13"/>
      <c r="B64" s="14" t="s">
        <v>116</v>
      </c>
      <c r="C64" s="15" t="s">
        <v>117</v>
      </c>
      <c r="D64" s="16" t="s">
        <v>25</v>
      </c>
      <c r="E64" s="17">
        <v>1</v>
      </c>
      <c r="F64" s="35">
        <v>0</v>
      </c>
      <c r="G64" s="35">
        <f>E64*F64</f>
        <v>0</v>
      </c>
      <c r="H64" s="35">
        <f>ROUND(9042.87*1.13,1)</f>
        <v>10218.4</v>
      </c>
      <c r="I64" s="35">
        <f t="shared" si="2"/>
        <v>10218.4</v>
      </c>
      <c r="J64" s="35"/>
      <c r="K64" s="35">
        <f t="shared" si="5"/>
        <v>0</v>
      </c>
      <c r="L64" s="35">
        <f t="shared" si="4"/>
        <v>10218.4</v>
      </c>
      <c r="M64" s="1"/>
    </row>
    <row r="65" spans="1:13" s="22" customFormat="1" x14ac:dyDescent="0.2">
      <c r="A65" s="13"/>
      <c r="B65" s="14" t="s">
        <v>118</v>
      </c>
      <c r="C65" s="15" t="s">
        <v>119</v>
      </c>
      <c r="D65" s="16" t="s">
        <v>25</v>
      </c>
      <c r="E65" s="17">
        <v>1</v>
      </c>
      <c r="F65" s="35">
        <v>0</v>
      </c>
      <c r="G65" s="35"/>
      <c r="H65" s="35">
        <f>ROUND(2542*1.13,1)</f>
        <v>2872.5</v>
      </c>
      <c r="I65" s="35">
        <f t="shared" si="2"/>
        <v>2872.5</v>
      </c>
      <c r="J65" s="35"/>
      <c r="K65" s="35">
        <f t="shared" si="5"/>
        <v>0</v>
      </c>
      <c r="L65" s="35">
        <f t="shared" si="4"/>
        <v>2872.5</v>
      </c>
      <c r="M65" s="1"/>
    </row>
    <row r="66" spans="1:13" s="22" customFormat="1" x14ac:dyDescent="0.2">
      <c r="A66" s="13"/>
      <c r="B66" s="14" t="s">
        <v>120</v>
      </c>
      <c r="C66" s="15" t="s">
        <v>121</v>
      </c>
      <c r="D66" s="16" t="s">
        <v>25</v>
      </c>
      <c r="E66" s="17">
        <v>4</v>
      </c>
      <c r="F66" s="35">
        <v>0</v>
      </c>
      <c r="G66" s="35">
        <f>E66*F66</f>
        <v>0</v>
      </c>
      <c r="H66" s="35">
        <f>ROUND(3517.62*1.13,1)</f>
        <v>3974.9</v>
      </c>
      <c r="I66" s="35">
        <f t="shared" si="2"/>
        <v>15899.6</v>
      </c>
      <c r="J66" s="35"/>
      <c r="K66" s="35">
        <f t="shared" si="5"/>
        <v>0</v>
      </c>
      <c r="L66" s="35">
        <f t="shared" si="4"/>
        <v>15899.6</v>
      </c>
      <c r="M66" s="1"/>
    </row>
    <row r="67" spans="1:13" s="22" customFormat="1" x14ac:dyDescent="0.2">
      <c r="A67" s="13"/>
      <c r="B67" s="14" t="s">
        <v>122</v>
      </c>
      <c r="C67" s="15" t="s">
        <v>123</v>
      </c>
      <c r="D67" s="16" t="s">
        <v>25</v>
      </c>
      <c r="E67" s="17">
        <v>1</v>
      </c>
      <c r="F67" s="35">
        <v>0</v>
      </c>
      <c r="G67" s="35"/>
      <c r="H67" s="35">
        <f>ROUND(1542*1.13,1)</f>
        <v>1742.5</v>
      </c>
      <c r="I67" s="35">
        <f t="shared" si="2"/>
        <v>1742.5</v>
      </c>
      <c r="J67" s="35"/>
      <c r="K67" s="35">
        <f t="shared" si="5"/>
        <v>0</v>
      </c>
      <c r="L67" s="35">
        <f t="shared" si="4"/>
        <v>1742.5</v>
      </c>
      <c r="M67" s="1"/>
    </row>
    <row r="68" spans="1:13" s="22" customFormat="1" x14ac:dyDescent="0.2">
      <c r="A68" s="13"/>
      <c r="B68" s="14" t="s">
        <v>124</v>
      </c>
      <c r="C68" s="15" t="s">
        <v>125</v>
      </c>
      <c r="D68" s="16" t="s">
        <v>25</v>
      </c>
      <c r="E68" s="17">
        <v>4</v>
      </c>
      <c r="F68" s="35">
        <v>0</v>
      </c>
      <c r="G68" s="35">
        <f>E68*F68</f>
        <v>0</v>
      </c>
      <c r="H68" s="35">
        <f>ROUND(1631.27*1.13,1)</f>
        <v>1843.3</v>
      </c>
      <c r="I68" s="35">
        <f t="shared" si="2"/>
        <v>7373.2</v>
      </c>
      <c r="J68" s="35"/>
      <c r="K68" s="35">
        <f t="shared" si="5"/>
        <v>0</v>
      </c>
      <c r="L68" s="35">
        <f t="shared" si="4"/>
        <v>7373.2</v>
      </c>
      <c r="M68" s="1"/>
    </row>
    <row r="69" spans="1:13" s="22" customFormat="1" x14ac:dyDescent="0.2">
      <c r="A69" s="13"/>
      <c r="B69" s="14" t="s">
        <v>126</v>
      </c>
      <c r="C69" s="53" t="s">
        <v>127</v>
      </c>
      <c r="D69" s="16" t="s">
        <v>25</v>
      </c>
      <c r="E69" s="17">
        <v>4</v>
      </c>
      <c r="F69" s="35">
        <v>0</v>
      </c>
      <c r="G69" s="35">
        <f>E69*F69</f>
        <v>0</v>
      </c>
      <c r="H69" s="35">
        <v>0</v>
      </c>
      <c r="I69" s="35">
        <f t="shared" si="2"/>
        <v>0</v>
      </c>
      <c r="J69" s="35"/>
      <c r="K69" s="35">
        <f t="shared" si="5"/>
        <v>0</v>
      </c>
      <c r="L69" s="35">
        <f t="shared" si="4"/>
        <v>0</v>
      </c>
      <c r="M69" s="1"/>
    </row>
    <row r="70" spans="1:13" s="13" customFormat="1" x14ac:dyDescent="0.2">
      <c r="B70" s="14" t="s">
        <v>128</v>
      </c>
      <c r="C70" s="15" t="s">
        <v>129</v>
      </c>
      <c r="D70" s="16" t="s">
        <v>8</v>
      </c>
      <c r="E70" s="17">
        <v>0.8</v>
      </c>
      <c r="F70" s="35">
        <v>0</v>
      </c>
      <c r="G70" s="35">
        <f>E70*F70</f>
        <v>0</v>
      </c>
      <c r="H70" s="35">
        <f>ROUND(1761.2*0.73*1.15+168.34,0)</f>
        <v>1647</v>
      </c>
      <c r="I70" s="35">
        <f t="shared" si="2"/>
        <v>1317.6000000000001</v>
      </c>
      <c r="J70" s="35"/>
      <c r="K70" s="35">
        <f t="shared" si="5"/>
        <v>0</v>
      </c>
      <c r="L70" s="35">
        <f t="shared" si="4"/>
        <v>1317.6000000000001</v>
      </c>
      <c r="M70" s="22"/>
    </row>
    <row r="71" spans="1:13" s="13" customFormat="1" x14ac:dyDescent="0.2">
      <c r="B71" s="14" t="s">
        <v>130</v>
      </c>
      <c r="C71" s="53" t="s">
        <v>131</v>
      </c>
      <c r="D71" s="16" t="s">
        <v>132</v>
      </c>
      <c r="E71" s="19">
        <v>1</v>
      </c>
      <c r="F71" s="35"/>
      <c r="G71" s="35"/>
      <c r="H71" s="35">
        <f>K9*0.06</f>
        <v>0</v>
      </c>
      <c r="I71" s="35">
        <f t="shared" si="2"/>
        <v>0</v>
      </c>
      <c r="J71" s="35"/>
      <c r="K71" s="35">
        <f t="shared" si="5"/>
        <v>0</v>
      </c>
      <c r="L71" s="35">
        <f t="shared" si="4"/>
        <v>0</v>
      </c>
      <c r="M71" s="22"/>
    </row>
    <row r="72" spans="1:13" s="12" customFormat="1" x14ac:dyDescent="0.2">
      <c r="A72" s="8"/>
      <c r="B72" s="9" t="s">
        <v>133</v>
      </c>
      <c r="C72" s="59" t="s">
        <v>134</v>
      </c>
      <c r="D72" s="10"/>
      <c r="E72" s="11"/>
      <c r="F72" s="10"/>
      <c r="G72" s="10">
        <f>SUM(G73:G88)</f>
        <v>0</v>
      </c>
      <c r="H72" s="34"/>
      <c r="I72" s="10">
        <f>SUM(I73:I88)</f>
        <v>4804.0706999999984</v>
      </c>
      <c r="J72" s="34"/>
      <c r="K72" s="10">
        <f>SUM(K73:K88)</f>
        <v>0</v>
      </c>
      <c r="L72" s="10">
        <f t="shared" si="4"/>
        <v>4804.0706999999984</v>
      </c>
      <c r="M72" s="12" t="s">
        <v>178</v>
      </c>
    </row>
    <row r="73" spans="1:13" ht="36" x14ac:dyDescent="0.2">
      <c r="A73" s="13"/>
      <c r="B73" s="14" t="s">
        <v>135</v>
      </c>
      <c r="C73" s="53" t="s">
        <v>136</v>
      </c>
      <c r="D73" s="16" t="s">
        <v>25</v>
      </c>
      <c r="E73" s="17">
        <v>1</v>
      </c>
      <c r="F73" s="35">
        <v>0</v>
      </c>
      <c r="G73" s="35">
        <f t="shared" ref="G73:G86" si="7">E73*F73</f>
        <v>0</v>
      </c>
      <c r="H73" s="35">
        <v>0</v>
      </c>
      <c r="I73" s="35">
        <f t="shared" ref="I73:I87" si="8">H73*E73</f>
        <v>0</v>
      </c>
      <c r="J73" s="35"/>
      <c r="K73" s="35">
        <f t="shared" ref="K73:K88" si="9">E73*J73</f>
        <v>0</v>
      </c>
      <c r="L73" s="35">
        <f t="shared" ref="L73:L104" si="10">G73+I73+K73</f>
        <v>0</v>
      </c>
    </row>
    <row r="74" spans="1:13" x14ac:dyDescent="0.2">
      <c r="A74" s="13"/>
      <c r="B74" s="14" t="s">
        <v>137</v>
      </c>
      <c r="C74" s="15" t="s">
        <v>138</v>
      </c>
      <c r="D74" s="16" t="s">
        <v>25</v>
      </c>
      <c r="E74" s="17">
        <v>1</v>
      </c>
      <c r="F74" s="35">
        <v>0</v>
      </c>
      <c r="G74" s="35">
        <f t="shared" si="7"/>
        <v>0</v>
      </c>
      <c r="H74" s="35">
        <f>2549.17*1.13</f>
        <v>2880.5620999999996</v>
      </c>
      <c r="I74" s="35">
        <f t="shared" si="8"/>
        <v>2880.5620999999996</v>
      </c>
      <c r="J74" s="35"/>
      <c r="K74" s="35">
        <f t="shared" si="9"/>
        <v>0</v>
      </c>
      <c r="L74" s="35">
        <f t="shared" si="10"/>
        <v>2880.5620999999996</v>
      </c>
    </row>
    <row r="75" spans="1:13" x14ac:dyDescent="0.2">
      <c r="A75" s="13"/>
      <c r="B75" s="14" t="s">
        <v>139</v>
      </c>
      <c r="C75" s="15" t="s">
        <v>140</v>
      </c>
      <c r="D75" s="16" t="s">
        <v>25</v>
      </c>
      <c r="E75" s="17">
        <v>1</v>
      </c>
      <c r="F75" s="35">
        <v>0</v>
      </c>
      <c r="G75" s="35">
        <f t="shared" si="7"/>
        <v>0</v>
      </c>
      <c r="H75" s="35">
        <f>121.23*1.13</f>
        <v>136.98990000000001</v>
      </c>
      <c r="I75" s="35">
        <f t="shared" si="8"/>
        <v>136.98990000000001</v>
      </c>
      <c r="J75" s="35"/>
      <c r="K75" s="35">
        <f t="shared" si="9"/>
        <v>0</v>
      </c>
      <c r="L75" s="35">
        <f t="shared" si="10"/>
        <v>136.98990000000001</v>
      </c>
    </row>
    <row r="76" spans="1:13" x14ac:dyDescent="0.2">
      <c r="A76" s="13"/>
      <c r="B76" s="14" t="s">
        <v>141</v>
      </c>
      <c r="C76" s="15" t="s">
        <v>142</v>
      </c>
      <c r="D76" s="16" t="s">
        <v>25</v>
      </c>
      <c r="E76" s="17">
        <v>1</v>
      </c>
      <c r="F76" s="35">
        <v>0</v>
      </c>
      <c r="G76" s="35">
        <f t="shared" si="7"/>
        <v>0</v>
      </c>
      <c r="H76" s="35">
        <f>90*1.13</f>
        <v>101.69999999999999</v>
      </c>
      <c r="I76" s="35">
        <f t="shared" si="8"/>
        <v>101.69999999999999</v>
      </c>
      <c r="J76" s="35"/>
      <c r="K76" s="35">
        <f t="shared" si="9"/>
        <v>0</v>
      </c>
      <c r="L76" s="35">
        <f t="shared" si="10"/>
        <v>101.69999999999999</v>
      </c>
    </row>
    <row r="77" spans="1:13" x14ac:dyDescent="0.2">
      <c r="A77" s="13"/>
      <c r="B77" s="14" t="s">
        <v>143</v>
      </c>
      <c r="C77" s="15" t="s">
        <v>144</v>
      </c>
      <c r="D77" s="16" t="s">
        <v>25</v>
      </c>
      <c r="E77" s="17">
        <v>2</v>
      </c>
      <c r="F77" s="35">
        <v>0</v>
      </c>
      <c r="G77" s="35">
        <f t="shared" si="7"/>
        <v>0</v>
      </c>
      <c r="H77" s="35">
        <f>192.67*1.13</f>
        <v>217.71709999999996</v>
      </c>
      <c r="I77" s="35">
        <f t="shared" si="8"/>
        <v>435.43419999999992</v>
      </c>
      <c r="J77" s="35"/>
      <c r="K77" s="35">
        <f t="shared" si="9"/>
        <v>0</v>
      </c>
      <c r="L77" s="35">
        <f t="shared" si="10"/>
        <v>435.43419999999992</v>
      </c>
    </row>
    <row r="78" spans="1:13" x14ac:dyDescent="0.2">
      <c r="A78" s="13"/>
      <c r="B78" s="14" t="s">
        <v>145</v>
      </c>
      <c r="C78" s="15" t="s">
        <v>146</v>
      </c>
      <c r="D78" s="16" t="s">
        <v>25</v>
      </c>
      <c r="E78" s="17">
        <v>1</v>
      </c>
      <c r="F78" s="35">
        <v>0</v>
      </c>
      <c r="G78" s="35">
        <f t="shared" si="7"/>
        <v>0</v>
      </c>
      <c r="H78" s="35">
        <f>95.95*1.13</f>
        <v>108.42349999999999</v>
      </c>
      <c r="I78" s="35">
        <f t="shared" si="8"/>
        <v>108.42349999999999</v>
      </c>
      <c r="J78" s="35"/>
      <c r="K78" s="35">
        <f t="shared" si="9"/>
        <v>0</v>
      </c>
      <c r="L78" s="35">
        <f t="shared" si="10"/>
        <v>108.42349999999999</v>
      </c>
    </row>
    <row r="79" spans="1:13" x14ac:dyDescent="0.2">
      <c r="A79" s="13"/>
      <c r="B79" s="14" t="s">
        <v>147</v>
      </c>
      <c r="C79" s="15" t="s">
        <v>148</v>
      </c>
      <c r="D79" s="16" t="s">
        <v>25</v>
      </c>
      <c r="E79" s="17">
        <v>1</v>
      </c>
      <c r="F79" s="35">
        <v>0</v>
      </c>
      <c r="G79" s="35">
        <f t="shared" si="7"/>
        <v>0</v>
      </c>
      <c r="H79" s="35">
        <f>91.67*1.13</f>
        <v>103.58709999999999</v>
      </c>
      <c r="I79" s="35">
        <f t="shared" si="8"/>
        <v>103.58709999999999</v>
      </c>
      <c r="J79" s="35"/>
      <c r="K79" s="35">
        <f t="shared" si="9"/>
        <v>0</v>
      </c>
      <c r="L79" s="35">
        <f t="shared" si="10"/>
        <v>103.58709999999999</v>
      </c>
    </row>
    <row r="80" spans="1:13" x14ac:dyDescent="0.2">
      <c r="A80" s="13"/>
      <c r="B80" s="14" t="s">
        <v>149</v>
      </c>
      <c r="C80" s="15" t="s">
        <v>150</v>
      </c>
      <c r="D80" s="16" t="s">
        <v>25</v>
      </c>
      <c r="E80" s="17">
        <v>2</v>
      </c>
      <c r="F80" s="35">
        <v>0</v>
      </c>
      <c r="G80" s="35">
        <f t="shared" si="7"/>
        <v>0</v>
      </c>
      <c r="H80" s="35">
        <f>151.23*1.13</f>
        <v>170.88989999999998</v>
      </c>
      <c r="I80" s="35">
        <f t="shared" si="8"/>
        <v>341.77979999999997</v>
      </c>
      <c r="J80" s="35"/>
      <c r="K80" s="35">
        <f t="shared" si="9"/>
        <v>0</v>
      </c>
      <c r="L80" s="35">
        <f t="shared" si="10"/>
        <v>341.77979999999997</v>
      </c>
    </row>
    <row r="81" spans="1:13" x14ac:dyDescent="0.2">
      <c r="A81" s="13"/>
      <c r="B81" s="14" t="s">
        <v>151</v>
      </c>
      <c r="C81" s="15" t="s">
        <v>152</v>
      </c>
      <c r="D81" s="16" t="s">
        <v>25</v>
      </c>
      <c r="E81" s="17">
        <v>1</v>
      </c>
      <c r="F81" s="35">
        <v>0</v>
      </c>
      <c r="G81" s="35">
        <f t="shared" si="7"/>
        <v>0</v>
      </c>
      <c r="H81" s="35">
        <f>141.23*1.13</f>
        <v>159.58989999999997</v>
      </c>
      <c r="I81" s="35">
        <f t="shared" si="8"/>
        <v>159.58989999999997</v>
      </c>
      <c r="J81" s="35"/>
      <c r="K81" s="35">
        <f t="shared" si="9"/>
        <v>0</v>
      </c>
      <c r="L81" s="35">
        <f t="shared" si="10"/>
        <v>159.58989999999997</v>
      </c>
    </row>
    <row r="82" spans="1:13" x14ac:dyDescent="0.2">
      <c r="A82" s="13"/>
      <c r="B82" s="14" t="s">
        <v>153</v>
      </c>
      <c r="C82" s="15" t="s">
        <v>154</v>
      </c>
      <c r="D82" s="16" t="s">
        <v>25</v>
      </c>
      <c r="E82" s="17">
        <v>2</v>
      </c>
      <c r="F82" s="35">
        <v>0</v>
      </c>
      <c r="G82" s="35">
        <f t="shared" si="7"/>
        <v>0</v>
      </c>
      <c r="H82" s="35">
        <f>30*1.13</f>
        <v>33.9</v>
      </c>
      <c r="I82" s="35">
        <f t="shared" si="8"/>
        <v>67.8</v>
      </c>
      <c r="J82" s="35"/>
      <c r="K82" s="35">
        <f t="shared" si="9"/>
        <v>0</v>
      </c>
      <c r="L82" s="35">
        <f t="shared" si="10"/>
        <v>67.8</v>
      </c>
    </row>
    <row r="83" spans="1:13" x14ac:dyDescent="0.2">
      <c r="A83" s="13"/>
      <c r="B83" s="14" t="s">
        <v>155</v>
      </c>
      <c r="C83" s="15" t="s">
        <v>156</v>
      </c>
      <c r="D83" s="16" t="s">
        <v>25</v>
      </c>
      <c r="E83" s="17">
        <v>1</v>
      </c>
      <c r="F83" s="35">
        <v>0</v>
      </c>
      <c r="G83" s="35">
        <f t="shared" si="7"/>
        <v>0</v>
      </c>
      <c r="H83" s="35">
        <f>116*1.13</f>
        <v>131.07999999999998</v>
      </c>
      <c r="I83" s="35">
        <f t="shared" si="8"/>
        <v>131.07999999999998</v>
      </c>
      <c r="J83" s="35"/>
      <c r="K83" s="35">
        <f t="shared" si="9"/>
        <v>0</v>
      </c>
      <c r="L83" s="35">
        <f t="shared" si="10"/>
        <v>131.07999999999998</v>
      </c>
    </row>
    <row r="84" spans="1:13" x14ac:dyDescent="0.2">
      <c r="A84" s="13"/>
      <c r="B84" s="14" t="s">
        <v>157</v>
      </c>
      <c r="C84" s="15" t="s">
        <v>158</v>
      </c>
      <c r="D84" s="16" t="s">
        <v>25</v>
      </c>
      <c r="E84" s="17">
        <v>1</v>
      </c>
      <c r="F84" s="35">
        <v>0</v>
      </c>
      <c r="G84" s="35">
        <f t="shared" si="7"/>
        <v>0</v>
      </c>
      <c r="H84" s="35">
        <f>205*1.13</f>
        <v>231.64999999999998</v>
      </c>
      <c r="I84" s="35">
        <f t="shared" si="8"/>
        <v>231.64999999999998</v>
      </c>
      <c r="J84" s="35"/>
      <c r="K84" s="35">
        <f t="shared" si="9"/>
        <v>0</v>
      </c>
      <c r="L84" s="35">
        <f t="shared" si="10"/>
        <v>231.64999999999998</v>
      </c>
    </row>
    <row r="85" spans="1:13" x14ac:dyDescent="0.2">
      <c r="A85" s="13"/>
      <c r="B85" s="14" t="s">
        <v>159</v>
      </c>
      <c r="C85" s="15" t="s">
        <v>160</v>
      </c>
      <c r="D85" s="16" t="s">
        <v>25</v>
      </c>
      <c r="E85" s="17">
        <v>2</v>
      </c>
      <c r="F85" s="35">
        <v>0</v>
      </c>
      <c r="G85" s="35">
        <f t="shared" si="7"/>
        <v>0</v>
      </c>
      <c r="H85" s="35">
        <f>16.67*1.13</f>
        <v>18.8371</v>
      </c>
      <c r="I85" s="35">
        <f t="shared" si="8"/>
        <v>37.674199999999999</v>
      </c>
      <c r="J85" s="35"/>
      <c r="K85" s="35">
        <f t="shared" si="9"/>
        <v>0</v>
      </c>
      <c r="L85" s="35">
        <f t="shared" si="10"/>
        <v>37.674199999999999</v>
      </c>
    </row>
    <row r="86" spans="1:13" x14ac:dyDescent="0.2">
      <c r="A86" s="13"/>
      <c r="B86" s="14" t="s">
        <v>161</v>
      </c>
      <c r="C86" s="15" t="s">
        <v>162</v>
      </c>
      <c r="D86" s="16" t="s">
        <v>25</v>
      </c>
      <c r="E86" s="17">
        <v>2</v>
      </c>
      <c r="F86" s="35">
        <v>0</v>
      </c>
      <c r="G86" s="35">
        <f t="shared" si="7"/>
        <v>0</v>
      </c>
      <c r="H86" s="35">
        <f>15*1.13</f>
        <v>16.95</v>
      </c>
      <c r="I86" s="35">
        <f t="shared" si="8"/>
        <v>33.9</v>
      </c>
      <c r="J86" s="35"/>
      <c r="K86" s="35">
        <f t="shared" si="9"/>
        <v>0</v>
      </c>
      <c r="L86" s="35">
        <f t="shared" si="10"/>
        <v>33.9</v>
      </c>
    </row>
    <row r="87" spans="1:13" x14ac:dyDescent="0.2">
      <c r="A87" s="13"/>
      <c r="B87" s="14" t="s">
        <v>163</v>
      </c>
      <c r="C87" s="15" t="s">
        <v>164</v>
      </c>
      <c r="D87" s="16" t="s">
        <v>25</v>
      </c>
      <c r="E87" s="17">
        <v>2</v>
      </c>
      <c r="F87" s="35"/>
      <c r="G87" s="35"/>
      <c r="H87" s="35">
        <f>15*1.13</f>
        <v>16.95</v>
      </c>
      <c r="I87" s="35">
        <f t="shared" si="8"/>
        <v>33.9</v>
      </c>
      <c r="J87" s="35"/>
      <c r="K87" s="35">
        <f t="shared" si="9"/>
        <v>0</v>
      </c>
      <c r="L87" s="35">
        <f t="shared" si="10"/>
        <v>33.9</v>
      </c>
    </row>
    <row r="88" spans="1:13" s="13" customFormat="1" x14ac:dyDescent="0.2">
      <c r="B88" s="14" t="s">
        <v>165</v>
      </c>
      <c r="C88" s="53" t="s">
        <v>131</v>
      </c>
      <c r="D88" s="16" t="s">
        <v>132</v>
      </c>
      <c r="E88" s="19">
        <v>1</v>
      </c>
      <c r="F88" s="35"/>
      <c r="G88" s="35"/>
      <c r="H88" s="35">
        <f>K72*0.06</f>
        <v>0</v>
      </c>
      <c r="I88" s="35">
        <f>E88*H88</f>
        <v>0</v>
      </c>
      <c r="J88" s="35"/>
      <c r="K88" s="35">
        <f t="shared" si="9"/>
        <v>0</v>
      </c>
      <c r="L88" s="35">
        <f t="shared" si="10"/>
        <v>0</v>
      </c>
      <c r="M88" s="22"/>
    </row>
    <row r="89" spans="1:13" s="12" customFormat="1" ht="24" x14ac:dyDescent="0.2">
      <c r="A89" s="8"/>
      <c r="B89" s="9" t="s">
        <v>181</v>
      </c>
      <c r="C89" s="59" t="s">
        <v>182</v>
      </c>
      <c r="D89" s="10"/>
      <c r="E89" s="11"/>
      <c r="F89" s="10"/>
      <c r="G89" s="10">
        <f>SUM(G90:G151)</f>
        <v>0</v>
      </c>
      <c r="H89" s="34"/>
      <c r="I89" s="10">
        <f>SUM(I90:I151)</f>
        <v>1711632.9687999999</v>
      </c>
      <c r="J89" s="34"/>
      <c r="K89" s="10">
        <f>SUM(K90:K151)</f>
        <v>0</v>
      </c>
      <c r="L89" s="10">
        <f t="shared" si="10"/>
        <v>1711632.9687999999</v>
      </c>
      <c r="M89" s="12" t="s">
        <v>178</v>
      </c>
    </row>
    <row r="90" spans="1:13" ht="24" x14ac:dyDescent="0.2">
      <c r="A90" s="13"/>
      <c r="B90" s="14" t="s">
        <v>183</v>
      </c>
      <c r="C90" s="15" t="s">
        <v>7</v>
      </c>
      <c r="D90" s="16" t="s">
        <v>8</v>
      </c>
      <c r="E90" s="17">
        <f>1106</f>
        <v>1106</v>
      </c>
      <c r="F90" s="35">
        <v>0</v>
      </c>
      <c r="G90" s="35">
        <f>E90*F90</f>
        <v>0</v>
      </c>
      <c r="H90" s="35">
        <v>0</v>
      </c>
      <c r="I90" s="35">
        <f>H90*E90</f>
        <v>0</v>
      </c>
      <c r="J90" s="35"/>
      <c r="K90" s="35">
        <f t="shared" ref="K90:K125" si="11">E90*J90</f>
        <v>0</v>
      </c>
      <c r="L90" s="35">
        <f t="shared" si="10"/>
        <v>0</v>
      </c>
    </row>
    <row r="91" spans="1:13" x14ac:dyDescent="0.2">
      <c r="A91" s="13"/>
      <c r="B91" s="14" t="s">
        <v>184</v>
      </c>
      <c r="C91" s="53" t="s">
        <v>10</v>
      </c>
      <c r="D91" s="16" t="s">
        <v>8</v>
      </c>
      <c r="E91" s="17">
        <f>ROUNDUP(E90*0.03,0)</f>
        <v>34</v>
      </c>
      <c r="F91" s="35">
        <v>0</v>
      </c>
      <c r="G91" s="35">
        <f>E91*F91</f>
        <v>0</v>
      </c>
      <c r="H91" s="35">
        <v>0</v>
      </c>
      <c r="I91" s="35">
        <f>H91*E91</f>
        <v>0</v>
      </c>
      <c r="J91" s="35"/>
      <c r="K91" s="35">
        <f t="shared" si="11"/>
        <v>0</v>
      </c>
      <c r="L91" s="35">
        <f t="shared" si="10"/>
        <v>0</v>
      </c>
    </row>
    <row r="92" spans="1:13" x14ac:dyDescent="0.2">
      <c r="A92" s="13"/>
      <c r="B92" s="14" t="s">
        <v>185</v>
      </c>
      <c r="C92" s="18" t="s">
        <v>12</v>
      </c>
      <c r="D92" s="16" t="s">
        <v>13</v>
      </c>
      <c r="E92" s="17">
        <f>ROUND((E91+E90)*1.65,0)</f>
        <v>1881</v>
      </c>
      <c r="F92" s="35">
        <v>0</v>
      </c>
      <c r="G92" s="35">
        <f>E92*F92</f>
        <v>0</v>
      </c>
      <c r="H92" s="35">
        <v>0</v>
      </c>
      <c r="I92" s="35">
        <f>H92*E92</f>
        <v>0</v>
      </c>
      <c r="J92" s="35"/>
      <c r="K92" s="35">
        <f t="shared" si="11"/>
        <v>0</v>
      </c>
      <c r="L92" s="35">
        <f t="shared" si="10"/>
        <v>0</v>
      </c>
    </row>
    <row r="93" spans="1:13" ht="24" x14ac:dyDescent="0.2">
      <c r="A93" s="13"/>
      <c r="B93" s="14" t="s">
        <v>186</v>
      </c>
      <c r="C93" s="53" t="s">
        <v>15</v>
      </c>
      <c r="D93" s="16" t="s">
        <v>8</v>
      </c>
      <c r="E93" s="17">
        <f>ROUNDUP(69.45+86.1,0)</f>
        <v>156</v>
      </c>
      <c r="F93" s="35">
        <v>0</v>
      </c>
      <c r="G93" s="35">
        <f>E93*F93</f>
        <v>0</v>
      </c>
      <c r="H93" s="35">
        <v>0</v>
      </c>
      <c r="I93" s="35">
        <f>E93*H93</f>
        <v>0</v>
      </c>
      <c r="J93" s="35"/>
      <c r="K93" s="35">
        <f t="shared" si="11"/>
        <v>0</v>
      </c>
      <c r="L93" s="35">
        <f t="shared" si="10"/>
        <v>0</v>
      </c>
    </row>
    <row r="94" spans="1:13" s="21" customFormat="1" x14ac:dyDescent="0.2">
      <c r="A94" s="20"/>
      <c r="B94" s="14" t="s">
        <v>187</v>
      </c>
      <c r="C94" s="15" t="s">
        <v>17</v>
      </c>
      <c r="D94" s="16" t="s">
        <v>8</v>
      </c>
      <c r="E94" s="17">
        <f>ROUND(E93*1.2,0)</f>
        <v>187</v>
      </c>
      <c r="F94" s="35">
        <v>0</v>
      </c>
      <c r="G94" s="35">
        <f t="shared" ref="G94:G116" si="12">E94*F94</f>
        <v>0</v>
      </c>
      <c r="H94" s="35">
        <f>ROUND(170.83*1.13*1.65,0)</f>
        <v>319</v>
      </c>
      <c r="I94" s="35">
        <f>E94*H94</f>
        <v>59653</v>
      </c>
      <c r="J94" s="35"/>
      <c r="K94" s="35">
        <f t="shared" si="11"/>
        <v>0</v>
      </c>
      <c r="L94" s="35">
        <f t="shared" si="10"/>
        <v>59653</v>
      </c>
      <c r="M94" s="1"/>
    </row>
    <row r="95" spans="1:13" s="21" customFormat="1" x14ac:dyDescent="0.2">
      <c r="A95" s="20"/>
      <c r="B95" s="14" t="s">
        <v>188</v>
      </c>
      <c r="C95" s="53" t="s">
        <v>19</v>
      </c>
      <c r="D95" s="16" t="s">
        <v>8</v>
      </c>
      <c r="E95" s="17">
        <f>ROUNDUP(792,0)</f>
        <v>792</v>
      </c>
      <c r="F95" s="35">
        <v>0</v>
      </c>
      <c r="G95" s="35">
        <f t="shared" si="12"/>
        <v>0</v>
      </c>
      <c r="H95" s="35">
        <v>0</v>
      </c>
      <c r="I95" s="35">
        <f>H95*E95</f>
        <v>0</v>
      </c>
      <c r="J95" s="35"/>
      <c r="K95" s="35">
        <f t="shared" si="11"/>
        <v>0</v>
      </c>
      <c r="L95" s="35">
        <f t="shared" si="10"/>
        <v>0</v>
      </c>
      <c r="M95" s="1"/>
    </row>
    <row r="96" spans="1:13" s="22" customFormat="1" x14ac:dyDescent="0.2">
      <c r="A96" s="13"/>
      <c r="B96" s="14" t="s">
        <v>189</v>
      </c>
      <c r="C96" s="15" t="s">
        <v>17</v>
      </c>
      <c r="D96" s="16" t="s">
        <v>8</v>
      </c>
      <c r="E96" s="17">
        <f>ROUND(E95*1.2/2,1)</f>
        <v>475.2</v>
      </c>
      <c r="F96" s="35">
        <v>0</v>
      </c>
      <c r="G96" s="35">
        <f t="shared" si="12"/>
        <v>0</v>
      </c>
      <c r="H96" s="35">
        <f>ROUND(170.83*1.13*1.65,0)</f>
        <v>319</v>
      </c>
      <c r="I96" s="35">
        <f>E96*H96</f>
        <v>151588.79999999999</v>
      </c>
      <c r="J96" s="35"/>
      <c r="K96" s="35">
        <f t="shared" si="11"/>
        <v>0</v>
      </c>
      <c r="L96" s="35">
        <f t="shared" si="10"/>
        <v>151588.79999999999</v>
      </c>
      <c r="M96" s="1"/>
    </row>
    <row r="97" spans="1:13" s="22" customFormat="1" x14ac:dyDescent="0.2">
      <c r="A97" s="13"/>
      <c r="B97" s="14" t="s">
        <v>190</v>
      </c>
      <c r="C97" s="53" t="s">
        <v>22</v>
      </c>
      <c r="D97" s="16" t="s">
        <v>8</v>
      </c>
      <c r="E97" s="17">
        <f>E95</f>
        <v>792</v>
      </c>
      <c r="F97" s="35">
        <v>0</v>
      </c>
      <c r="G97" s="35">
        <f t="shared" si="12"/>
        <v>0</v>
      </c>
      <c r="H97" s="35">
        <v>0</v>
      </c>
      <c r="I97" s="35">
        <f t="shared" ref="I97:I106" si="13">H97*E97</f>
        <v>0</v>
      </c>
      <c r="J97" s="35"/>
      <c r="K97" s="35">
        <f t="shared" si="11"/>
        <v>0</v>
      </c>
      <c r="L97" s="35">
        <f t="shared" si="10"/>
        <v>0</v>
      </c>
      <c r="M97" s="1"/>
    </row>
    <row r="98" spans="1:13" s="22" customFormat="1" x14ac:dyDescent="0.2">
      <c r="A98" s="13"/>
      <c r="B98" s="14" t="s">
        <v>191</v>
      </c>
      <c r="C98" s="53" t="s">
        <v>24</v>
      </c>
      <c r="D98" s="16" t="s">
        <v>25</v>
      </c>
      <c r="E98" s="17">
        <f>SUM(E99:E108)</f>
        <v>56</v>
      </c>
      <c r="F98" s="35">
        <v>0</v>
      </c>
      <c r="G98" s="35">
        <f t="shared" si="12"/>
        <v>0</v>
      </c>
      <c r="H98" s="35">
        <v>0</v>
      </c>
      <c r="I98" s="35">
        <f t="shared" si="13"/>
        <v>0</v>
      </c>
      <c r="J98" s="35"/>
      <c r="K98" s="35">
        <f t="shared" si="11"/>
        <v>0</v>
      </c>
      <c r="L98" s="35">
        <f t="shared" si="10"/>
        <v>0</v>
      </c>
      <c r="M98" s="1"/>
    </row>
    <row r="99" spans="1:13" s="22" customFormat="1" x14ac:dyDescent="0.2">
      <c r="A99" s="13"/>
      <c r="B99" s="14" t="s">
        <v>192</v>
      </c>
      <c r="C99" s="15" t="s">
        <v>193</v>
      </c>
      <c r="D99" s="16" t="s">
        <v>25</v>
      </c>
      <c r="E99" s="17">
        <v>9</v>
      </c>
      <c r="F99" s="35">
        <v>0</v>
      </c>
      <c r="G99" s="35">
        <f t="shared" si="12"/>
        <v>0</v>
      </c>
      <c r="H99" s="35">
        <f>ROUND(852.26*1.13,1)</f>
        <v>963.1</v>
      </c>
      <c r="I99" s="35">
        <f t="shared" si="13"/>
        <v>8667.9</v>
      </c>
      <c r="J99" s="35"/>
      <c r="K99" s="35">
        <f t="shared" si="11"/>
        <v>0</v>
      </c>
      <c r="L99" s="35">
        <f t="shared" si="10"/>
        <v>8667.9</v>
      </c>
      <c r="M99" s="1"/>
    </row>
    <row r="100" spans="1:13" x14ac:dyDescent="0.2">
      <c r="A100" s="13"/>
      <c r="B100" s="14" t="s">
        <v>194</v>
      </c>
      <c r="C100" s="15" t="s">
        <v>195</v>
      </c>
      <c r="D100" s="16" t="s">
        <v>25</v>
      </c>
      <c r="E100" s="17">
        <v>4</v>
      </c>
      <c r="F100" s="35">
        <v>0</v>
      </c>
      <c r="G100" s="35">
        <f t="shared" si="12"/>
        <v>0</v>
      </c>
      <c r="H100" s="35">
        <f>ROUND(1734.87*1.13,1)</f>
        <v>1960.4</v>
      </c>
      <c r="I100" s="35">
        <f t="shared" si="13"/>
        <v>7841.6</v>
      </c>
      <c r="J100" s="35"/>
      <c r="K100" s="35">
        <f t="shared" si="11"/>
        <v>0</v>
      </c>
      <c r="L100" s="35">
        <f t="shared" si="10"/>
        <v>7841.6</v>
      </c>
    </row>
    <row r="101" spans="1:13" s="22" customFormat="1" x14ac:dyDescent="0.2">
      <c r="A101" s="13"/>
      <c r="B101" s="14" t="s">
        <v>196</v>
      </c>
      <c r="C101" s="15" t="s">
        <v>197</v>
      </c>
      <c r="D101" s="16" t="s">
        <v>25</v>
      </c>
      <c r="E101" s="17">
        <v>2</v>
      </c>
      <c r="F101" s="35">
        <v>0</v>
      </c>
      <c r="G101" s="35">
        <f t="shared" si="12"/>
        <v>0</v>
      </c>
      <c r="H101" s="35">
        <f>ROUND(522.9*1.13,1)</f>
        <v>590.9</v>
      </c>
      <c r="I101" s="35">
        <f t="shared" si="13"/>
        <v>1181.8</v>
      </c>
      <c r="J101" s="35"/>
      <c r="K101" s="35">
        <f t="shared" si="11"/>
        <v>0</v>
      </c>
      <c r="L101" s="35">
        <f t="shared" si="10"/>
        <v>1181.8</v>
      </c>
      <c r="M101" s="1"/>
    </row>
    <row r="102" spans="1:13" s="22" customFormat="1" x14ac:dyDescent="0.2">
      <c r="A102" s="13"/>
      <c r="B102" s="14" t="s">
        <v>198</v>
      </c>
      <c r="C102" s="15" t="s">
        <v>199</v>
      </c>
      <c r="D102" s="16" t="s">
        <v>25</v>
      </c>
      <c r="E102" s="17">
        <v>5</v>
      </c>
      <c r="F102" s="35">
        <v>0</v>
      </c>
      <c r="G102" s="35">
        <f t="shared" si="12"/>
        <v>0</v>
      </c>
      <c r="H102" s="35">
        <f>ROUND(494.41*1.13,1)</f>
        <v>558.70000000000005</v>
      </c>
      <c r="I102" s="35">
        <f t="shared" si="13"/>
        <v>2793.5</v>
      </c>
      <c r="J102" s="35"/>
      <c r="K102" s="35">
        <f t="shared" si="11"/>
        <v>0</v>
      </c>
      <c r="L102" s="35">
        <f t="shared" si="10"/>
        <v>2793.5</v>
      </c>
      <c r="M102" s="1"/>
    </row>
    <row r="103" spans="1:13" s="22" customFormat="1" x14ac:dyDescent="0.2">
      <c r="A103" s="13"/>
      <c r="B103" s="14" t="s">
        <v>200</v>
      </c>
      <c r="C103" s="15" t="s">
        <v>201</v>
      </c>
      <c r="D103" s="16" t="s">
        <v>25</v>
      </c>
      <c r="E103" s="17">
        <v>11</v>
      </c>
      <c r="F103" s="35">
        <v>0</v>
      </c>
      <c r="G103" s="35">
        <f t="shared" si="12"/>
        <v>0</v>
      </c>
      <c r="H103" s="35">
        <f>ROUND(666.74*1.13,1)</f>
        <v>753.4</v>
      </c>
      <c r="I103" s="35">
        <f t="shared" si="13"/>
        <v>8287.4</v>
      </c>
      <c r="J103" s="35"/>
      <c r="K103" s="35">
        <f t="shared" si="11"/>
        <v>0</v>
      </c>
      <c r="L103" s="35">
        <f t="shared" si="10"/>
        <v>8287.4</v>
      </c>
      <c r="M103" s="1"/>
    </row>
    <row r="104" spans="1:13" s="22" customFormat="1" x14ac:dyDescent="0.2">
      <c r="A104" s="13"/>
      <c r="B104" s="14" t="s">
        <v>202</v>
      </c>
      <c r="C104" s="15" t="s">
        <v>33</v>
      </c>
      <c r="D104" s="16" t="s">
        <v>25</v>
      </c>
      <c r="E104" s="17">
        <v>1</v>
      </c>
      <c r="F104" s="35">
        <v>0</v>
      </c>
      <c r="G104" s="35">
        <f t="shared" si="12"/>
        <v>0</v>
      </c>
      <c r="H104" s="35">
        <f>ROUNDUP(762.3*1.13,2)</f>
        <v>861.4</v>
      </c>
      <c r="I104" s="35">
        <f t="shared" si="13"/>
        <v>861.4</v>
      </c>
      <c r="J104" s="35"/>
      <c r="K104" s="35">
        <f t="shared" si="11"/>
        <v>0</v>
      </c>
      <c r="L104" s="35">
        <f t="shared" si="10"/>
        <v>861.4</v>
      </c>
      <c r="M104" s="1"/>
    </row>
    <row r="105" spans="1:13" s="22" customFormat="1" x14ac:dyDescent="0.2">
      <c r="A105" s="13"/>
      <c r="B105" s="14" t="s">
        <v>203</v>
      </c>
      <c r="C105" s="15" t="s">
        <v>204</v>
      </c>
      <c r="D105" s="16" t="s">
        <v>25</v>
      </c>
      <c r="E105" s="17">
        <v>3</v>
      </c>
      <c r="F105" s="35">
        <v>0</v>
      </c>
      <c r="G105" s="35">
        <f t="shared" si="12"/>
        <v>0</v>
      </c>
      <c r="H105" s="35">
        <f>ROUNDUP(875*1.13,2)</f>
        <v>988.75</v>
      </c>
      <c r="I105" s="35">
        <f t="shared" si="13"/>
        <v>2966.25</v>
      </c>
      <c r="J105" s="35"/>
      <c r="K105" s="35">
        <f t="shared" si="11"/>
        <v>0</v>
      </c>
      <c r="L105" s="35">
        <f t="shared" ref="L105:L136" si="14">G105+I105+K105</f>
        <v>2966.25</v>
      </c>
      <c r="M105" s="1"/>
    </row>
    <row r="106" spans="1:13" s="22" customFormat="1" x14ac:dyDescent="0.2">
      <c r="A106" s="13"/>
      <c r="B106" s="14" t="s">
        <v>205</v>
      </c>
      <c r="C106" s="15" t="s">
        <v>31</v>
      </c>
      <c r="D106" s="16" t="s">
        <v>25</v>
      </c>
      <c r="E106" s="17">
        <v>8</v>
      </c>
      <c r="F106" s="35">
        <v>0</v>
      </c>
      <c r="G106" s="35">
        <f t="shared" si="12"/>
        <v>0</v>
      </c>
      <c r="H106" s="35">
        <f>ROUND(1086.17*1.05,1)</f>
        <v>1140.5</v>
      </c>
      <c r="I106" s="35">
        <f t="shared" si="13"/>
        <v>9124</v>
      </c>
      <c r="J106" s="35"/>
      <c r="K106" s="35">
        <f t="shared" si="11"/>
        <v>0</v>
      </c>
      <c r="L106" s="35">
        <f t="shared" si="14"/>
        <v>9124</v>
      </c>
      <c r="M106" s="1"/>
    </row>
    <row r="107" spans="1:13" s="22" customFormat="1" x14ac:dyDescent="0.2">
      <c r="A107" s="13"/>
      <c r="B107" s="14" t="s">
        <v>206</v>
      </c>
      <c r="C107" s="15" t="s">
        <v>207</v>
      </c>
      <c r="D107" s="16" t="s">
        <v>25</v>
      </c>
      <c r="E107" s="17">
        <v>9</v>
      </c>
      <c r="F107" s="35">
        <v>0</v>
      </c>
      <c r="G107" s="35">
        <f t="shared" si="12"/>
        <v>0</v>
      </c>
      <c r="H107" s="35">
        <f>ROUND(950.2*1.13,1)</f>
        <v>1073.7</v>
      </c>
      <c r="I107" s="35">
        <f>E107*H107</f>
        <v>9663.3000000000011</v>
      </c>
      <c r="J107" s="35"/>
      <c r="K107" s="35">
        <f t="shared" si="11"/>
        <v>0</v>
      </c>
      <c r="L107" s="35">
        <f t="shared" si="14"/>
        <v>9663.3000000000011</v>
      </c>
      <c r="M107" s="1"/>
    </row>
    <row r="108" spans="1:13" s="22" customFormat="1" x14ac:dyDescent="0.2">
      <c r="A108" s="13"/>
      <c r="B108" s="14" t="s">
        <v>208</v>
      </c>
      <c r="C108" s="15" t="s">
        <v>27</v>
      </c>
      <c r="D108" s="16" t="s">
        <v>25</v>
      </c>
      <c r="E108" s="17">
        <v>4</v>
      </c>
      <c r="F108" s="35">
        <v>0</v>
      </c>
      <c r="G108" s="35">
        <f t="shared" si="12"/>
        <v>0</v>
      </c>
      <c r="H108" s="35">
        <f>ROUND(1991.75*1.05,1)</f>
        <v>2091.3000000000002</v>
      </c>
      <c r="I108" s="35">
        <f>H108*E108</f>
        <v>8365.2000000000007</v>
      </c>
      <c r="J108" s="35"/>
      <c r="K108" s="35">
        <f t="shared" si="11"/>
        <v>0</v>
      </c>
      <c r="L108" s="35">
        <f t="shared" si="14"/>
        <v>8365.2000000000007</v>
      </c>
      <c r="M108" s="1"/>
    </row>
    <row r="109" spans="1:13" s="22" customFormat="1" x14ac:dyDescent="0.2">
      <c r="A109" s="13"/>
      <c r="B109" s="14" t="s">
        <v>209</v>
      </c>
      <c r="C109" s="53" t="s">
        <v>43</v>
      </c>
      <c r="D109" s="23" t="s">
        <v>44</v>
      </c>
      <c r="E109" s="17">
        <v>118</v>
      </c>
      <c r="F109" s="35">
        <v>0</v>
      </c>
      <c r="G109" s="35">
        <f t="shared" si="12"/>
        <v>0</v>
      </c>
      <c r="H109" s="35">
        <v>0</v>
      </c>
      <c r="I109" s="35">
        <f>H109*E109</f>
        <v>0</v>
      </c>
      <c r="J109" s="36"/>
      <c r="K109" s="35">
        <f t="shared" si="11"/>
        <v>0</v>
      </c>
      <c r="L109" s="35">
        <f t="shared" si="14"/>
        <v>0</v>
      </c>
    </row>
    <row r="110" spans="1:13" s="12" customFormat="1" x14ac:dyDescent="0.2">
      <c r="A110" s="8"/>
      <c r="B110" s="14" t="s">
        <v>210</v>
      </c>
      <c r="C110" s="15" t="s">
        <v>46</v>
      </c>
      <c r="D110" s="23" t="s">
        <v>47</v>
      </c>
      <c r="E110" s="17">
        <f>ROUNDUP(E109*0.5*1.02,0)</f>
        <v>61</v>
      </c>
      <c r="F110" s="35">
        <v>0</v>
      </c>
      <c r="G110" s="35">
        <f t="shared" si="12"/>
        <v>0</v>
      </c>
      <c r="H110" s="35">
        <f>ROUND(32.55*1.13,0)</f>
        <v>37</v>
      </c>
      <c r="I110" s="35">
        <f>H110*E110</f>
        <v>2257</v>
      </c>
      <c r="J110" s="36"/>
      <c r="K110" s="35">
        <f t="shared" si="11"/>
        <v>0</v>
      </c>
      <c r="L110" s="35">
        <f t="shared" si="14"/>
        <v>2257</v>
      </c>
      <c r="M110" s="22"/>
    </row>
    <row r="111" spans="1:13" ht="24" x14ac:dyDescent="0.2">
      <c r="A111" s="13"/>
      <c r="B111" s="14" t="s">
        <v>211</v>
      </c>
      <c r="C111" s="53" t="s">
        <v>49</v>
      </c>
      <c r="D111" s="23" t="s">
        <v>44</v>
      </c>
      <c r="E111" s="17">
        <f>E109</f>
        <v>118</v>
      </c>
      <c r="F111" s="35">
        <v>0</v>
      </c>
      <c r="G111" s="35">
        <f t="shared" si="12"/>
        <v>0</v>
      </c>
      <c r="H111" s="35">
        <v>0</v>
      </c>
      <c r="I111" s="35">
        <f>H111*E111</f>
        <v>0</v>
      </c>
      <c r="J111" s="36"/>
      <c r="K111" s="35">
        <f t="shared" si="11"/>
        <v>0</v>
      </c>
      <c r="L111" s="35">
        <f t="shared" si="14"/>
        <v>0</v>
      </c>
      <c r="M111" s="22"/>
    </row>
    <row r="112" spans="1:13" x14ac:dyDescent="0.2">
      <c r="A112" s="13"/>
      <c r="B112" s="14" t="s">
        <v>212</v>
      </c>
      <c r="C112" s="15" t="s">
        <v>51</v>
      </c>
      <c r="D112" s="23" t="s">
        <v>47</v>
      </c>
      <c r="E112" s="17">
        <f>ROUNDUP(E111*1*1.1,0)</f>
        <v>130</v>
      </c>
      <c r="F112" s="35">
        <v>0</v>
      </c>
      <c r="G112" s="35">
        <f t="shared" si="12"/>
        <v>0</v>
      </c>
      <c r="H112" s="35">
        <f>ROUND(24.71*1.13,0)</f>
        <v>28</v>
      </c>
      <c r="I112" s="35">
        <f>H112*E112</f>
        <v>3640</v>
      </c>
      <c r="J112" s="36"/>
      <c r="K112" s="35">
        <f t="shared" si="11"/>
        <v>0</v>
      </c>
      <c r="L112" s="35">
        <f t="shared" si="14"/>
        <v>3640</v>
      </c>
      <c r="M112" s="22"/>
    </row>
    <row r="113" spans="1:13" s="22" customFormat="1" x14ac:dyDescent="0.2">
      <c r="A113" s="13"/>
      <c r="B113" s="14" t="s">
        <v>213</v>
      </c>
      <c r="C113" s="53" t="s">
        <v>214</v>
      </c>
      <c r="D113" s="16" t="s">
        <v>54</v>
      </c>
      <c r="E113" s="17">
        <v>3.5</v>
      </c>
      <c r="F113" s="35">
        <v>0</v>
      </c>
      <c r="G113" s="35">
        <f t="shared" si="12"/>
        <v>0</v>
      </c>
      <c r="H113" s="35">
        <v>0</v>
      </c>
      <c r="I113" s="35">
        <f t="shared" ref="I113:I120" si="15">E113*H113</f>
        <v>0</v>
      </c>
      <c r="J113" s="35"/>
      <c r="K113" s="35">
        <f t="shared" si="11"/>
        <v>0</v>
      </c>
      <c r="L113" s="35">
        <f t="shared" si="14"/>
        <v>0</v>
      </c>
      <c r="M113" s="1"/>
    </row>
    <row r="114" spans="1:13" s="22" customFormat="1" x14ac:dyDescent="0.2">
      <c r="A114" s="13"/>
      <c r="B114" s="14" t="s">
        <v>215</v>
      </c>
      <c r="C114" s="15" t="s">
        <v>216</v>
      </c>
      <c r="D114" s="16" t="s">
        <v>54</v>
      </c>
      <c r="E114" s="17">
        <f>ROUNDUP(E113*1.035,0)</f>
        <v>4</v>
      </c>
      <c r="F114" s="35">
        <v>0</v>
      </c>
      <c r="G114" s="35">
        <f t="shared" si="12"/>
        <v>0</v>
      </c>
      <c r="H114" s="35">
        <f>ROUND(33.68*1.13,1)</f>
        <v>38.1</v>
      </c>
      <c r="I114" s="35">
        <f t="shared" si="15"/>
        <v>152.4</v>
      </c>
      <c r="J114" s="35"/>
      <c r="K114" s="35">
        <f t="shared" si="11"/>
        <v>0</v>
      </c>
      <c r="L114" s="35">
        <f t="shared" si="14"/>
        <v>152.4</v>
      </c>
      <c r="M114" s="1"/>
    </row>
    <row r="115" spans="1:13" s="22" customFormat="1" x14ac:dyDescent="0.2">
      <c r="A115" s="13"/>
      <c r="B115" s="14" t="s">
        <v>217</v>
      </c>
      <c r="C115" s="53" t="s">
        <v>218</v>
      </c>
      <c r="D115" s="16" t="s">
        <v>54</v>
      </c>
      <c r="E115" s="17">
        <v>21</v>
      </c>
      <c r="F115" s="35">
        <v>0</v>
      </c>
      <c r="G115" s="35">
        <f t="shared" si="12"/>
        <v>0</v>
      </c>
      <c r="H115" s="35">
        <v>0</v>
      </c>
      <c r="I115" s="35">
        <f t="shared" si="15"/>
        <v>0</v>
      </c>
      <c r="J115" s="35"/>
      <c r="K115" s="35">
        <f t="shared" si="11"/>
        <v>0</v>
      </c>
      <c r="L115" s="35">
        <f t="shared" si="14"/>
        <v>0</v>
      </c>
      <c r="M115" s="1"/>
    </row>
    <row r="116" spans="1:13" s="22" customFormat="1" x14ac:dyDescent="0.2">
      <c r="A116" s="13"/>
      <c r="B116" s="14" t="s">
        <v>219</v>
      </c>
      <c r="C116" s="15" t="s">
        <v>220</v>
      </c>
      <c r="D116" s="16" t="s">
        <v>54</v>
      </c>
      <c r="E116" s="17">
        <f>ROUNDUP(E115*1.035,0)</f>
        <v>22</v>
      </c>
      <c r="F116" s="35">
        <v>0</v>
      </c>
      <c r="G116" s="35">
        <f t="shared" si="12"/>
        <v>0</v>
      </c>
      <c r="H116" s="35">
        <f>ROUND(480.85*1.13,1)</f>
        <v>543.4</v>
      </c>
      <c r="I116" s="35">
        <f t="shared" si="15"/>
        <v>11954.8</v>
      </c>
      <c r="J116" s="35"/>
      <c r="K116" s="35">
        <f t="shared" si="11"/>
        <v>0</v>
      </c>
      <c r="L116" s="35">
        <f t="shared" si="14"/>
        <v>11954.8</v>
      </c>
      <c r="M116" s="1"/>
    </row>
    <row r="117" spans="1:13" s="22" customFormat="1" x14ac:dyDescent="0.2">
      <c r="A117" s="13"/>
      <c r="B117" s="14" t="s">
        <v>221</v>
      </c>
      <c r="C117" s="53" t="s">
        <v>222</v>
      </c>
      <c r="D117" s="16" t="s">
        <v>54</v>
      </c>
      <c r="E117" s="17">
        <v>28</v>
      </c>
      <c r="F117" s="35">
        <v>0</v>
      </c>
      <c r="G117" s="35">
        <v>0</v>
      </c>
      <c r="H117" s="35">
        <v>0</v>
      </c>
      <c r="I117" s="35">
        <f t="shared" si="15"/>
        <v>0</v>
      </c>
      <c r="J117" s="35"/>
      <c r="K117" s="35">
        <f t="shared" si="11"/>
        <v>0</v>
      </c>
      <c r="L117" s="35">
        <f t="shared" si="14"/>
        <v>0</v>
      </c>
      <c r="M117" s="1"/>
    </row>
    <row r="118" spans="1:13" s="22" customFormat="1" x14ac:dyDescent="0.2">
      <c r="A118" s="13"/>
      <c r="B118" s="14" t="s">
        <v>223</v>
      </c>
      <c r="C118" s="15" t="s">
        <v>224</v>
      </c>
      <c r="D118" s="16" t="s">
        <v>54</v>
      </c>
      <c r="E118" s="17">
        <f>ROUNDUP(E117*1.035,0)</f>
        <v>29</v>
      </c>
      <c r="F118" s="35">
        <v>0</v>
      </c>
      <c r="G118" s="35">
        <f t="shared" ref="G118:G144" si="16">E118*F118</f>
        <v>0</v>
      </c>
      <c r="H118" s="35">
        <f>ROUND(685*1.13,1)</f>
        <v>774.1</v>
      </c>
      <c r="I118" s="35">
        <f t="shared" si="15"/>
        <v>22448.9</v>
      </c>
      <c r="J118" s="35"/>
      <c r="K118" s="35">
        <f t="shared" si="11"/>
        <v>0</v>
      </c>
      <c r="L118" s="35">
        <f t="shared" si="14"/>
        <v>22448.9</v>
      </c>
      <c r="M118" s="1"/>
    </row>
    <row r="119" spans="1:13" s="22" customFormat="1" x14ac:dyDescent="0.2">
      <c r="A119" s="13"/>
      <c r="B119" s="14" t="s">
        <v>225</v>
      </c>
      <c r="C119" s="53" t="s">
        <v>226</v>
      </c>
      <c r="D119" s="16" t="s">
        <v>54</v>
      </c>
      <c r="E119" s="17">
        <v>257</v>
      </c>
      <c r="F119" s="35">
        <v>0</v>
      </c>
      <c r="G119" s="35">
        <f t="shared" si="16"/>
        <v>0</v>
      </c>
      <c r="H119" s="35">
        <v>0</v>
      </c>
      <c r="I119" s="35">
        <f t="shared" si="15"/>
        <v>0</v>
      </c>
      <c r="J119" s="35"/>
      <c r="K119" s="35">
        <f t="shared" si="11"/>
        <v>0</v>
      </c>
      <c r="L119" s="35">
        <f t="shared" si="14"/>
        <v>0</v>
      </c>
      <c r="M119" s="1"/>
    </row>
    <row r="120" spans="1:13" s="22" customFormat="1" x14ac:dyDescent="0.2">
      <c r="A120" s="13"/>
      <c r="B120" s="14" t="s">
        <v>227</v>
      </c>
      <c r="C120" s="15" t="s">
        <v>228</v>
      </c>
      <c r="D120" s="16" t="s">
        <v>54</v>
      </c>
      <c r="E120" s="17">
        <f>_xlfn.CEILING.MATH(199*1.05,6)</f>
        <v>210</v>
      </c>
      <c r="F120" s="35">
        <v>0</v>
      </c>
      <c r="G120" s="35">
        <f t="shared" si="16"/>
        <v>0</v>
      </c>
      <c r="H120" s="35">
        <f>ROUND(1665*1.13,1)</f>
        <v>1881.5</v>
      </c>
      <c r="I120" s="35">
        <f t="shared" si="15"/>
        <v>395115</v>
      </c>
      <c r="J120" s="35"/>
      <c r="K120" s="35">
        <f t="shared" si="11"/>
        <v>0</v>
      </c>
      <c r="L120" s="35">
        <f t="shared" si="14"/>
        <v>395115</v>
      </c>
      <c r="M120" s="1"/>
    </row>
    <row r="121" spans="1:13" s="22" customFormat="1" x14ac:dyDescent="0.2">
      <c r="A121" s="13"/>
      <c r="B121" s="14" t="s">
        <v>229</v>
      </c>
      <c r="C121" s="53" t="s">
        <v>230</v>
      </c>
      <c r="D121" s="16" t="s">
        <v>54</v>
      </c>
      <c r="E121" s="17">
        <v>40.5</v>
      </c>
      <c r="F121" s="35">
        <v>0</v>
      </c>
      <c r="G121" s="35">
        <f t="shared" si="16"/>
        <v>0</v>
      </c>
      <c r="H121" s="35">
        <v>0</v>
      </c>
      <c r="I121" s="35">
        <f t="shared" ref="I121:I126" si="17">H121*E121</f>
        <v>0</v>
      </c>
      <c r="J121" s="35"/>
      <c r="K121" s="35">
        <f t="shared" si="11"/>
        <v>0</v>
      </c>
      <c r="L121" s="35">
        <f t="shared" si="14"/>
        <v>0</v>
      </c>
      <c r="M121" s="1"/>
    </row>
    <row r="122" spans="1:13" s="22" customFormat="1" x14ac:dyDescent="0.2">
      <c r="A122" s="13"/>
      <c r="B122" s="14" t="s">
        <v>231</v>
      </c>
      <c r="C122" s="15" t="s">
        <v>232</v>
      </c>
      <c r="D122" s="16" t="s">
        <v>54</v>
      </c>
      <c r="E122" s="17">
        <f>_xlfn.CEILING.MATH(E121*1.0355,6)</f>
        <v>42</v>
      </c>
      <c r="F122" s="35">
        <v>0</v>
      </c>
      <c r="G122" s="35">
        <f t="shared" si="16"/>
        <v>0</v>
      </c>
      <c r="H122" s="35">
        <f>ROUND(1702*1.13,1)</f>
        <v>1923.3</v>
      </c>
      <c r="I122" s="35">
        <f t="shared" si="17"/>
        <v>80778.599999999991</v>
      </c>
      <c r="J122" s="35"/>
      <c r="K122" s="35">
        <f t="shared" si="11"/>
        <v>0</v>
      </c>
      <c r="L122" s="35">
        <f t="shared" si="14"/>
        <v>80778.599999999991</v>
      </c>
      <c r="M122" s="1"/>
    </row>
    <row r="123" spans="1:13" s="22" customFormat="1" x14ac:dyDescent="0.2">
      <c r="A123" s="13"/>
      <c r="B123" s="14" t="s">
        <v>233</v>
      </c>
      <c r="C123" s="53" t="s">
        <v>234</v>
      </c>
      <c r="D123" s="16" t="s">
        <v>54</v>
      </c>
      <c r="E123" s="17">
        <v>40.5</v>
      </c>
      <c r="F123" s="35">
        <v>0</v>
      </c>
      <c r="G123" s="35">
        <f t="shared" si="16"/>
        <v>0</v>
      </c>
      <c r="H123" s="35">
        <v>0</v>
      </c>
      <c r="I123" s="35">
        <f t="shared" si="17"/>
        <v>0</v>
      </c>
      <c r="J123" s="35"/>
      <c r="K123" s="35">
        <f t="shared" si="11"/>
        <v>0</v>
      </c>
      <c r="L123" s="35">
        <f t="shared" si="14"/>
        <v>0</v>
      </c>
      <c r="M123" s="1"/>
    </row>
    <row r="124" spans="1:13" s="22" customFormat="1" x14ac:dyDescent="0.2">
      <c r="A124" s="13"/>
      <c r="B124" s="14" t="s">
        <v>235</v>
      </c>
      <c r="C124" s="15" t="s">
        <v>236</v>
      </c>
      <c r="D124" s="16" t="s">
        <v>54</v>
      </c>
      <c r="E124" s="17">
        <f>_xlfn.CEILING.MATH(E123*1.0355,6)</f>
        <v>42</v>
      </c>
      <c r="F124" s="35">
        <v>0</v>
      </c>
      <c r="G124" s="35">
        <f t="shared" si="16"/>
        <v>0</v>
      </c>
      <c r="H124" s="35">
        <f>ROUND(1602*1.13,1)</f>
        <v>1810.3</v>
      </c>
      <c r="I124" s="35">
        <f t="shared" si="17"/>
        <v>76032.599999999991</v>
      </c>
      <c r="J124" s="35"/>
      <c r="K124" s="35">
        <f t="shared" si="11"/>
        <v>0</v>
      </c>
      <c r="L124" s="35">
        <f t="shared" si="14"/>
        <v>76032.599999999991</v>
      </c>
      <c r="M124" s="1"/>
    </row>
    <row r="125" spans="1:13" s="22" customFormat="1" x14ac:dyDescent="0.2">
      <c r="A125" s="13"/>
      <c r="B125" s="14" t="s">
        <v>237</v>
      </c>
      <c r="C125" s="15" t="s">
        <v>238</v>
      </c>
      <c r="D125" s="16" t="s">
        <v>25</v>
      </c>
      <c r="E125" s="17">
        <v>47</v>
      </c>
      <c r="F125" s="35">
        <v>0</v>
      </c>
      <c r="G125" s="35">
        <f t="shared" si="16"/>
        <v>0</v>
      </c>
      <c r="H125" s="35"/>
      <c r="I125" s="35">
        <f t="shared" si="17"/>
        <v>0</v>
      </c>
      <c r="J125" s="35"/>
      <c r="K125" s="35">
        <f t="shared" si="11"/>
        <v>0</v>
      </c>
      <c r="L125" s="35">
        <f t="shared" si="14"/>
        <v>0</v>
      </c>
      <c r="M125" s="1"/>
    </row>
    <row r="126" spans="1:13" s="22" customFormat="1" x14ac:dyDescent="0.2">
      <c r="A126" s="13"/>
      <c r="B126" s="14" t="s">
        <v>239</v>
      </c>
      <c r="C126" s="15" t="s">
        <v>240</v>
      </c>
      <c r="D126" s="16" t="s">
        <v>25</v>
      </c>
      <c r="E126" s="17">
        <v>47</v>
      </c>
      <c r="F126" s="35">
        <v>0</v>
      </c>
      <c r="G126" s="35">
        <f t="shared" si="16"/>
        <v>0</v>
      </c>
      <c r="H126" s="35">
        <f>ROUND(455*1.13,1)</f>
        <v>514.20000000000005</v>
      </c>
      <c r="I126" s="35">
        <f t="shared" si="17"/>
        <v>24167.4</v>
      </c>
      <c r="J126" s="35"/>
      <c r="K126" s="35"/>
      <c r="L126" s="35"/>
      <c r="M126" s="1"/>
    </row>
    <row r="127" spans="1:13" x14ac:dyDescent="0.2">
      <c r="A127" s="13"/>
      <c r="B127" s="14" t="s">
        <v>241</v>
      </c>
      <c r="C127" s="53" t="s">
        <v>242</v>
      </c>
      <c r="D127" s="16" t="s">
        <v>243</v>
      </c>
      <c r="E127" s="17">
        <v>48</v>
      </c>
      <c r="F127" s="35">
        <v>0</v>
      </c>
      <c r="G127" s="35">
        <f t="shared" si="16"/>
        <v>0</v>
      </c>
      <c r="H127" s="35">
        <v>0</v>
      </c>
      <c r="I127" s="35">
        <f t="shared" ref="I127:I144" si="18">E127*H127</f>
        <v>0</v>
      </c>
      <c r="J127" s="35"/>
      <c r="K127" s="35">
        <f t="shared" ref="K127:K151" si="19">E127*J127</f>
        <v>0</v>
      </c>
      <c r="L127" s="35">
        <f t="shared" ref="L127:L151" si="20">G127+I127+K127</f>
        <v>0</v>
      </c>
    </row>
    <row r="128" spans="1:13" x14ac:dyDescent="0.2">
      <c r="A128" s="13"/>
      <c r="B128" s="14" t="s">
        <v>244</v>
      </c>
      <c r="C128" s="15" t="s">
        <v>245</v>
      </c>
      <c r="D128" s="16" t="s">
        <v>8</v>
      </c>
      <c r="E128" s="17">
        <f>_xlfn.CEILING.MATH(E127*0.012*2,0.1)</f>
        <v>1.2000000000000002</v>
      </c>
      <c r="F128" s="35">
        <v>0</v>
      </c>
      <c r="G128" s="35">
        <f t="shared" si="16"/>
        <v>0</v>
      </c>
      <c r="H128" s="35">
        <f>ROUND(4000*1.13,0)</f>
        <v>4520</v>
      </c>
      <c r="I128" s="35">
        <f t="shared" si="18"/>
        <v>5424.0000000000009</v>
      </c>
      <c r="J128" s="35"/>
      <c r="K128" s="35">
        <f t="shared" si="19"/>
        <v>0</v>
      </c>
      <c r="L128" s="35">
        <f t="shared" si="20"/>
        <v>5424.0000000000009</v>
      </c>
    </row>
    <row r="129" spans="1:13" x14ac:dyDescent="0.2">
      <c r="A129" s="13"/>
      <c r="B129" s="14" t="s">
        <v>246</v>
      </c>
      <c r="C129" s="15" t="s">
        <v>247</v>
      </c>
      <c r="D129" s="16" t="s">
        <v>47</v>
      </c>
      <c r="E129" s="17">
        <f>_xlfn.CEILING.MATH(E127*0.15,0.1)</f>
        <v>7.2</v>
      </c>
      <c r="F129" s="35">
        <v>0</v>
      </c>
      <c r="G129" s="35">
        <f t="shared" si="16"/>
        <v>0</v>
      </c>
      <c r="H129" s="35">
        <f>ROUND(46.21*0.9*1.13,2)</f>
        <v>47</v>
      </c>
      <c r="I129" s="35">
        <f t="shared" si="18"/>
        <v>338.40000000000003</v>
      </c>
      <c r="J129" s="35"/>
      <c r="K129" s="35">
        <f t="shared" si="19"/>
        <v>0</v>
      </c>
      <c r="L129" s="35">
        <f t="shared" si="20"/>
        <v>338.40000000000003</v>
      </c>
    </row>
    <row r="130" spans="1:13" x14ac:dyDescent="0.2">
      <c r="A130" s="13"/>
      <c r="B130" s="14" t="s">
        <v>248</v>
      </c>
      <c r="C130" s="53" t="s">
        <v>249</v>
      </c>
      <c r="D130" s="16" t="s">
        <v>44</v>
      </c>
      <c r="E130" s="17">
        <v>12</v>
      </c>
      <c r="F130" s="35">
        <v>0</v>
      </c>
      <c r="G130" s="35">
        <f t="shared" si="16"/>
        <v>0</v>
      </c>
      <c r="H130" s="35">
        <v>0</v>
      </c>
      <c r="I130" s="35">
        <f t="shared" si="18"/>
        <v>0</v>
      </c>
      <c r="J130" s="35"/>
      <c r="K130" s="35">
        <f t="shared" si="19"/>
        <v>0</v>
      </c>
      <c r="L130" s="35">
        <f t="shared" si="20"/>
        <v>0</v>
      </c>
    </row>
    <row r="131" spans="1:13" x14ac:dyDescent="0.2">
      <c r="A131" s="13"/>
      <c r="B131" s="14" t="s">
        <v>250</v>
      </c>
      <c r="C131" s="15" t="s">
        <v>129</v>
      </c>
      <c r="D131" s="16" t="s">
        <v>8</v>
      </c>
      <c r="E131" s="17">
        <f>_xlfn.CEILING.MATH(E130*0.01*1.05,1)</f>
        <v>1</v>
      </c>
      <c r="F131" s="35">
        <v>0</v>
      </c>
      <c r="G131" s="35">
        <f t="shared" si="16"/>
        <v>0</v>
      </c>
      <c r="H131" s="35">
        <f>ROUND(1774.46*0.73*1.15+168.34*7/E131,2)</f>
        <v>2668.04</v>
      </c>
      <c r="I131" s="35">
        <f t="shared" si="18"/>
        <v>2668.04</v>
      </c>
      <c r="J131" s="35"/>
      <c r="K131" s="35">
        <f t="shared" si="19"/>
        <v>0</v>
      </c>
      <c r="L131" s="35">
        <f t="shared" si="20"/>
        <v>2668.04</v>
      </c>
      <c r="M131" s="37"/>
    </row>
    <row r="132" spans="1:13" s="39" customFormat="1" x14ac:dyDescent="0.25">
      <c r="A132" s="38"/>
      <c r="B132" s="14" t="s">
        <v>251</v>
      </c>
      <c r="C132" s="53" t="s">
        <v>252</v>
      </c>
      <c r="D132" s="23" t="s">
        <v>25</v>
      </c>
      <c r="E132" s="17">
        <v>12</v>
      </c>
      <c r="F132" s="35">
        <v>0</v>
      </c>
      <c r="G132" s="35">
        <f t="shared" si="16"/>
        <v>0</v>
      </c>
      <c r="H132" s="35">
        <v>0</v>
      </c>
      <c r="I132" s="35">
        <f t="shared" si="18"/>
        <v>0</v>
      </c>
      <c r="J132" s="35"/>
      <c r="K132" s="35">
        <f t="shared" si="19"/>
        <v>0</v>
      </c>
      <c r="L132" s="35">
        <f t="shared" si="20"/>
        <v>0</v>
      </c>
    </row>
    <row r="133" spans="1:13" x14ac:dyDescent="0.2">
      <c r="A133" s="13"/>
      <c r="B133" s="14" t="s">
        <v>253</v>
      </c>
      <c r="C133" s="15" t="s">
        <v>254</v>
      </c>
      <c r="D133" s="16" t="s">
        <v>8</v>
      </c>
      <c r="E133" s="17">
        <f>ROUNDUP(E132*0.7,0)</f>
        <v>9</v>
      </c>
      <c r="F133" s="35">
        <v>0</v>
      </c>
      <c r="G133" s="35">
        <f t="shared" si="16"/>
        <v>0</v>
      </c>
      <c r="H133" s="35">
        <f>ROUND(1774.46*0.73*1.15+168.34*7/E133,2)</f>
        <v>1620.59</v>
      </c>
      <c r="I133" s="35">
        <f t="shared" si="18"/>
        <v>14585.31</v>
      </c>
      <c r="J133" s="35"/>
      <c r="K133" s="35">
        <f t="shared" si="19"/>
        <v>0</v>
      </c>
      <c r="L133" s="35">
        <f t="shared" si="20"/>
        <v>14585.31</v>
      </c>
    </row>
    <row r="134" spans="1:13" x14ac:dyDescent="0.2">
      <c r="A134" s="13"/>
      <c r="B134" s="14" t="s">
        <v>255</v>
      </c>
      <c r="C134" s="15" t="s">
        <v>256</v>
      </c>
      <c r="D134" s="16" t="s">
        <v>132</v>
      </c>
      <c r="E134" s="17">
        <f>E132</f>
        <v>12</v>
      </c>
      <c r="F134" s="35">
        <v>0</v>
      </c>
      <c r="G134" s="35">
        <f t="shared" si="16"/>
        <v>0</v>
      </c>
      <c r="H134" s="35">
        <f>4973.18*1.13</f>
        <v>5619.6934000000001</v>
      </c>
      <c r="I134" s="35">
        <f t="shared" si="18"/>
        <v>67436.320800000001</v>
      </c>
      <c r="J134" s="35"/>
      <c r="K134" s="35">
        <f t="shared" si="19"/>
        <v>0</v>
      </c>
      <c r="L134" s="35">
        <f t="shared" si="20"/>
        <v>67436.320800000001</v>
      </c>
    </row>
    <row r="135" spans="1:13" s="22" customFormat="1" x14ac:dyDescent="0.2">
      <c r="A135" s="13"/>
      <c r="B135" s="14" t="s">
        <v>257</v>
      </c>
      <c r="C135" s="53" t="s">
        <v>258</v>
      </c>
      <c r="D135" s="16" t="s">
        <v>132</v>
      </c>
      <c r="E135" s="17">
        <v>84</v>
      </c>
      <c r="F135" s="35">
        <v>0</v>
      </c>
      <c r="G135" s="35">
        <f t="shared" si="16"/>
        <v>0</v>
      </c>
      <c r="H135" s="35">
        <v>0</v>
      </c>
      <c r="I135" s="35">
        <f t="shared" si="18"/>
        <v>0</v>
      </c>
      <c r="J135" s="35"/>
      <c r="K135" s="35">
        <f t="shared" si="19"/>
        <v>0</v>
      </c>
      <c r="L135" s="35">
        <f t="shared" si="20"/>
        <v>0</v>
      </c>
      <c r="M135" s="1"/>
    </row>
    <row r="136" spans="1:13" s="43" customFormat="1" ht="24" x14ac:dyDescent="0.2">
      <c r="A136" s="20"/>
      <c r="B136" s="14" t="s">
        <v>259</v>
      </c>
      <c r="C136" s="25" t="s">
        <v>260</v>
      </c>
      <c r="D136" s="40" t="s">
        <v>25</v>
      </c>
      <c r="E136" s="17">
        <f>E135</f>
        <v>84</v>
      </c>
      <c r="F136" s="41">
        <v>0</v>
      </c>
      <c r="G136" s="41">
        <f t="shared" si="16"/>
        <v>0</v>
      </c>
      <c r="H136" s="35">
        <f>ROUND(2816.13*1.13,2)</f>
        <v>3182.23</v>
      </c>
      <c r="I136" s="41">
        <f t="shared" si="18"/>
        <v>267307.32</v>
      </c>
      <c r="J136" s="41"/>
      <c r="K136" s="41">
        <f t="shared" si="19"/>
        <v>0</v>
      </c>
      <c r="L136" s="41">
        <f t="shared" si="20"/>
        <v>267307.32</v>
      </c>
      <c r="M136" s="42"/>
    </row>
    <row r="137" spans="1:13" s="43" customFormat="1" ht="24" x14ac:dyDescent="0.2">
      <c r="A137" s="20"/>
      <c r="B137" s="14" t="s">
        <v>261</v>
      </c>
      <c r="C137" s="25" t="s">
        <v>262</v>
      </c>
      <c r="D137" s="40" t="s">
        <v>25</v>
      </c>
      <c r="E137" s="17">
        <f>E136*2</f>
        <v>168</v>
      </c>
      <c r="F137" s="41">
        <v>0</v>
      </c>
      <c r="G137" s="41">
        <f t="shared" si="16"/>
        <v>0</v>
      </c>
      <c r="H137" s="35">
        <f>ROUND(1402.1*1.13,2)</f>
        <v>1584.37</v>
      </c>
      <c r="I137" s="41">
        <f t="shared" si="18"/>
        <v>266174.15999999997</v>
      </c>
      <c r="J137" s="41"/>
      <c r="K137" s="41">
        <f t="shared" si="19"/>
        <v>0</v>
      </c>
      <c r="L137" s="41">
        <f t="shared" si="20"/>
        <v>266174.15999999997</v>
      </c>
      <c r="M137" s="42"/>
    </row>
    <row r="138" spans="1:13" s="43" customFormat="1" x14ac:dyDescent="0.2">
      <c r="A138" s="20"/>
      <c r="B138" s="14" t="s">
        <v>263</v>
      </c>
      <c r="C138" s="25" t="s">
        <v>264</v>
      </c>
      <c r="D138" s="40" t="s">
        <v>25</v>
      </c>
      <c r="E138" s="17">
        <v>2</v>
      </c>
      <c r="F138" s="41"/>
      <c r="G138" s="41">
        <v>0</v>
      </c>
      <c r="H138" s="35">
        <f>ROUND(250.88*1.13,2)</f>
        <v>283.49</v>
      </c>
      <c r="I138" s="41">
        <v>150</v>
      </c>
      <c r="J138" s="41"/>
      <c r="K138" s="41">
        <f t="shared" si="19"/>
        <v>0</v>
      </c>
      <c r="L138" s="41">
        <f t="shared" si="20"/>
        <v>150</v>
      </c>
      <c r="M138" s="42"/>
    </row>
    <row r="139" spans="1:13" s="43" customFormat="1" x14ac:dyDescent="0.2">
      <c r="A139" s="20"/>
      <c r="B139" s="14" t="s">
        <v>265</v>
      </c>
      <c r="C139" s="25" t="s">
        <v>266</v>
      </c>
      <c r="D139" s="40" t="s">
        <v>25</v>
      </c>
      <c r="E139" s="17">
        <f>E137</f>
        <v>168</v>
      </c>
      <c r="F139" s="41">
        <v>0</v>
      </c>
      <c r="G139" s="41">
        <f t="shared" si="16"/>
        <v>0</v>
      </c>
      <c r="H139" s="35">
        <f>ROUND(137.37*1.13,2)</f>
        <v>155.22999999999999</v>
      </c>
      <c r="I139" s="41">
        <f t="shared" si="18"/>
        <v>26078.639999999999</v>
      </c>
      <c r="J139" s="41"/>
      <c r="K139" s="41">
        <f t="shared" si="19"/>
        <v>0</v>
      </c>
      <c r="L139" s="41">
        <f t="shared" si="20"/>
        <v>26078.639999999999</v>
      </c>
      <c r="M139" s="42"/>
    </row>
    <row r="140" spans="1:13" s="43" customFormat="1" x14ac:dyDescent="0.2">
      <c r="A140" s="20"/>
      <c r="B140" s="14" t="s">
        <v>267</v>
      </c>
      <c r="C140" s="25" t="s">
        <v>268</v>
      </c>
      <c r="D140" s="40" t="s">
        <v>25</v>
      </c>
      <c r="E140" s="17">
        <v>21</v>
      </c>
      <c r="F140" s="41"/>
      <c r="G140" s="41">
        <v>0</v>
      </c>
      <c r="H140" s="35">
        <f>ROUND(255*1.13,2)</f>
        <v>288.14999999999998</v>
      </c>
      <c r="I140" s="41">
        <f t="shared" si="18"/>
        <v>6051.15</v>
      </c>
      <c r="J140" s="41"/>
      <c r="K140" s="41">
        <f t="shared" si="19"/>
        <v>0</v>
      </c>
      <c r="L140" s="41">
        <f t="shared" si="20"/>
        <v>6051.15</v>
      </c>
      <c r="M140" s="42"/>
    </row>
    <row r="141" spans="1:13" s="43" customFormat="1" x14ac:dyDescent="0.2">
      <c r="A141" s="20"/>
      <c r="B141" s="14" t="s">
        <v>269</v>
      </c>
      <c r="C141" s="54" t="s">
        <v>270</v>
      </c>
      <c r="D141" s="40" t="s">
        <v>25</v>
      </c>
      <c r="E141" s="17">
        <v>15</v>
      </c>
      <c r="F141" s="41">
        <v>0</v>
      </c>
      <c r="G141" s="41">
        <f t="shared" si="16"/>
        <v>0</v>
      </c>
      <c r="H141" s="35">
        <v>0</v>
      </c>
      <c r="I141" s="41">
        <f t="shared" si="18"/>
        <v>0</v>
      </c>
      <c r="J141" s="41"/>
      <c r="K141" s="41">
        <f t="shared" si="19"/>
        <v>0</v>
      </c>
      <c r="L141" s="41">
        <f t="shared" si="20"/>
        <v>0</v>
      </c>
      <c r="M141" s="42"/>
    </row>
    <row r="142" spans="1:13" s="43" customFormat="1" ht="27" customHeight="1" x14ac:dyDescent="0.2">
      <c r="A142" s="20"/>
      <c r="B142" s="14" t="s">
        <v>271</v>
      </c>
      <c r="C142" s="25" t="s">
        <v>272</v>
      </c>
      <c r="D142" s="40" t="s">
        <v>25</v>
      </c>
      <c r="E142" s="17">
        <v>15</v>
      </c>
      <c r="F142" s="41">
        <v>0</v>
      </c>
      <c r="G142" s="41">
        <f t="shared" si="16"/>
        <v>0</v>
      </c>
      <c r="H142" s="35">
        <f>ROUND(2289.87*1.13,2)</f>
        <v>2587.5500000000002</v>
      </c>
      <c r="I142" s="41">
        <f t="shared" si="18"/>
        <v>38813.25</v>
      </c>
      <c r="J142" s="41"/>
      <c r="K142" s="41">
        <f t="shared" si="19"/>
        <v>0</v>
      </c>
      <c r="L142" s="41">
        <f t="shared" si="20"/>
        <v>38813.25</v>
      </c>
      <c r="M142" s="42"/>
    </row>
    <row r="143" spans="1:13" s="22" customFormat="1" ht="22.5" customHeight="1" x14ac:dyDescent="0.2">
      <c r="A143" s="13"/>
      <c r="B143" s="14" t="s">
        <v>273</v>
      </c>
      <c r="C143" s="15" t="s">
        <v>274</v>
      </c>
      <c r="D143" s="16" t="s">
        <v>25</v>
      </c>
      <c r="E143" s="17">
        <v>15</v>
      </c>
      <c r="F143" s="35">
        <v>0</v>
      </c>
      <c r="G143" s="35">
        <f t="shared" si="16"/>
        <v>0</v>
      </c>
      <c r="H143" s="35">
        <f>ROUND(4697.33*1.13,2)</f>
        <v>5307.98</v>
      </c>
      <c r="I143" s="35">
        <f t="shared" si="18"/>
        <v>79619.7</v>
      </c>
      <c r="J143" s="35"/>
      <c r="K143" s="35">
        <f t="shared" si="19"/>
        <v>0</v>
      </c>
      <c r="L143" s="35">
        <f t="shared" si="20"/>
        <v>79619.7</v>
      </c>
      <c r="M143" s="1"/>
    </row>
    <row r="144" spans="1:13" s="22" customFormat="1" x14ac:dyDescent="0.2">
      <c r="A144" s="13"/>
      <c r="B144" s="14" t="s">
        <v>275</v>
      </c>
      <c r="C144" s="15" t="s">
        <v>276</v>
      </c>
      <c r="D144" s="16" t="s">
        <v>25</v>
      </c>
      <c r="E144" s="17">
        <v>2</v>
      </c>
      <c r="F144" s="35">
        <v>0</v>
      </c>
      <c r="G144" s="35">
        <f t="shared" si="16"/>
        <v>0</v>
      </c>
      <c r="H144" s="35">
        <f>ROUND(322.93*1.13,2)</f>
        <v>364.91</v>
      </c>
      <c r="I144" s="35">
        <f t="shared" si="18"/>
        <v>729.82</v>
      </c>
      <c r="J144" s="35"/>
      <c r="K144" s="35">
        <f t="shared" si="19"/>
        <v>0</v>
      </c>
      <c r="L144" s="35">
        <f t="shared" si="20"/>
        <v>729.82</v>
      </c>
      <c r="M144" s="1"/>
    </row>
    <row r="145" spans="1:70" s="43" customFormat="1" x14ac:dyDescent="0.2">
      <c r="A145" s="20"/>
      <c r="B145" s="14" t="s">
        <v>277</v>
      </c>
      <c r="C145" s="25" t="s">
        <v>268</v>
      </c>
      <c r="D145" s="40" t="s">
        <v>25</v>
      </c>
      <c r="E145" s="17">
        <v>1</v>
      </c>
      <c r="F145" s="41"/>
      <c r="G145" s="41">
        <v>0</v>
      </c>
      <c r="H145" s="35">
        <f>ROUND(255*1.13,2)</f>
        <v>288.14999999999998</v>
      </c>
      <c r="I145" s="41">
        <v>255</v>
      </c>
      <c r="J145" s="41"/>
      <c r="K145" s="41">
        <f t="shared" si="19"/>
        <v>0</v>
      </c>
      <c r="L145" s="41">
        <f t="shared" si="20"/>
        <v>255</v>
      </c>
      <c r="M145" s="42"/>
    </row>
    <row r="146" spans="1:70" s="43" customFormat="1" x14ac:dyDescent="0.2">
      <c r="A146" s="20"/>
      <c r="B146" s="14" t="s">
        <v>278</v>
      </c>
      <c r="C146" s="54" t="s">
        <v>279</v>
      </c>
      <c r="D146" s="40" t="s">
        <v>25</v>
      </c>
      <c r="E146" s="17">
        <v>1</v>
      </c>
      <c r="F146" s="41">
        <v>0</v>
      </c>
      <c r="G146" s="41">
        <f>E146*F146</f>
        <v>0</v>
      </c>
      <c r="H146" s="35">
        <v>0</v>
      </c>
      <c r="I146" s="41">
        <f>E146*H146</f>
        <v>0</v>
      </c>
      <c r="J146" s="41"/>
      <c r="K146" s="41">
        <f t="shared" si="19"/>
        <v>0</v>
      </c>
      <c r="L146" s="41">
        <f t="shared" si="20"/>
        <v>0</v>
      </c>
      <c r="M146" s="42"/>
    </row>
    <row r="147" spans="1:70" s="43" customFormat="1" ht="24" x14ac:dyDescent="0.2">
      <c r="A147" s="20"/>
      <c r="B147" s="14" t="s">
        <v>280</v>
      </c>
      <c r="C147" s="25" t="s">
        <v>281</v>
      </c>
      <c r="D147" s="40" t="s">
        <v>25</v>
      </c>
      <c r="E147" s="17">
        <v>1</v>
      </c>
      <c r="F147" s="41">
        <v>0</v>
      </c>
      <c r="G147" s="41">
        <f>E147*F147</f>
        <v>0</v>
      </c>
      <c r="H147" s="35">
        <v>35000</v>
      </c>
      <c r="I147" s="41">
        <f>E147*H147</f>
        <v>35000</v>
      </c>
      <c r="J147" s="41"/>
      <c r="K147" s="41">
        <f t="shared" si="19"/>
        <v>0</v>
      </c>
      <c r="L147" s="41">
        <f t="shared" si="20"/>
        <v>35000</v>
      </c>
      <c r="M147" s="42"/>
    </row>
    <row r="148" spans="1:70" s="22" customFormat="1" x14ac:dyDescent="0.2">
      <c r="A148" s="13"/>
      <c r="B148" s="14" t="s">
        <v>282</v>
      </c>
      <c r="C148" s="53" t="s">
        <v>283</v>
      </c>
      <c r="D148" s="16" t="s">
        <v>8</v>
      </c>
      <c r="E148" s="17">
        <v>5.33</v>
      </c>
      <c r="F148" s="35">
        <v>0</v>
      </c>
      <c r="G148" s="35">
        <f>E148*F148</f>
        <v>0</v>
      </c>
      <c r="H148" s="35">
        <v>0</v>
      </c>
      <c r="I148" s="35">
        <f>E148*H148</f>
        <v>0</v>
      </c>
      <c r="J148" s="35"/>
      <c r="K148" s="35">
        <f t="shared" si="19"/>
        <v>0</v>
      </c>
      <c r="L148" s="35">
        <f t="shared" si="20"/>
        <v>0</v>
      </c>
      <c r="M148" s="1"/>
    </row>
    <row r="149" spans="1:70" s="22" customFormat="1" x14ac:dyDescent="0.2">
      <c r="A149" s="13"/>
      <c r="B149" s="14" t="s">
        <v>284</v>
      </c>
      <c r="C149" s="15" t="s">
        <v>129</v>
      </c>
      <c r="D149" s="16" t="s">
        <v>8</v>
      </c>
      <c r="E149" s="17">
        <f>_xlfn.CEILING.MATH(5.24*1.05,0.1)</f>
        <v>5.6000000000000005</v>
      </c>
      <c r="F149" s="35">
        <v>0</v>
      </c>
      <c r="G149" s="35">
        <f>E149*F149</f>
        <v>0</v>
      </c>
      <c r="H149" s="35">
        <f>ROUND(1774.46*0.73*1.15+168.34*7/E149,2)</f>
        <v>1700.08</v>
      </c>
      <c r="I149" s="35">
        <f>E149*H149</f>
        <v>9520.4480000000003</v>
      </c>
      <c r="J149" s="35"/>
      <c r="K149" s="35">
        <f t="shared" si="19"/>
        <v>0</v>
      </c>
      <c r="L149" s="35">
        <f t="shared" si="20"/>
        <v>9520.4480000000003</v>
      </c>
      <c r="M149" s="1"/>
    </row>
    <row r="150" spans="1:70" s="22" customFormat="1" x14ac:dyDescent="0.2">
      <c r="A150" s="13"/>
      <c r="B150" s="14" t="s">
        <v>285</v>
      </c>
      <c r="C150" s="15" t="s">
        <v>286</v>
      </c>
      <c r="D150" s="16" t="s">
        <v>132</v>
      </c>
      <c r="E150" s="17">
        <v>6</v>
      </c>
      <c r="F150" s="35">
        <v>0</v>
      </c>
      <c r="G150" s="35">
        <f>E150*F150</f>
        <v>0</v>
      </c>
      <c r="H150" s="35">
        <f>ROUND((125+113+245+98.2)*1.13,2)</f>
        <v>656.76</v>
      </c>
      <c r="I150" s="35">
        <f>E150*H150</f>
        <v>3940.56</v>
      </c>
      <c r="J150" s="35"/>
      <c r="K150" s="35">
        <f t="shared" si="19"/>
        <v>0</v>
      </c>
      <c r="L150" s="35">
        <f t="shared" si="20"/>
        <v>3940.56</v>
      </c>
      <c r="M150" s="1"/>
    </row>
    <row r="151" spans="1:70" s="13" customFormat="1" x14ac:dyDescent="0.2">
      <c r="B151" s="14" t="s">
        <v>287</v>
      </c>
      <c r="C151" s="15" t="s">
        <v>131</v>
      </c>
      <c r="D151" s="16" t="s">
        <v>132</v>
      </c>
      <c r="E151" s="17">
        <v>1</v>
      </c>
      <c r="F151" s="35"/>
      <c r="G151" s="35"/>
      <c r="H151" s="35">
        <f>K89*0.06</f>
        <v>0</v>
      </c>
      <c r="I151" s="35">
        <f>H151*E151</f>
        <v>0</v>
      </c>
      <c r="J151" s="35"/>
      <c r="K151" s="35">
        <f t="shared" si="19"/>
        <v>0</v>
      </c>
      <c r="L151" s="35">
        <f t="shared" si="20"/>
        <v>0</v>
      </c>
      <c r="M151" s="22"/>
    </row>
    <row r="152" spans="1:70" x14ac:dyDescent="0.2">
      <c r="A152" s="13"/>
      <c r="B152" s="5"/>
      <c r="C152" s="44" t="str">
        <f>CONCATENATE("Разом по розділу '", TEXT(C8,""),"', грн без ПДВ:")</f>
        <v>Разом по розділу 'Розділ ЗВК', грн без ПДВ:</v>
      </c>
      <c r="D152" s="45"/>
      <c r="E152" s="7"/>
      <c r="F152" s="32"/>
      <c r="G152" s="32">
        <f>G8</f>
        <v>0</v>
      </c>
      <c r="H152" s="33"/>
      <c r="I152" s="33">
        <f>I8</f>
        <v>2526197.0395</v>
      </c>
      <c r="J152" s="33"/>
      <c r="K152" s="33">
        <f>K8</f>
        <v>0</v>
      </c>
      <c r="L152" s="33">
        <f>L8</f>
        <v>2526197.0395</v>
      </c>
      <c r="M152" s="1" t="s">
        <v>178</v>
      </c>
    </row>
    <row r="153" spans="1:70" x14ac:dyDescent="0.2">
      <c r="A153" s="13"/>
      <c r="B153" s="5"/>
      <c r="C153" s="46" t="s">
        <v>288</v>
      </c>
      <c r="D153" s="47"/>
      <c r="E153" s="7"/>
      <c r="F153" s="32"/>
      <c r="G153" s="33">
        <f>G152*0.2</f>
        <v>0</v>
      </c>
      <c r="H153" s="33"/>
      <c r="I153" s="33">
        <f>I152*0.2</f>
        <v>505239.40789999999</v>
      </c>
      <c r="J153" s="33"/>
      <c r="K153" s="33">
        <f>K152*0.2</f>
        <v>0</v>
      </c>
      <c r="L153" s="33">
        <f>L152*0.2</f>
        <v>505239.40789999999</v>
      </c>
      <c r="M153" s="1" t="s">
        <v>178</v>
      </c>
    </row>
    <row r="154" spans="1:70" x14ac:dyDescent="0.2">
      <c r="A154" s="13"/>
      <c r="B154" s="5"/>
      <c r="C154" s="46" t="s">
        <v>289</v>
      </c>
      <c r="D154" s="47"/>
      <c r="E154" s="7"/>
      <c r="F154" s="32"/>
      <c r="G154" s="33">
        <f>G152+G153</f>
        <v>0</v>
      </c>
      <c r="H154" s="33"/>
      <c r="I154" s="33">
        <f>I152+I153</f>
        <v>3031436.4473999999</v>
      </c>
      <c r="J154" s="33"/>
      <c r="K154" s="33">
        <f>K152+K153</f>
        <v>0</v>
      </c>
      <c r="L154" s="33">
        <f>L152+L153</f>
        <v>3031436.4473999999</v>
      </c>
      <c r="M154" s="1" t="s">
        <v>178</v>
      </c>
    </row>
    <row r="155" spans="1:70" s="22" customFormat="1" ht="15" x14ac:dyDescent="0.25">
      <c r="A155" s="13"/>
      <c r="B155" s="1"/>
      <c r="C155" s="26"/>
      <c r="D155" s="1"/>
      <c r="E155" s="1"/>
      <c r="F155" s="1"/>
      <c r="G155" s="1"/>
      <c r="H155" s="1"/>
      <c r="I155"/>
      <c r="J155"/>
      <c r="K155"/>
      <c r="L155"/>
      <c r="M155"/>
    </row>
    <row r="156" spans="1:70" x14ac:dyDescent="0.2">
      <c r="B156" s="48"/>
      <c r="C156" s="48"/>
      <c r="D156" s="48"/>
      <c r="E156" s="48"/>
      <c r="F156" s="48"/>
      <c r="G156" s="48"/>
      <c r="H156" s="12"/>
      <c r="I156" s="12"/>
      <c r="J156" s="12"/>
      <c r="AB156" s="21"/>
      <c r="AH156" s="21"/>
      <c r="AQ156" s="21"/>
      <c r="AZ156" s="21"/>
      <c r="BI156" s="21"/>
      <c r="BR156" s="21"/>
    </row>
    <row r="157" spans="1:70" x14ac:dyDescent="0.2">
      <c r="B157" s="48"/>
      <c r="C157" s="48"/>
      <c r="D157" s="48"/>
      <c r="E157" s="48"/>
      <c r="F157" s="48"/>
      <c r="G157" s="48"/>
      <c r="H157" s="48"/>
      <c r="I157" s="12"/>
      <c r="J157" s="12"/>
      <c r="K157" s="12"/>
      <c r="L157" s="12"/>
      <c r="AB157" s="21"/>
      <c r="AH157" s="21"/>
      <c r="AQ157" s="21"/>
      <c r="AZ157" s="21"/>
      <c r="BI157" s="21"/>
      <c r="BR157" s="21"/>
    </row>
    <row r="158" spans="1:70" x14ac:dyDescent="0.2">
      <c r="B158" s="48"/>
      <c r="C158" s="49"/>
      <c r="D158" s="12"/>
      <c r="E158" s="12"/>
      <c r="F158" s="12"/>
      <c r="G158" s="12"/>
      <c r="H158" s="12"/>
      <c r="I158" s="12"/>
      <c r="J158" s="12"/>
      <c r="K158" s="12"/>
      <c r="L158" s="12"/>
      <c r="AB158" s="21"/>
      <c r="AH158" s="21"/>
      <c r="AQ158" s="21"/>
      <c r="AZ158" s="21"/>
      <c r="BI158" s="21"/>
      <c r="BR158" s="21"/>
    </row>
    <row r="159" spans="1:70" x14ac:dyDescent="0.2">
      <c r="B159" s="48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AB159" s="21"/>
      <c r="AH159" s="21"/>
      <c r="AQ159" s="21"/>
      <c r="AZ159" s="21"/>
      <c r="BI159" s="21"/>
      <c r="BR159" s="21"/>
    </row>
    <row r="160" spans="1:70" s="22" customFormat="1" x14ac:dyDescent="0.2">
      <c r="A160" s="13"/>
      <c r="B160" s="2"/>
      <c r="C160" s="26"/>
      <c r="D160" s="1"/>
      <c r="E160" s="1"/>
      <c r="F160" s="1"/>
      <c r="G160" s="1"/>
      <c r="H160" s="1"/>
      <c r="I160" s="1"/>
      <c r="J160" s="1"/>
      <c r="K160" s="50"/>
      <c r="L160" s="51"/>
      <c r="M160" s="1"/>
    </row>
    <row r="161" spans="1:13" s="22" customFormat="1" x14ac:dyDescent="0.2">
      <c r="A161" s="13"/>
      <c r="B161" s="2"/>
      <c r="C161" s="26"/>
      <c r="D161" s="1"/>
      <c r="E161" s="1"/>
      <c r="F161" s="1"/>
      <c r="G161" s="1"/>
      <c r="H161" s="1"/>
      <c r="I161" s="1"/>
      <c r="J161" s="1"/>
      <c r="K161" s="50"/>
      <c r="L161" s="51"/>
      <c r="M161" s="1"/>
    </row>
    <row r="164" spans="1:13" x14ac:dyDescent="0.2">
      <c r="G164" s="52"/>
      <c r="H164" s="52"/>
      <c r="I164" s="52"/>
      <c r="J164" s="52"/>
      <c r="K164" s="52"/>
      <c r="L164" s="52"/>
    </row>
    <row r="165" spans="1:13" x14ac:dyDescent="0.2">
      <c r="G165" s="52"/>
      <c r="H165" s="52"/>
      <c r="I165" s="52"/>
      <c r="J165" s="52"/>
      <c r="K165" s="52"/>
      <c r="L165" s="52"/>
    </row>
    <row r="166" spans="1:13" x14ac:dyDescent="0.2">
      <c r="G166" s="52"/>
      <c r="H166" s="52"/>
      <c r="I166" s="52"/>
      <c r="J166" s="52"/>
      <c r="K166" s="52"/>
      <c r="L166" s="52"/>
    </row>
  </sheetData>
  <autoFilter ref="A7:M154"/>
  <mergeCells count="6">
    <mergeCell ref="C2:L3"/>
    <mergeCell ref="B5:B7"/>
    <mergeCell ref="C5:C7"/>
    <mergeCell ref="D5:D7"/>
    <mergeCell ref="E5:E7"/>
    <mergeCell ref="L5:L7"/>
  </mergeCells>
  <conditionalFormatting sqref="E48:H48 E31 E34:H34 E55:H64 J55:J64 J34 K11:L12 I11:I12 J38:J40 E38:H38 E44:G45 J44:J48 I19:I26 K19:L26 K33:L42 I33:I42 E145:G145 E138:G138 I145 I138 E10:L10 I16:K16 F17:L18 I14:K14 F13:K13 F15:K15 I88:L88 E73:L87 H100:L100 E106:L106 I151:L151 E90:L90 I96:K96 F97:L97 I94:K94 F93:K93 F95:K95 I107:L107 E108:L108 E113:L113 I114:L114 E115:J116 E119:J119 I120:J120 F127:L130 I131:L131 F134:L134 I133:L133 E135:L135 I136:L137 I139:L139 I146:J146 I147:L147 E148:J148 I149:J150 I143:J144">
    <cfRule type="cellIs" dxfId="114" priority="125" operator="equal">
      <formula>0</formula>
    </cfRule>
  </conditionalFormatting>
  <conditionalFormatting sqref="E40 E50:G50 J52:J54 E52:G53 E46:E47 I46:I71 K46:L71">
    <cfRule type="cellIs" dxfId="113" priority="124" operator="equal">
      <formula>0</formula>
    </cfRule>
  </conditionalFormatting>
  <conditionalFormatting sqref="E11:H11 J11">
    <cfRule type="cellIs" dxfId="112" priority="123" operator="equal">
      <formula>0</formula>
    </cfRule>
  </conditionalFormatting>
  <conditionalFormatting sqref="E12:H12 J12">
    <cfRule type="cellIs" dxfId="111" priority="122" operator="equal">
      <formula>0</formula>
    </cfRule>
  </conditionalFormatting>
  <conditionalFormatting sqref="F40:G40 F46:G47">
    <cfRule type="cellIs" dxfId="110" priority="121" operator="equal">
      <formula>0</formula>
    </cfRule>
  </conditionalFormatting>
  <conditionalFormatting sqref="E19:H21 E23:H23 E25:H26 J25:J26 J23 J19:J21">
    <cfRule type="cellIs" dxfId="109" priority="120" operator="equal">
      <formula>0</formula>
    </cfRule>
  </conditionalFormatting>
  <conditionalFormatting sqref="E24:H24 J24">
    <cfRule type="cellIs" dxfId="108" priority="118" operator="equal">
      <formula>0</formula>
    </cfRule>
  </conditionalFormatting>
  <conditionalFormatting sqref="E22:H22 J22">
    <cfRule type="cellIs" dxfId="107" priority="119" operator="equal">
      <formula>0</formula>
    </cfRule>
  </conditionalFormatting>
  <conditionalFormatting sqref="E27">
    <cfRule type="cellIs" dxfId="106" priority="117" operator="equal">
      <formula>0</formula>
    </cfRule>
  </conditionalFormatting>
  <conditionalFormatting sqref="E39">
    <cfRule type="cellIs" dxfId="105" priority="115" operator="equal">
      <formula>0</formula>
    </cfRule>
  </conditionalFormatting>
  <conditionalFormatting sqref="E29">
    <cfRule type="cellIs" dxfId="104" priority="116" operator="equal">
      <formula>0</formula>
    </cfRule>
  </conditionalFormatting>
  <conditionalFormatting sqref="E37:H37 J50 J37">
    <cfRule type="cellIs" dxfId="103" priority="111" operator="equal">
      <formula>0</formula>
    </cfRule>
  </conditionalFormatting>
  <conditionalFormatting sqref="E32">
    <cfRule type="cellIs" dxfId="102" priority="114" operator="equal">
      <formula>0</formula>
    </cfRule>
  </conditionalFormatting>
  <conditionalFormatting sqref="E35:G35 E33:H33 J35 J33">
    <cfRule type="cellIs" dxfId="101" priority="113" operator="equal">
      <formula>0</formula>
    </cfRule>
  </conditionalFormatting>
  <conditionalFormatting sqref="E36:H36 F39:G39 J36">
    <cfRule type="cellIs" dxfId="100" priority="112" operator="equal">
      <formula>0</formula>
    </cfRule>
  </conditionalFormatting>
  <conditionalFormatting sqref="H46">
    <cfRule type="cellIs" dxfId="99" priority="107" operator="equal">
      <formula>0</formula>
    </cfRule>
  </conditionalFormatting>
  <conditionalFormatting sqref="H35">
    <cfRule type="cellIs" dxfId="98" priority="110" operator="equal">
      <formula>0</formula>
    </cfRule>
  </conditionalFormatting>
  <conditionalFormatting sqref="H39">
    <cfRule type="cellIs" dxfId="97" priority="109" operator="equal">
      <formula>0</formula>
    </cfRule>
  </conditionalFormatting>
  <conditionalFormatting sqref="H40">
    <cfRule type="cellIs" dxfId="96" priority="108" operator="equal">
      <formula>0</formula>
    </cfRule>
  </conditionalFormatting>
  <conditionalFormatting sqref="H47">
    <cfRule type="cellIs" dxfId="95" priority="106" operator="equal">
      <formula>0</formula>
    </cfRule>
  </conditionalFormatting>
  <conditionalFormatting sqref="H52:H53">
    <cfRule type="cellIs" dxfId="94" priority="103" operator="equal">
      <formula>0</formula>
    </cfRule>
  </conditionalFormatting>
  <conditionalFormatting sqref="E49:H49 J49">
    <cfRule type="cellIs" dxfId="93" priority="105" operator="equal">
      <formula>0</formula>
    </cfRule>
  </conditionalFormatting>
  <conditionalFormatting sqref="H50">
    <cfRule type="cellIs" dxfId="92" priority="104" operator="equal">
      <formula>0</formula>
    </cfRule>
  </conditionalFormatting>
  <conditionalFormatting sqref="H54">
    <cfRule type="cellIs" dxfId="91" priority="101" operator="equal">
      <formula>0</formula>
    </cfRule>
  </conditionalFormatting>
  <conditionalFormatting sqref="F54:G54">
    <cfRule type="cellIs" dxfId="90" priority="102" operator="equal">
      <formula>0</formula>
    </cfRule>
  </conditionalFormatting>
  <conditionalFormatting sqref="E51:H51 J51">
    <cfRule type="cellIs" dxfId="89" priority="100" operator="equal">
      <formula>0</formula>
    </cfRule>
  </conditionalFormatting>
  <conditionalFormatting sqref="E41:H41 J41">
    <cfRule type="cellIs" dxfId="88" priority="99" operator="equal">
      <formula>0</formula>
    </cfRule>
  </conditionalFormatting>
  <conditionalFormatting sqref="E42:H42 J42">
    <cfRule type="cellIs" dxfId="87" priority="98" operator="equal">
      <formula>0</formula>
    </cfRule>
  </conditionalFormatting>
  <conditionalFormatting sqref="E65:H65 J65">
    <cfRule type="cellIs" dxfId="86" priority="97" operator="equal">
      <formula>0</formula>
    </cfRule>
  </conditionalFormatting>
  <conditionalFormatting sqref="E66:H66 E69 J69 J66">
    <cfRule type="cellIs" dxfId="85" priority="96" operator="equal">
      <formula>0</formula>
    </cfRule>
  </conditionalFormatting>
  <conditionalFormatting sqref="E68:H68 F69:H69 J68">
    <cfRule type="cellIs" dxfId="84" priority="94" operator="equal">
      <formula>0</formula>
    </cfRule>
  </conditionalFormatting>
  <conditionalFormatting sqref="E54">
    <cfRule type="cellIs" dxfId="83" priority="95" operator="equal">
      <formula>0</formula>
    </cfRule>
  </conditionalFormatting>
  <conditionalFormatting sqref="F70:G71 J70:J71">
    <cfRule type="cellIs" dxfId="82" priority="92" operator="equal">
      <formula>0</formula>
    </cfRule>
  </conditionalFormatting>
  <conditionalFormatting sqref="E67:H67 J67">
    <cfRule type="cellIs" dxfId="81" priority="93" operator="equal">
      <formula>0</formula>
    </cfRule>
  </conditionalFormatting>
  <conditionalFormatting sqref="E70">
    <cfRule type="cellIs" dxfId="80" priority="91" operator="equal">
      <formula>0</formula>
    </cfRule>
  </conditionalFormatting>
  <conditionalFormatting sqref="E43:H43 J43">
    <cfRule type="cellIs" dxfId="79" priority="90" operator="equal">
      <formula>0</formula>
    </cfRule>
  </conditionalFormatting>
  <conditionalFormatting sqref="I43:I45 K43:L45">
    <cfRule type="cellIs" dxfId="78" priority="89" operator="equal">
      <formula>0</formula>
    </cfRule>
  </conditionalFormatting>
  <conditionalFormatting sqref="H44:H45">
    <cfRule type="cellIs" dxfId="77" priority="88" operator="equal">
      <formula>0</formula>
    </cfRule>
  </conditionalFormatting>
  <conditionalFormatting sqref="L16">
    <cfRule type="cellIs" dxfId="76" priority="84" operator="equal">
      <formula>0</formula>
    </cfRule>
  </conditionalFormatting>
  <conditionalFormatting sqref="F16:G16">
    <cfRule type="cellIs" dxfId="75" priority="83" operator="equal">
      <formula>0</formula>
    </cfRule>
  </conditionalFormatting>
  <conditionalFormatting sqref="F14:G14 H96">
    <cfRule type="cellIs" dxfId="74" priority="86" operator="equal">
      <formula>0</formula>
    </cfRule>
  </conditionalFormatting>
  <conditionalFormatting sqref="L13:L14">
    <cfRule type="cellIs" dxfId="73" priority="87" operator="equal">
      <formula>0</formula>
    </cfRule>
  </conditionalFormatting>
  <conditionalFormatting sqref="L15">
    <cfRule type="cellIs" dxfId="72" priority="81" operator="equal">
      <formula>0</formula>
    </cfRule>
  </conditionalFormatting>
  <conditionalFormatting sqref="F88:G88">
    <cfRule type="cellIs" dxfId="71" priority="79" operator="equal">
      <formula>0</formula>
    </cfRule>
  </conditionalFormatting>
  <conditionalFormatting sqref="K91:L92 I91:I92 I98 K98:L99 E100:F100 K101:L101 J102:L102 K103:L105 I101:I105 I109:I112 K109:L112 F151:G151">
    <cfRule type="cellIs" dxfId="70" priority="77" operator="equal">
      <formula>0</formula>
    </cfRule>
  </conditionalFormatting>
  <conditionalFormatting sqref="E91:H91 J91">
    <cfRule type="cellIs" dxfId="69" priority="75" operator="equal">
      <formula>0</formula>
    </cfRule>
  </conditionalFormatting>
  <conditionalFormatting sqref="E92:H92 J92">
    <cfRule type="cellIs" dxfId="68" priority="74" operator="equal">
      <formula>0</formula>
    </cfRule>
  </conditionalFormatting>
  <conditionalFormatting sqref="E98:H98 J98:J99 E99:F99 J101 J103 G99:G100 J105 J117:J118">
    <cfRule type="cellIs" dxfId="67" priority="73" operator="equal">
      <formula>0</formula>
    </cfRule>
  </conditionalFormatting>
  <conditionalFormatting sqref="J104 E104:H105">
    <cfRule type="cellIs" dxfId="66" priority="72" operator="equal">
      <formula>0</formula>
    </cfRule>
  </conditionalFormatting>
  <conditionalFormatting sqref="H112">
    <cfRule type="cellIs" dxfId="65" priority="71" operator="equal">
      <formula>0</formula>
    </cfRule>
  </conditionalFormatting>
  <conditionalFormatting sqref="E109">
    <cfRule type="cellIs" dxfId="64" priority="70" operator="equal">
      <formula>0</formula>
    </cfRule>
  </conditionalFormatting>
  <conditionalFormatting sqref="H110">
    <cfRule type="cellIs" dxfId="63" priority="69" operator="equal">
      <formula>0</formula>
    </cfRule>
  </conditionalFormatting>
  <conditionalFormatting sqref="E111">
    <cfRule type="cellIs" dxfId="62" priority="68" operator="equal">
      <formula>0</formula>
    </cfRule>
  </conditionalFormatting>
  <conditionalFormatting sqref="L96">
    <cfRule type="cellIs" dxfId="61" priority="64" operator="equal">
      <formula>0</formula>
    </cfRule>
  </conditionalFormatting>
  <conditionalFormatting sqref="F96:G96">
    <cfRule type="cellIs" dxfId="60" priority="63" operator="equal">
      <formula>0</formula>
    </cfRule>
  </conditionalFormatting>
  <conditionalFormatting sqref="I99">
    <cfRule type="cellIs" dxfId="59" priority="62" operator="equal">
      <formula>0</formula>
    </cfRule>
  </conditionalFormatting>
  <conditionalFormatting sqref="F94:G94">
    <cfRule type="cellIs" dxfId="58" priority="66" operator="equal">
      <formula>0</formula>
    </cfRule>
  </conditionalFormatting>
  <conditionalFormatting sqref="L93:L94">
    <cfRule type="cellIs" dxfId="57" priority="67" operator="equal">
      <formula>0</formula>
    </cfRule>
  </conditionalFormatting>
  <conditionalFormatting sqref="L95">
    <cfRule type="cellIs" dxfId="56" priority="61" operator="equal">
      <formula>0</formula>
    </cfRule>
  </conditionalFormatting>
  <conditionalFormatting sqref="H102:H103 H117">
    <cfRule type="cellIs" dxfId="55" priority="55" operator="equal">
      <formula>0</formula>
    </cfRule>
  </conditionalFormatting>
  <conditionalFormatting sqref="H99">
    <cfRule type="cellIs" dxfId="54" priority="59" operator="equal">
      <formula>0</formula>
    </cfRule>
  </conditionalFormatting>
  <conditionalFormatting sqref="E101:H101">
    <cfRule type="cellIs" dxfId="53" priority="58" operator="equal">
      <formula>0</formula>
    </cfRule>
  </conditionalFormatting>
  <conditionalFormatting sqref="E102:E103 G102:G103 G117 E117">
    <cfRule type="cellIs" dxfId="52" priority="56" operator="equal">
      <formula>0</formula>
    </cfRule>
  </conditionalFormatting>
  <conditionalFormatting sqref="F102:F103 F117">
    <cfRule type="cellIs" dxfId="51" priority="57" operator="equal">
      <formula>0</formula>
    </cfRule>
  </conditionalFormatting>
  <conditionalFormatting sqref="H107">
    <cfRule type="cellIs" dxfId="50" priority="53" operator="equal">
      <formula>0</formula>
    </cfRule>
  </conditionalFormatting>
  <conditionalFormatting sqref="E107:G107">
    <cfRule type="cellIs" dxfId="49" priority="54" operator="equal">
      <formula>0</formula>
    </cfRule>
  </conditionalFormatting>
  <conditionalFormatting sqref="H114">
    <cfRule type="cellIs" dxfId="48" priority="50" operator="equal">
      <formula>0</formula>
    </cfRule>
  </conditionalFormatting>
  <conditionalFormatting sqref="F114:G114 K115:L120 K122:L122 K126:L126">
    <cfRule type="cellIs" dxfId="47" priority="51" operator="equal">
      <formula>0</formula>
    </cfRule>
  </conditionalFormatting>
  <conditionalFormatting sqref="I117:I118">
    <cfRule type="cellIs" dxfId="46" priority="48" operator="equal">
      <formula>0</formula>
    </cfRule>
  </conditionalFormatting>
  <conditionalFormatting sqref="E114">
    <cfRule type="cellIs" dxfId="45" priority="47" operator="equal">
      <formula>0</formula>
    </cfRule>
  </conditionalFormatting>
  <conditionalFormatting sqref="H120 H122 H125">
    <cfRule type="cellIs" dxfId="44" priority="43" operator="equal">
      <formula>0</formula>
    </cfRule>
  </conditionalFormatting>
  <conditionalFormatting sqref="F118:H118">
    <cfRule type="cellIs" dxfId="43" priority="46" operator="equal">
      <formula>0</formula>
    </cfRule>
  </conditionalFormatting>
  <conditionalFormatting sqref="E118">
    <cfRule type="cellIs" dxfId="42" priority="45" operator="equal">
      <formula>0</formula>
    </cfRule>
  </conditionalFormatting>
  <conditionalFormatting sqref="E120:G120 J122 F122:G122 J125:J126 E125:E126">
    <cfRule type="cellIs" dxfId="41" priority="44" operator="equal">
      <formula>0</formula>
    </cfRule>
  </conditionalFormatting>
  <conditionalFormatting sqref="H126">
    <cfRule type="cellIs" dxfId="40" priority="33" operator="equal">
      <formula>0</formula>
    </cfRule>
  </conditionalFormatting>
  <conditionalFormatting sqref="K121:L121 I121:I122">
    <cfRule type="cellIs" dxfId="39" priority="42" operator="equal">
      <formula>0</formula>
    </cfRule>
  </conditionalFormatting>
  <conditionalFormatting sqref="E121:H121 J121">
    <cfRule type="cellIs" dxfId="38" priority="41" operator="equal">
      <formula>0</formula>
    </cfRule>
  </conditionalFormatting>
  <conditionalFormatting sqref="E122">
    <cfRule type="cellIs" dxfId="37" priority="40" operator="equal">
      <formula>0</formula>
    </cfRule>
  </conditionalFormatting>
  <conditionalFormatting sqref="K124:L124">
    <cfRule type="cellIs" dxfId="36" priority="39" operator="equal">
      <formula>0</formula>
    </cfRule>
  </conditionalFormatting>
  <conditionalFormatting sqref="H124">
    <cfRule type="cellIs" dxfId="35" priority="37" operator="equal">
      <formula>0</formula>
    </cfRule>
  </conditionalFormatting>
  <conditionalFormatting sqref="J124 F124:G124 F126:G126">
    <cfRule type="cellIs" dxfId="34" priority="38" operator="equal">
      <formula>0</formula>
    </cfRule>
  </conditionalFormatting>
  <conditionalFormatting sqref="K123:L123 K125:L125 I123:I126">
    <cfRule type="cellIs" dxfId="33" priority="36" operator="equal">
      <formula>0</formula>
    </cfRule>
  </conditionalFormatting>
  <conditionalFormatting sqref="E123:H123 J123 F125:G125">
    <cfRule type="cellIs" dxfId="32" priority="35" operator="equal">
      <formula>0</formula>
    </cfRule>
  </conditionalFormatting>
  <conditionalFormatting sqref="E124">
    <cfRule type="cellIs" dxfId="31" priority="34" operator="equal">
      <formula>0</formula>
    </cfRule>
  </conditionalFormatting>
  <conditionalFormatting sqref="H131">
    <cfRule type="cellIs" dxfId="30" priority="30" operator="equal">
      <formula>0</formula>
    </cfRule>
  </conditionalFormatting>
  <conditionalFormatting sqref="E127 F131:G131">
    <cfRule type="cellIs" dxfId="29" priority="32" operator="equal">
      <formula>0</formula>
    </cfRule>
  </conditionalFormatting>
  <conditionalFormatting sqref="E127:E131">
    <cfRule type="cellIs" dxfId="28" priority="31" operator="equal">
      <formula>0</formula>
    </cfRule>
  </conditionalFormatting>
  <conditionalFormatting sqref="F133:G133 F132:I132 K132:L132">
    <cfRule type="cellIs" dxfId="27" priority="29" operator="equal">
      <formula>0</formula>
    </cfRule>
  </conditionalFormatting>
  <conditionalFormatting sqref="H133">
    <cfRule type="cellIs" dxfId="26" priority="28" operator="equal">
      <formula>0</formula>
    </cfRule>
  </conditionalFormatting>
  <conditionalFormatting sqref="J132">
    <cfRule type="cellIs" dxfId="25" priority="27" operator="equal">
      <formula>0</formula>
    </cfRule>
  </conditionalFormatting>
  <conditionalFormatting sqref="F136:F137 F139">
    <cfRule type="cellIs" dxfId="24" priority="26" operator="equal">
      <formula>0</formula>
    </cfRule>
  </conditionalFormatting>
  <conditionalFormatting sqref="E136:E137 G136:G137 G139 E139 I140:I142">
    <cfRule type="cellIs" dxfId="23" priority="25" operator="equal">
      <formula>0</formula>
    </cfRule>
  </conditionalFormatting>
  <conditionalFormatting sqref="E142:G142 J142:L142 J138:L138 K146:L146">
    <cfRule type="cellIs" dxfId="22" priority="23" operator="equal">
      <formula>0</formula>
    </cfRule>
  </conditionalFormatting>
  <conditionalFormatting sqref="E141:G141 J145:L145 J141:L141">
    <cfRule type="cellIs" dxfId="21" priority="24" operator="equal">
      <formula>0</formula>
    </cfRule>
  </conditionalFormatting>
  <conditionalFormatting sqref="F146:G146">
    <cfRule type="cellIs" dxfId="20" priority="19" operator="equal">
      <formula>0</formula>
    </cfRule>
  </conditionalFormatting>
  <conditionalFormatting sqref="F140">
    <cfRule type="cellIs" dxfId="19" priority="22" operator="equal">
      <formula>0</formula>
    </cfRule>
  </conditionalFormatting>
  <conditionalFormatting sqref="G140 E140">
    <cfRule type="cellIs" dxfId="18" priority="21" operator="equal">
      <formula>0</formula>
    </cfRule>
  </conditionalFormatting>
  <conditionalFormatting sqref="J140:L140">
    <cfRule type="cellIs" dxfId="17" priority="20" operator="equal">
      <formula>0</formula>
    </cfRule>
  </conditionalFormatting>
  <conditionalFormatting sqref="F147:G147 K148:L150">
    <cfRule type="cellIs" dxfId="16" priority="18" operator="equal">
      <formula>0</formula>
    </cfRule>
  </conditionalFormatting>
  <conditionalFormatting sqref="H146:H147">
    <cfRule type="cellIs" dxfId="15" priority="17" operator="equal">
      <formula>0</formula>
    </cfRule>
  </conditionalFormatting>
  <conditionalFormatting sqref="E149:G149">
    <cfRule type="cellIs" dxfId="14" priority="16" operator="equal">
      <formula>0</formula>
    </cfRule>
  </conditionalFormatting>
  <conditionalFormatting sqref="H149">
    <cfRule type="cellIs" dxfId="13" priority="15" operator="equal">
      <formula>0</formula>
    </cfRule>
  </conditionalFormatting>
  <conditionalFormatting sqref="E150:G150">
    <cfRule type="cellIs" dxfId="12" priority="14" operator="equal">
      <formula>0</formula>
    </cfRule>
  </conditionalFormatting>
  <conditionalFormatting sqref="H150">
    <cfRule type="cellIs" dxfId="11" priority="13" operator="equal">
      <formula>0</formula>
    </cfRule>
  </conditionalFormatting>
  <conditionalFormatting sqref="F27:H32 J27:J32">
    <cfRule type="cellIs" dxfId="10" priority="10" operator="equal">
      <formula>0</formula>
    </cfRule>
  </conditionalFormatting>
  <conditionalFormatting sqref="I27:I32 K27:L32">
    <cfRule type="cellIs" dxfId="9" priority="11" operator="equal">
      <formula>0</formula>
    </cfRule>
  </conditionalFormatting>
  <conditionalFormatting sqref="K143:L143">
    <cfRule type="cellIs" dxfId="8" priority="9" operator="equal">
      <formula>0</formula>
    </cfRule>
  </conditionalFormatting>
  <conditionalFormatting sqref="E143:G143 E90:E142 E144:E151">
    <cfRule type="cellIs" dxfId="7" priority="8" operator="equal">
      <formula>0</formula>
    </cfRule>
  </conditionalFormatting>
  <conditionalFormatting sqref="K144:L144">
    <cfRule type="cellIs" dxfId="6" priority="7" operator="equal">
      <formula>0</formula>
    </cfRule>
  </conditionalFormatting>
  <conditionalFormatting sqref="E144:G144">
    <cfRule type="cellIs" dxfId="5" priority="6" operator="equal">
      <formula>0</formula>
    </cfRule>
  </conditionalFormatting>
  <conditionalFormatting sqref="H146:H147">
    <cfRule type="cellIs" dxfId="4" priority="5" operator="equal">
      <formula>0</formula>
    </cfRule>
  </conditionalFormatting>
  <conditionalFormatting sqref="H136:H145">
    <cfRule type="cellIs" dxfId="3" priority="4" operator="equal">
      <formula>0</formula>
    </cfRule>
  </conditionalFormatting>
  <conditionalFormatting sqref="H14">
    <cfRule type="cellIs" dxfId="2" priority="3" operator="equal">
      <formula>0</formula>
    </cfRule>
  </conditionalFormatting>
  <conditionalFormatting sqref="H16">
    <cfRule type="cellIs" dxfId="1" priority="2" operator="equal">
      <formula>0</formula>
    </cfRule>
  </conditionalFormatting>
  <conditionalFormatting sqref="H94">
    <cfRule type="cellIs" dxfId="0" priority="1" operator="equal">
      <formula>0</formula>
    </cfRule>
  </conditionalFormatting>
  <pageMargins left="0.70866141732283461" right="0.70866141732283461" top="0.55118110236220474" bottom="0.354330708661417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Fujitsu</cp:lastModifiedBy>
  <dcterms:created xsi:type="dcterms:W3CDTF">2019-09-17T09:08:53Z</dcterms:created>
  <dcterms:modified xsi:type="dcterms:W3CDTF">2019-09-17T10:32:08Z</dcterms:modified>
</cp:coreProperties>
</file>