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35" tabRatio="638"/>
  </bookViews>
  <sheets>
    <sheet name="Лист1" sheetId="19" r:id="rId1"/>
  </sheets>
  <definedNames>
    <definedName name="_xlnm._FilterDatabase" localSheetId="0" hidden="1">Лист1!$B$1:$B$381</definedName>
    <definedName name="_xlnm.Print_Area" localSheetId="0">Лист1!$A$2:$I$383</definedName>
  </definedNames>
  <calcPr calcId="144525" fullPrecision="0"/>
</workbook>
</file>

<file path=xl/sharedStrings.xml><?xml version="1.0" encoding="utf-8"?>
<sst xmlns="http://schemas.openxmlformats.org/spreadsheetml/2006/main" count="733" uniqueCount="187">
  <si>
    <t xml:space="preserve">тендерна пропозиція </t>
  </si>
  <si>
    <t>на комплекс підрядних робіт з улаштування благоустрою території Об’єкту:</t>
  </si>
  <si>
    <t>№ п/п</t>
  </si>
  <si>
    <t>Назва послуг / робіт</t>
  </si>
  <si>
    <t>Од. виміру</t>
  </si>
  <si>
    <t>Кількість</t>
  </si>
  <si>
    <t>Вартість матеріалів, грн., без ПДВ</t>
  </si>
  <si>
    <t>Вартість робіт, грн., без ПДВ</t>
  </si>
  <si>
    <t>Загальна вартість робіт та матеріалів, грн., без ПДВ</t>
  </si>
  <si>
    <t>за од.вим.</t>
  </si>
  <si>
    <t>всього</t>
  </si>
  <si>
    <t>ПОКРИТТЯ ПО ГРУНТУ</t>
  </si>
  <si>
    <t>АСФАЛЬТ (ТИП-1)</t>
  </si>
  <si>
    <t>м2</t>
  </si>
  <si>
    <t xml:space="preserve">Влаштування корита </t>
  </si>
  <si>
    <t>м3</t>
  </si>
  <si>
    <t>Планування площі з ущільненням</t>
  </si>
  <si>
    <t>Влаштування щебеневої основи, h=250 см</t>
  </si>
  <si>
    <t>щпс фр. 0-70</t>
  </si>
  <si>
    <t>т</t>
  </si>
  <si>
    <t>Влаштування щебеневої основи, h=100 мм</t>
  </si>
  <si>
    <t>щпс фр. 0-40</t>
  </si>
  <si>
    <t>Влаштування нижнього шару асфальтобетонного покриття, h=60 мм</t>
  </si>
  <si>
    <t>асфальтобетон крупнозернистий, пористий, КЗ-7</t>
  </si>
  <si>
    <t>Розлив бітумної емульсії гудронатором (0,4 л/м2)</t>
  </si>
  <si>
    <t xml:space="preserve">бітумна емульсія дорожна нафтова </t>
  </si>
  <si>
    <t>л</t>
  </si>
  <si>
    <r>
      <rPr>
        <sz val="12"/>
        <rFont val="Times New Roman"/>
        <charset val="204"/>
      </rPr>
      <t>Влаштування верхнього шару асфальтобетонного покриття,</t>
    </r>
    <r>
      <rPr>
        <sz val="12"/>
        <color rgb="FFFF0000"/>
        <rFont val="Times New Roman"/>
        <charset val="204"/>
      </rPr>
      <t xml:space="preserve"> </t>
    </r>
    <r>
      <rPr>
        <sz val="12"/>
        <rFont val="Times New Roman"/>
        <charset val="204"/>
      </rPr>
      <t>h=50 мм</t>
    </r>
  </si>
  <si>
    <t>асфальтобетон дрібнозернистий, щільний, Б-10</t>
  </si>
  <si>
    <t>ТРОТУАРНА ПЛИТКА (ТИП-2)</t>
  </si>
  <si>
    <t>Влаштування щебеневої основи, h=180 мм</t>
  </si>
  <si>
    <t>Укладання плівки</t>
  </si>
  <si>
    <t>плівка ПЕ</t>
  </si>
  <si>
    <t>Влаштування залізобетонної плити, h=120 мм</t>
  </si>
  <si>
    <t>сітка армована Ø5мм Вр1, 100х100</t>
  </si>
  <si>
    <t>фіксатор пластиковий</t>
  </si>
  <si>
    <t>шт</t>
  </si>
  <si>
    <t>бетон B15 Р4</t>
  </si>
  <si>
    <t>Влаштування шару з цементно-піщаної суміші, h=50 мм</t>
  </si>
  <si>
    <t>РЦГ М150</t>
  </si>
  <si>
    <t xml:space="preserve">Влаштування мощення з ФЕМ, h=60 мм </t>
  </si>
  <si>
    <t xml:space="preserve">тротуарна плитка "Золотий мандарин", модерн (грейс), h=60 мм </t>
  </si>
  <si>
    <t xml:space="preserve">тротуарна плитка "Золотий мандарин", плац (сірий), h=60 мм </t>
  </si>
  <si>
    <t xml:space="preserve">пісок річковий (клинцювання) </t>
  </si>
  <si>
    <t>диск відрізний по бетону</t>
  </si>
  <si>
    <t>Підрізання ФЕМ (рахується по факту)</t>
  </si>
  <si>
    <t>м.п.</t>
  </si>
  <si>
    <t>ГРАНІТНА БРУКІВКА (ТИП-3)</t>
  </si>
  <si>
    <t>Влаштування щебеневої основи, h=230 мм</t>
  </si>
  <si>
    <t>Влаштування шару з цементно-піщаної суміші, h=60 мм</t>
  </si>
  <si>
    <t xml:space="preserve">Влаштування мощення з гранітної бруківки, h=50 мм </t>
  </si>
  <si>
    <t>гранітна бруківка 100х100х50 - пилена (габбро)</t>
  </si>
  <si>
    <t>ДЕКІНГ (ТИП-4)</t>
  </si>
  <si>
    <t>Укладання геотекстилю</t>
  </si>
  <si>
    <t>геотекстиль термічно скріплений, щільність від 160 гр/м2</t>
  </si>
  <si>
    <t>Влаштування щебеневої основи, h=345 мм</t>
  </si>
  <si>
    <t xml:space="preserve">Влаштування плит бетонних тротуарних, h=50 мм </t>
  </si>
  <si>
    <t>плити бетонні тротуарні 8К5 500х500х50</t>
  </si>
  <si>
    <t xml:space="preserve">Влаштування терасної дошки, h=25 мм </t>
  </si>
  <si>
    <t>дерев'яні лаги</t>
  </si>
  <si>
    <t>террасна дошка з натурального дерева - млдрина</t>
  </si>
  <si>
    <t>ГРАВІЙНИЙ ВІДСІВ (ТИП-5)</t>
  </si>
  <si>
    <t>Влаштування піщаної основи, h=50 мм</t>
  </si>
  <si>
    <t>пісок річковий</t>
  </si>
  <si>
    <t>геотекстиль термічно скріплений, щільність від 180 гр/м2</t>
  </si>
  <si>
    <t>Влаштування щебеневої основи, h=330 мм</t>
  </si>
  <si>
    <t>Влаштування газонної решітки з засипкою гравійним відсівом, h=70 мм</t>
  </si>
  <si>
    <t>газонна решітка h=75мм, чарунки 110х110мм</t>
  </si>
  <si>
    <t>гравійний відсів фр. 5-10</t>
  </si>
  <si>
    <t>Влаштування шару з гравійного відсіву, h=10 мм</t>
  </si>
  <si>
    <t>БЕТОН ЛИЦЬОВИЙ (ТИП-6)</t>
  </si>
  <si>
    <t>Влаштування щебеневої основи, h=290 мм</t>
  </si>
  <si>
    <t>щебінь фр. 20-40</t>
  </si>
  <si>
    <t>Влаштування бетонної плити з шліфуванням, h=50 мм</t>
  </si>
  <si>
    <t xml:space="preserve">бетон лицьовий білий B30 </t>
  </si>
  <si>
    <t>ПАРКУВАЛЬНА РЕШІТКА (ТИП-7)</t>
  </si>
  <si>
    <t>Влаштування щебеневої основи, h=170 мм</t>
  </si>
  <si>
    <t>Влаштування основи з суміші гравію та родючого грунту, h=100 мм</t>
  </si>
  <si>
    <t>родючий грунт</t>
  </si>
  <si>
    <t xml:space="preserve">Влаштування мощення з ФЕМ, h=80 мм </t>
  </si>
  <si>
    <t xml:space="preserve">тротуарна плитка - паркувальна решітка "Золотий мандарин", сірий, h=80 мм </t>
  </si>
  <si>
    <t>Заповнення паркувальної решітки родючим грунтом, h=80 мм</t>
  </si>
  <si>
    <t>Улаштування газону посівного</t>
  </si>
  <si>
    <t>насіння трав</t>
  </si>
  <si>
    <t>кг</t>
  </si>
  <si>
    <t xml:space="preserve">ТАКТИЛЬНА ПЛИТКА </t>
  </si>
  <si>
    <t xml:space="preserve">тактильна плитка "Золотий мандарин", h=60 мм </t>
  </si>
  <si>
    <t>БАГАТОРІЧНІ ЗЛАКОВІ ТРАВИ (ТИП-8)</t>
  </si>
  <si>
    <t>Влаштування шару з родючого грунту, h=330 мм</t>
  </si>
  <si>
    <t>грунт родючий</t>
  </si>
  <si>
    <t>Улаштування газону посівного в гравійній засипці, h=50 мм</t>
  </si>
  <si>
    <t>ГАЗОН РУЛОННИЙ (ТИП-9)</t>
  </si>
  <si>
    <t>Влаштування піщаної основи, h=60 мм</t>
  </si>
  <si>
    <t>Влаштування шару з родючого грунту, h=330 см</t>
  </si>
  <si>
    <t>Улаштування газону рулонного, h=40 мм</t>
  </si>
  <si>
    <t>газон рулонний з травосуміші</t>
  </si>
  <si>
    <t>МУЛЬЧУВАННЯ ЩЕПОЮ (ТИП-10)</t>
  </si>
  <si>
    <t>Влаштування щебеневої основи, h=140 мм</t>
  </si>
  <si>
    <t>Влаштування основи з суміші гравію та родючого грунту, h=90 мм</t>
  </si>
  <si>
    <t>Влаштування шару з родючого грунту, h=150 см</t>
  </si>
  <si>
    <t>Мульчування під посадку кущів та багаторічних трав, h=50 см</t>
  </si>
  <si>
    <t>соснова кора фр. 10-30</t>
  </si>
  <si>
    <t>ПОКРИТТЯ ПО ПЛИТІ</t>
  </si>
  <si>
    <t>АСФАЛЬТ (ТИП-11)</t>
  </si>
  <si>
    <t>Влаштування щебеневої основи, h=70-110 см</t>
  </si>
  <si>
    <t>Влаштування щебеневої основи, h=40-50 мм</t>
  </si>
  <si>
    <t>ТРОТУАРНА ПЛИТКА (ТИП-12)</t>
  </si>
  <si>
    <t>Влаштування щебеневої основи, h=200 мм</t>
  </si>
  <si>
    <t>Влаштування шару з гравійного відсіву, h=50 мм</t>
  </si>
  <si>
    <t>геотекстиль термічно скріплений, щільність від 190 гр/м2</t>
  </si>
  <si>
    <t>ТРОТУАРНА ПЛИТКА (ТИП-13)</t>
  </si>
  <si>
    <t>Влаштування шару з піщано-гравійної суміші, h=50 мм</t>
  </si>
  <si>
    <t>піщано-гравійна суміш</t>
  </si>
  <si>
    <t xml:space="preserve">тротуарна плитка "Ковальська", лайнстоун-60 (платина), h=60 мм </t>
  </si>
  <si>
    <t>ГРАНІТНА БРУКІВКА (ТИП-14)</t>
  </si>
  <si>
    <t>Влаштування щебеневої основи, h=100-240 мм</t>
  </si>
  <si>
    <t>Влаштування шару з піщано-гравійної суміші, h=60 мм</t>
  </si>
  <si>
    <t>гранітна бруківка 50х50х50 - пилена (габбро)</t>
  </si>
  <si>
    <t>ДЕКІНГ (ТИП-15)</t>
  </si>
  <si>
    <t>Влаштування щебеневої основи, h=100-235 мм</t>
  </si>
  <si>
    <t>ГРАВІЙНИЙ ВІДСІВ (ТИП-16)</t>
  </si>
  <si>
    <t>Влаштування щебеневої основи, h=130-270 мм</t>
  </si>
  <si>
    <t>БЕТОН ЛИЦЬОВИЙ (ТИП-17)</t>
  </si>
  <si>
    <t>ПАРКУВАЛЬНА РЕШІТКА (ТИП-18)</t>
  </si>
  <si>
    <t>ПІСОК (ТИП-19)</t>
  </si>
  <si>
    <t>Влаштування щебеневої основи, h=50 мм</t>
  </si>
  <si>
    <t>Влаштування піщаного шару, h=300 мм</t>
  </si>
  <si>
    <t>РИЗИНОВА КРИХТА (ТИП-20)</t>
  </si>
  <si>
    <t>Влаштування залізобетонної плити, h=110 мм</t>
  </si>
  <si>
    <t>Шліфування залізобетонної плити</t>
  </si>
  <si>
    <t>Влаштування основи з резинової крихти, h=60мм</t>
  </si>
  <si>
    <t>резинова крихта "Playtop" RAL 3016</t>
  </si>
  <si>
    <t>резинова крихта "Playtop" RAL 1016</t>
  </si>
  <si>
    <t>поліуретановий клей</t>
  </si>
  <si>
    <t>Праймування поверхні</t>
  </si>
  <si>
    <t>праймер-грунтовка поліуретанова</t>
  </si>
  <si>
    <t>Влаштування гумового безшовного покриття, h=10мм</t>
  </si>
  <si>
    <t>ЕПДМ гранулят (фр. 1-3 мм)</t>
  </si>
  <si>
    <t>БАГАТОРІЧНІ ЗЛАКОВІ ТРАВИ (ТИП-21)</t>
  </si>
  <si>
    <t>Влаштування основи з субстрату для зеленого даху, h=300 мм</t>
  </si>
  <si>
    <t>субстрат для зеленого даху</t>
  </si>
  <si>
    <t>МУЛЬЧУВАННЯ ЩЕПОЮ (ТИП-21)</t>
  </si>
  <si>
    <t>ГАЗОН РУЛОННИЙ (ТИП-22)</t>
  </si>
  <si>
    <t>Влаштування щебеневої основи, h=160 мм</t>
  </si>
  <si>
    <t>Влаштування основи з субстрату для зеленого даху, h=150 мм</t>
  </si>
  <si>
    <t>БОРТОВІ ЕЛЕМЕНТИ</t>
  </si>
  <si>
    <t>БЕТОННИЙ БОРТ БР 100.30.15</t>
  </si>
  <si>
    <t>Влаштування щебеневої основи, h=250 мм</t>
  </si>
  <si>
    <t>Встановлювання бортового каменю БР 100х30х15 на бетонну основу</t>
  </si>
  <si>
    <t>БР 100х30х15</t>
  </si>
  <si>
    <t xml:space="preserve">бетон B7,5 Р2 </t>
  </si>
  <si>
    <t>Підрізання бортів (рахується по факту)</t>
  </si>
  <si>
    <t>ПОРЕБРИК БР 100.20.8</t>
  </si>
  <si>
    <t>Влаштування щебеневої основи, h=150 мм</t>
  </si>
  <si>
    <t>Встановлювання бортового каменю БР 100х20х8 на бетонну основу</t>
  </si>
  <si>
    <t>БР 100х20х8</t>
  </si>
  <si>
    <t>БОРДЮР СТАЛЕВИЙ (t=3мм)</t>
  </si>
  <si>
    <t>Влаштування щебеневої основи, h=130 мм</t>
  </si>
  <si>
    <t>щебінь фр. 10-20</t>
  </si>
  <si>
    <t>Встановлювання бордюра сталевого</t>
  </si>
  <si>
    <t>бордюр сталевий, t=3мм</t>
  </si>
  <si>
    <t>металевий кутик 50х50мм</t>
  </si>
  <si>
    <t>диск відрізний по металу</t>
  </si>
  <si>
    <t>Підрізання бордюрів (рахується по факту)</t>
  </si>
  <si>
    <t>БОРДЮР СТАЛЕВИЙ (t=5мм)</t>
  </si>
  <si>
    <t>Встановлювання бордюра сталевого на бетонну основу</t>
  </si>
  <si>
    <t>бордюр сталевий, t=5мм</t>
  </si>
  <si>
    <t>металевий кутик 100х100мм</t>
  </si>
  <si>
    <t>ПОСАДКА ДЕРЕВ ТА КУЩІВ</t>
  </si>
  <si>
    <t>Підготовка вручну місць для садіння дерев та кущів</t>
  </si>
  <si>
    <t>Посадка дерев</t>
  </si>
  <si>
    <t>дуб червоний (Quercus rubra)</t>
  </si>
  <si>
    <t>липа європейська (Tilia europaea)</t>
  </si>
  <si>
    <t>багряник японський (Cercidiphyllum japonicum)</t>
  </si>
  <si>
    <t>ліквідамбр смолоносний (Liquidambar slyracifiua)</t>
  </si>
  <si>
    <t>Посадка кущів</t>
  </si>
  <si>
    <t>туя Тедді (Thuja occidentalis Teddy)</t>
  </si>
  <si>
    <t>дерен білий (Cornus alba Sibirica)</t>
  </si>
  <si>
    <t>бузок звичайний (Syringa vuldaris Red Moscow)</t>
  </si>
  <si>
    <t>бузок пацинтовий (Eslher Slanley)</t>
  </si>
  <si>
    <t>бузок звичайний (Syringa vuldaris Sensation)</t>
  </si>
  <si>
    <t>бузок звичайний (Syringa vuldaris Buffon)</t>
  </si>
  <si>
    <t>Додаткові роботи</t>
  </si>
  <si>
    <t>Перевезення грунту до 30 км (рахується по факту згідно геодезичної зйомки)</t>
  </si>
  <si>
    <t>Разом Без ПДВ</t>
  </si>
  <si>
    <t>ПДВ</t>
  </si>
  <si>
    <t>Разом з ПДВ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</si>
</sst>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р_._-;\-* #,##0.00_р_._-;_-* &quot;-&quot;??_р_._-;_-@_-"/>
    <numFmt numFmtId="177" formatCode="_-* #,##0.00\ _₽_-;\-* #,##0.00\ _₽_-;_-* &quot;-&quot;??\ _₽_-;_-@_-"/>
    <numFmt numFmtId="178" formatCode="_ * #,##0_ ;_ * \-#,##0_ ;_ * &quot;-&quot;_ ;_ @_ "/>
  </numFmts>
  <fonts count="4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name val="Times New Roman"/>
      <charset val="204"/>
    </font>
    <font>
      <b/>
      <strike/>
      <sz val="10"/>
      <name val="Times New Roman"/>
      <charset val="204"/>
    </font>
    <font>
      <b/>
      <strike/>
      <sz val="10"/>
      <color theme="1"/>
      <name val="Times New Roman"/>
      <charset val="204"/>
    </font>
    <font>
      <sz val="12"/>
      <color theme="1"/>
      <name val="Times New Roman"/>
      <charset val="204"/>
    </font>
    <font>
      <i/>
      <sz val="12"/>
      <color theme="1"/>
      <name val="Times New Roman"/>
      <charset val="204"/>
    </font>
    <font>
      <sz val="10"/>
      <color rgb="FFFF0000"/>
      <name val="Times New Roman"/>
      <charset val="204"/>
    </font>
    <font>
      <b/>
      <sz val="12"/>
      <color theme="1"/>
      <name val="Times New Roman"/>
      <charset val="204"/>
    </font>
    <font>
      <b/>
      <sz val="16"/>
      <color theme="1"/>
      <name val="Times New Roman"/>
      <charset val="204"/>
    </font>
    <font>
      <b/>
      <i/>
      <sz val="14"/>
      <color theme="1"/>
      <name val="Times New Roman"/>
      <charset val="204"/>
    </font>
    <font>
      <b/>
      <sz val="12"/>
      <name val="Times New Roman"/>
      <charset val="204"/>
    </font>
    <font>
      <b/>
      <i/>
      <sz val="12"/>
      <color theme="1"/>
      <name val="Times New Roman"/>
      <charset val="204"/>
    </font>
    <font>
      <b/>
      <i/>
      <sz val="12"/>
      <name val="Times New Roman"/>
      <charset val="204"/>
    </font>
    <font>
      <i/>
      <sz val="12"/>
      <name val="Times New Roman"/>
      <charset val="204"/>
    </font>
    <font>
      <sz val="12"/>
      <name val="Times New Roman"/>
      <charset val="204"/>
    </font>
    <font>
      <sz val="12"/>
      <color rgb="FFFF0000"/>
      <name val="Times New Roman"/>
      <charset val="204"/>
    </font>
    <font>
      <b/>
      <i/>
      <strike/>
      <sz val="12"/>
      <name val="Times New Roman"/>
      <charset val="204"/>
    </font>
    <font>
      <b/>
      <i/>
      <sz val="12"/>
      <color rgb="FFFF0000"/>
      <name val="Times New Roman"/>
      <charset val="204"/>
    </font>
    <font>
      <b/>
      <strike/>
      <sz val="10"/>
      <color rgb="FFFF0000"/>
      <name val="Times New Roman"/>
      <charset val="204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70">
    <xf numFmtId="0" fontId="0" fillId="0" borderId="0"/>
    <xf numFmtId="0" fontId="28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8" fontId="34" fillId="0" borderId="0" applyFont="0" applyFill="0" applyBorder="0" applyAlignment="0" applyProtection="0">
      <alignment vertical="center"/>
    </xf>
    <xf numFmtId="0" fontId="27" fillId="0" borderId="0"/>
    <xf numFmtId="42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4" fillId="36" borderId="9" applyNumberFormat="0" applyFont="0" applyAlignment="0" applyProtection="0">
      <alignment vertical="center"/>
    </xf>
    <xf numFmtId="0" fontId="27" fillId="0" borderId="0"/>
    <xf numFmtId="0" fontId="35" fillId="0" borderId="0" applyNumberFormat="0" applyFill="0" applyBorder="0" applyAlignment="0" applyProtection="0">
      <alignment vertical="center"/>
    </xf>
    <xf numFmtId="0" fontId="29" fillId="0" borderId="0"/>
    <xf numFmtId="0" fontId="26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/>
    <xf numFmtId="0" fontId="28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0" borderId="0"/>
    <xf numFmtId="0" fontId="40" fillId="0" borderId="0" applyNumberFormat="0" applyFill="0" applyBorder="0" applyAlignment="0" applyProtection="0">
      <alignment vertical="center"/>
    </xf>
    <xf numFmtId="0" fontId="27" fillId="0" borderId="0"/>
    <xf numFmtId="0" fontId="23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37" borderId="4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7" fillId="0" borderId="0"/>
    <xf numFmtId="0" fontId="31" fillId="0" borderId="8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0" borderId="0"/>
    <xf numFmtId="0" fontId="28" fillId="33" borderId="0" applyNumberFormat="0" applyBorder="0" applyAlignment="0" applyProtection="0">
      <alignment vertical="center"/>
    </xf>
    <xf numFmtId="0" fontId="27" fillId="0" borderId="0"/>
    <xf numFmtId="0" fontId="29" fillId="0" borderId="0"/>
    <xf numFmtId="0" fontId="26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0" borderId="0"/>
    <xf numFmtId="0" fontId="26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0" borderId="0"/>
    <xf numFmtId="0" fontId="26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0" borderId="0"/>
    <xf numFmtId="0" fontId="26" fillId="25" borderId="0" applyNumberFormat="0" applyBorder="0" applyAlignment="0" applyProtection="0">
      <alignment vertical="center"/>
    </xf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7" fontId="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Fill="1"/>
    <xf numFmtId="4" fontId="2" fillId="2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3" fillId="3" borderId="0" xfId="0" applyNumberFormat="1" applyFont="1" applyFill="1" applyBorder="1" applyAlignment="1">
      <alignment horizontal="right"/>
    </xf>
    <xf numFmtId="0" fontId="4" fillId="3" borderId="0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2" fontId="6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7" fillId="0" borderId="0" xfId="0" applyFont="1" applyFill="1"/>
    <xf numFmtId="0" fontId="1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9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right" vertical="top"/>
    </xf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9" fillId="3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4" fontId="11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49" fontId="13" fillId="4" borderId="1" xfId="62" applyNumberFormat="1" applyFont="1" applyFill="1" applyBorder="1" applyAlignment="1" applyProtection="1">
      <alignment horizontal="center" vertical="center" wrapText="1"/>
    </xf>
    <xf numFmtId="2" fontId="13" fillId="4" borderId="1" xfId="62" applyNumberFormat="1" applyFont="1" applyFill="1" applyBorder="1" applyAlignment="1" applyProtection="1">
      <alignment horizontal="center" vertical="center" wrapText="1"/>
    </xf>
    <xf numFmtId="4" fontId="13" fillId="4" borderId="1" xfId="62" applyNumberFormat="1" applyFont="1" applyFill="1" applyBorder="1" applyAlignment="1" applyProtection="1">
      <alignment horizontal="center" vertical="center" wrapText="1"/>
    </xf>
    <xf numFmtId="4" fontId="13" fillId="4" borderId="1" xfId="62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/>
    </xf>
    <xf numFmtId="2" fontId="14" fillId="5" borderId="1" xfId="62" applyNumberFormat="1" applyFont="1" applyFill="1" applyBorder="1" applyAlignment="1" applyProtection="1">
      <alignment horizontal="right" vertical="center" wrapText="1"/>
    </xf>
    <xf numFmtId="4" fontId="14" fillId="5" borderId="1" xfId="62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/>
    </xf>
    <xf numFmtId="2" fontId="14" fillId="3" borderId="1" xfId="62" applyNumberFormat="1" applyFont="1" applyFill="1" applyBorder="1" applyAlignment="1" applyProtection="1">
      <alignment horizontal="right" vertical="center" wrapText="1"/>
    </xf>
    <xf numFmtId="4" fontId="14" fillId="3" borderId="1" xfId="62" applyNumberFormat="1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2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right"/>
    </xf>
    <xf numFmtId="177" fontId="15" fillId="0" borderId="1" xfId="2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2" fontId="14" fillId="0" borderId="1" xfId="62" applyNumberFormat="1" applyFont="1" applyFill="1" applyBorder="1" applyAlignment="1" applyProtection="1">
      <alignment horizontal="right" vertical="center" wrapText="1"/>
    </xf>
    <xf numFmtId="4" fontId="14" fillId="0" borderId="1" xfId="62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>
      <alignment horizontal="right"/>
    </xf>
    <xf numFmtId="4" fontId="11" fillId="4" borderId="1" xfId="62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Alignment="1">
      <alignment horizontal="right"/>
    </xf>
    <xf numFmtId="4" fontId="14" fillId="3" borderId="2" xfId="62" applyNumberFormat="1" applyFont="1" applyFill="1" applyBorder="1" applyAlignment="1" applyProtection="1">
      <alignment horizontal="right" vertical="center" wrapText="1"/>
    </xf>
    <xf numFmtId="4" fontId="14" fillId="0" borderId="2" xfId="62" applyNumberFormat="1" applyFont="1" applyFill="1" applyBorder="1" applyAlignment="1" applyProtection="1">
      <alignment horizontal="right" vertical="center" wrapText="1"/>
    </xf>
    <xf numFmtId="0" fontId="14" fillId="3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left" wrapText="1"/>
    </xf>
    <xf numFmtId="49" fontId="17" fillId="4" borderId="1" xfId="62" applyNumberFormat="1" applyFont="1" applyFill="1" applyBorder="1" applyAlignment="1" applyProtection="1">
      <alignment horizontal="center" vertical="center" wrapText="1"/>
    </xf>
    <xf numFmtId="4" fontId="13" fillId="4" borderId="1" xfId="0" applyNumberFormat="1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center"/>
    </xf>
    <xf numFmtId="2" fontId="17" fillId="4" borderId="1" xfId="62" applyNumberFormat="1" applyFont="1" applyFill="1" applyBorder="1" applyAlignment="1" applyProtection="1">
      <alignment horizontal="right" vertical="center" wrapText="1"/>
    </xf>
    <xf numFmtId="4" fontId="13" fillId="4" borderId="1" xfId="0" applyNumberFormat="1" applyFont="1" applyFill="1" applyBorder="1" applyAlignment="1" applyProtection="1">
      <alignment vertical="center" wrapText="1"/>
    </xf>
    <xf numFmtId="2" fontId="13" fillId="4" borderId="1" xfId="62" applyNumberFormat="1" applyFont="1" applyFill="1" applyBorder="1" applyAlignment="1" applyProtection="1">
      <alignment horizontal="right" vertical="center" wrapText="1"/>
    </xf>
    <xf numFmtId="4" fontId="17" fillId="4" borderId="1" xfId="0" applyNumberFormat="1" applyFont="1" applyFill="1" applyBorder="1" applyAlignment="1">
      <alignment horizontal="center"/>
    </xf>
    <xf numFmtId="4" fontId="13" fillId="4" borderId="1" xfId="62" applyNumberFormat="1" applyFont="1" applyFill="1" applyBorder="1" applyAlignment="1" applyProtection="1">
      <alignment horizontal="left" vertical="center" wrapText="1"/>
    </xf>
    <xf numFmtId="4" fontId="17" fillId="4" borderId="1" xfId="0" applyNumberFormat="1" applyFont="1" applyFill="1" applyBorder="1" applyAlignment="1">
      <alignment horizontal="center" wrapText="1"/>
    </xf>
    <xf numFmtId="4" fontId="17" fillId="4" borderId="1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/>
    <xf numFmtId="4" fontId="19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4" fillId="0" borderId="0" xfId="0" applyFont="1" applyFill="1" applyBorder="1"/>
  </cellXfs>
  <cellStyles count="70">
    <cellStyle name="Normal" xfId="0" builtinId="0"/>
    <cellStyle name="40% - Accent1" xfId="1" builtinId="31"/>
    <cellStyle name="Comma" xfId="2" builtinId="3"/>
    <cellStyle name="Comma [0]" xfId="3" builtinId="6"/>
    <cellStyle name="Обычный 3 2 2" xfId="4"/>
    <cellStyle name="Currency [0]" xfId="5" builtinId="7"/>
    <cellStyle name="Currency" xfId="6" builtinId="4"/>
    <cellStyle name="Percent" xfId="7" builtinId="5"/>
    <cellStyle name="Check Cell" xfId="8" builtinId="23"/>
    <cellStyle name="Heading 2" xfId="9" builtinId="17"/>
    <cellStyle name="Note" xfId="10" builtinId="10"/>
    <cellStyle name="Обычный 3 2 3" xfId="11"/>
    <cellStyle name="Hyperlink" xfId="12" builtinId="8"/>
    <cellStyle name="Обычный 2 2" xfId="13"/>
    <cellStyle name="60% - Accent4" xfId="14" builtinId="44"/>
    <cellStyle name="Followed Hyperlink" xfId="15" builtinId="9"/>
    <cellStyle name="Обычный 14" xfId="16"/>
    <cellStyle name="40% - Accent3" xfId="17" builtinId="39"/>
    <cellStyle name="Warning Text" xfId="18" builtinId="11"/>
    <cellStyle name="40% - Accent2" xfId="19" builtinId="35"/>
    <cellStyle name="Обычный 3 5" xfId="20"/>
    <cellStyle name="Title" xfId="21" builtinId="15"/>
    <cellStyle name="Обычный 3 2" xfId="22"/>
    <cellStyle name="CExplanatory Text" xfId="23" builtinId="53"/>
    <cellStyle name="Heading 1" xfId="24" builtinId="16"/>
    <cellStyle name="Heading 3" xfId="25" builtinId="18"/>
    <cellStyle name="Heading 4" xfId="26" builtinId="19"/>
    <cellStyle name="Input" xfId="27" builtinId="20"/>
    <cellStyle name="60% - Accent3" xfId="28" builtinId="40"/>
    <cellStyle name="Good" xfId="29" builtinId="26"/>
    <cellStyle name="Output" xfId="30" builtinId="21"/>
    <cellStyle name="20% - Accent1" xfId="31" builtinId="30"/>
    <cellStyle name="Calculation" xfId="32" builtinId="22"/>
    <cellStyle name="Linked Cell" xfId="33" builtinId="24"/>
    <cellStyle name="Обычный 3 3" xfId="34"/>
    <cellStyle name="Total" xfId="35" builtinId="25"/>
    <cellStyle name="Bad" xfId="36" builtinId="27"/>
    <cellStyle name="Neutral" xfId="37" builtinId="28"/>
    <cellStyle name="Accent1" xfId="38" builtinId="29"/>
    <cellStyle name="60% - Accent1" xfId="39" builtinId="32"/>
    <cellStyle name="Обычный 3 2 2 2" xfId="40"/>
    <cellStyle name="20% - Accent5" xfId="41" builtinId="46"/>
    <cellStyle name="Обычный 3 3 2 2" xfId="42"/>
    <cellStyle name="Обычный 2" xfId="43"/>
    <cellStyle name="Accent2" xfId="44" builtinId="33"/>
    <cellStyle name="20% - Accent2" xfId="45" builtinId="34"/>
    <cellStyle name="20% - Accent6" xfId="46" builtinId="50"/>
    <cellStyle name="60% - Accent2" xfId="47" builtinId="36"/>
    <cellStyle name="Обычный 3" xfId="48"/>
    <cellStyle name="Accent3" xfId="49" builtinId="37"/>
    <cellStyle name="20% - Accent3" xfId="50" builtinId="38"/>
    <cellStyle name="Accent4" xfId="51" builtinId="41"/>
    <cellStyle name="20% - Accent4" xfId="52" builtinId="42"/>
    <cellStyle name="40% - Accent4" xfId="53" builtinId="43"/>
    <cellStyle name="Accent5" xfId="54" builtinId="45"/>
    <cellStyle name="40% - Accent5" xfId="55" builtinId="47"/>
    <cellStyle name="Обычный 14 2 2" xfId="56"/>
    <cellStyle name="60% - Accent5" xfId="57" builtinId="48"/>
    <cellStyle name="Accent6" xfId="58" builtinId="49"/>
    <cellStyle name="40% - Accent6" xfId="59" builtinId="51"/>
    <cellStyle name="Обычный 2 4" xfId="60"/>
    <cellStyle name="60% - Accent6" xfId="61" builtinId="52"/>
    <cellStyle name="0,0_x000d__x000a_NA_x000d__x000a_" xfId="62"/>
    <cellStyle name="Обычный 14 2" xfId="63"/>
    <cellStyle name="Обычный 14 3" xfId="64"/>
    <cellStyle name="Обычный 3 3 2" xfId="65"/>
    <cellStyle name="Обычный 3 3 3" xfId="66"/>
    <cellStyle name="Обычный 3 4" xfId="67"/>
    <cellStyle name="Обычный 3 4 2" xfId="68"/>
    <cellStyle name="Финансовый 2" xfId="6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83"/>
  <sheetViews>
    <sheetView tabSelected="1" zoomScale="95" zoomScaleNormal="95" workbookViewId="0">
      <selection activeCell="B371" sqref="B371"/>
    </sheetView>
  </sheetViews>
  <sheetFormatPr defaultColWidth="9.33333333333333" defaultRowHeight="15.6"/>
  <cols>
    <col min="1" max="1" width="7.44444444444444" style="6" customWidth="1"/>
    <col min="2" max="2" width="89.3333333333333" style="7" customWidth="1"/>
    <col min="3" max="3" width="9.66666666666667" style="8" customWidth="1"/>
    <col min="4" max="4" width="14.5555555555556" style="9" customWidth="1"/>
    <col min="5" max="8" width="16.4444444444444" style="10" customWidth="1"/>
    <col min="9" max="9" width="29.6666666666667" style="10" customWidth="1"/>
    <col min="10" max="10" width="17.4444444444444" style="11" customWidth="1"/>
    <col min="11" max="25" width="9.33333333333333" style="1"/>
    <col min="26" max="16384" width="9.33333333333333" style="12"/>
  </cols>
  <sheetData>
    <row r="1" ht="18.75" customHeight="1" spans="1:9">
      <c r="A1" s="13"/>
      <c r="B1" s="13"/>
      <c r="C1" s="13"/>
      <c r="D1" s="13"/>
      <c r="E1" s="14"/>
      <c r="F1" s="14"/>
      <c r="G1" s="14"/>
      <c r="H1" s="14"/>
      <c r="I1" s="14"/>
    </row>
    <row r="2" s="1" customFormat="1" ht="18.75" customHeight="1" spans="1:10">
      <c r="A2" s="15"/>
      <c r="B2" s="15"/>
      <c r="C2" s="15"/>
      <c r="D2" s="15"/>
      <c r="E2" s="15"/>
      <c r="F2" s="15"/>
      <c r="G2" s="16"/>
      <c r="H2" s="16"/>
      <c r="I2" s="16"/>
      <c r="J2" s="11"/>
    </row>
    <row r="3" ht="18.75" customHeight="1" spans="1:9">
      <c r="A3" s="17"/>
      <c r="B3" s="17"/>
      <c r="C3" s="17"/>
      <c r="D3" s="18"/>
      <c r="E3" s="17"/>
      <c r="F3" s="17"/>
      <c r="G3" s="17"/>
      <c r="H3" s="17"/>
      <c r="I3" s="17"/>
    </row>
    <row r="4" ht="20.25" customHeight="1" spans="1:9">
      <c r="A4" s="19" t="s">
        <v>0</v>
      </c>
      <c r="B4" s="19"/>
      <c r="C4" s="19"/>
      <c r="D4" s="19"/>
      <c r="E4" s="19"/>
      <c r="F4" s="19"/>
      <c r="G4" s="19"/>
      <c r="H4" s="19"/>
      <c r="I4" s="19"/>
    </row>
    <row r="5" ht="22.5" customHeight="1" spans="1:9">
      <c r="A5" s="20" t="s">
        <v>1</v>
      </c>
      <c r="B5" s="20"/>
      <c r="C5" s="20"/>
      <c r="D5" s="20"/>
      <c r="E5" s="20"/>
      <c r="F5" s="20"/>
      <c r="G5" s="20"/>
      <c r="H5" s="20"/>
      <c r="I5" s="20"/>
    </row>
    <row r="6" ht="45" customHeight="1" spans="1:9">
      <c r="A6" s="20"/>
      <c r="B6" s="20"/>
      <c r="C6" s="20"/>
      <c r="D6" s="20"/>
      <c r="E6" s="20"/>
      <c r="F6" s="20"/>
      <c r="G6" s="20"/>
      <c r="H6" s="20"/>
      <c r="I6" s="20"/>
    </row>
    <row r="7" ht="15.75" customHeight="1" spans="1:9">
      <c r="A7" s="21"/>
      <c r="B7" s="22"/>
      <c r="C7" s="22"/>
      <c r="D7" s="22"/>
      <c r="E7" s="22"/>
      <c r="F7" s="22"/>
      <c r="G7" s="22"/>
      <c r="H7" s="22"/>
      <c r="I7" s="22"/>
    </row>
    <row r="8" ht="15.75" customHeight="1" spans="1:4">
      <c r="A8" s="21"/>
      <c r="B8" s="23"/>
      <c r="C8" s="23"/>
      <c r="D8" s="24"/>
    </row>
    <row r="9" ht="15" customHeight="1" spans="1:9">
      <c r="A9" s="25" t="s">
        <v>2</v>
      </c>
      <c r="B9" s="25" t="s">
        <v>3</v>
      </c>
      <c r="C9" s="26" t="s">
        <v>4</v>
      </c>
      <c r="D9" s="26" t="s">
        <v>5</v>
      </c>
      <c r="E9" s="27" t="s">
        <v>6</v>
      </c>
      <c r="F9" s="27"/>
      <c r="G9" s="28" t="s">
        <v>7</v>
      </c>
      <c r="H9" s="28"/>
      <c r="I9" s="51" t="s">
        <v>8</v>
      </c>
    </row>
    <row r="10" ht="19.5" customHeight="1" spans="1:9">
      <c r="A10" s="25"/>
      <c r="B10" s="25"/>
      <c r="C10" s="26"/>
      <c r="D10" s="26"/>
      <c r="E10" s="27"/>
      <c r="F10" s="27"/>
      <c r="G10" s="28"/>
      <c r="H10" s="28"/>
      <c r="I10" s="51"/>
    </row>
    <row r="11" ht="42.75" customHeight="1" spans="1:9">
      <c r="A11" s="25"/>
      <c r="B11" s="25"/>
      <c r="C11" s="26"/>
      <c r="D11" s="26"/>
      <c r="E11" s="27" t="s">
        <v>9</v>
      </c>
      <c r="F11" s="27" t="s">
        <v>10</v>
      </c>
      <c r="G11" s="27" t="s">
        <v>9</v>
      </c>
      <c r="H11" s="27" t="s">
        <v>10</v>
      </c>
      <c r="I11" s="51"/>
    </row>
    <row r="12" s="2" customFormat="1" ht="22.5" customHeight="1" outlineLevel="1" spans="1:25">
      <c r="A12" s="29"/>
      <c r="B12" s="30" t="s">
        <v>11</v>
      </c>
      <c r="C12" s="30"/>
      <c r="D12" s="31"/>
      <c r="E12" s="32"/>
      <c r="F12" s="33"/>
      <c r="G12" s="32"/>
      <c r="H12" s="33"/>
      <c r="I12" s="33"/>
      <c r="J12" s="5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="2" customFormat="1" outlineLevel="1" spans="1:25">
      <c r="A13" s="34">
        <v>1</v>
      </c>
      <c r="B13" s="35" t="s">
        <v>12</v>
      </c>
      <c r="C13" s="36" t="s">
        <v>13</v>
      </c>
      <c r="D13" s="37">
        <v>1034</v>
      </c>
      <c r="E13" s="38"/>
      <c r="F13" s="39"/>
      <c r="G13" s="38"/>
      <c r="H13" s="39"/>
      <c r="I13" s="39"/>
      <c r="J13" s="5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="2" customFormat="1" ht="15.75" customHeight="1" outlineLevel="1" spans="1:25">
      <c r="A14" s="40">
        <v>1</v>
      </c>
      <c r="B14" s="41" t="s">
        <v>14</v>
      </c>
      <c r="C14" s="42" t="s">
        <v>15</v>
      </c>
      <c r="D14" s="43">
        <f>D13*0.46</f>
        <v>475.64</v>
      </c>
      <c r="E14" s="38"/>
      <c r="F14" s="39"/>
      <c r="G14" s="38"/>
      <c r="H14" s="39"/>
      <c r="I14" s="39"/>
      <c r="J14" s="5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="2" customFormat="1" ht="15.75" customHeight="1" outlineLevel="1" spans="1:25">
      <c r="A15" s="40">
        <v>2</v>
      </c>
      <c r="B15" s="41" t="s">
        <v>16</v>
      </c>
      <c r="C15" s="42" t="s">
        <v>13</v>
      </c>
      <c r="D15" s="43">
        <f>D13</f>
        <v>1034</v>
      </c>
      <c r="E15" s="38"/>
      <c r="F15" s="39"/>
      <c r="G15" s="38"/>
      <c r="H15" s="39"/>
      <c r="I15" s="39"/>
      <c r="J15" s="5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="2" customFormat="1" outlineLevel="1" spans="1:25">
      <c r="A16" s="40">
        <v>3</v>
      </c>
      <c r="B16" s="44" t="s">
        <v>17</v>
      </c>
      <c r="C16" s="42" t="s">
        <v>15</v>
      </c>
      <c r="D16" s="43">
        <f>D13*0.25</f>
        <v>258.5</v>
      </c>
      <c r="E16" s="38"/>
      <c r="F16" s="39"/>
      <c r="G16" s="38"/>
      <c r="H16" s="39"/>
      <c r="I16" s="39"/>
      <c r="J16" s="5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="2" customFormat="1" outlineLevel="1" spans="1:25">
      <c r="A17" s="40"/>
      <c r="B17" s="45" t="s">
        <v>18</v>
      </c>
      <c r="C17" s="42" t="s">
        <v>19</v>
      </c>
      <c r="D17" s="46">
        <f>D16*1.26*1.62</f>
        <v>527.65</v>
      </c>
      <c r="E17" s="38"/>
      <c r="F17" s="39"/>
      <c r="G17" s="38"/>
      <c r="H17" s="39"/>
      <c r="I17" s="39"/>
      <c r="J17" s="5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="2" customFormat="1" outlineLevel="1" spans="1:25">
      <c r="A18" s="40">
        <v>4</v>
      </c>
      <c r="B18" s="44" t="s">
        <v>20</v>
      </c>
      <c r="C18" s="42" t="s">
        <v>15</v>
      </c>
      <c r="D18" s="43">
        <f>D13*0.1</f>
        <v>103.4</v>
      </c>
      <c r="E18" s="38"/>
      <c r="F18" s="39"/>
      <c r="G18" s="38"/>
      <c r="H18" s="39"/>
      <c r="I18" s="39"/>
      <c r="J18" s="5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="3" customFormat="1" outlineLevel="1" spans="1:10">
      <c r="A19" s="47"/>
      <c r="B19" s="45" t="s">
        <v>21</v>
      </c>
      <c r="C19" s="42" t="s">
        <v>19</v>
      </c>
      <c r="D19" s="46">
        <f>D18*1.26*1.62</f>
        <v>211.06</v>
      </c>
      <c r="E19" s="48"/>
      <c r="F19" s="49"/>
      <c r="G19" s="48"/>
      <c r="H19" s="49"/>
      <c r="I19" s="49"/>
      <c r="J19" s="52"/>
    </row>
    <row r="20" s="2" customFormat="1" ht="15.75" customHeight="1" outlineLevel="1" spans="1:25">
      <c r="A20" s="42">
        <v>5</v>
      </c>
      <c r="B20" s="44" t="s">
        <v>22</v>
      </c>
      <c r="C20" s="42" t="s">
        <v>13</v>
      </c>
      <c r="D20" s="43">
        <f>D13</f>
        <v>1034</v>
      </c>
      <c r="E20" s="38"/>
      <c r="F20" s="39"/>
      <c r="G20" s="48"/>
      <c r="H20" s="39"/>
      <c r="I20" s="39"/>
      <c r="J20" s="5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="2" customFormat="1" outlineLevel="1" spans="1:25">
      <c r="A21" s="40"/>
      <c r="B21" s="45" t="s">
        <v>23</v>
      </c>
      <c r="C21" s="42" t="s">
        <v>19</v>
      </c>
      <c r="D21" s="46">
        <f>D20*6*25/1000</f>
        <v>155.1</v>
      </c>
      <c r="E21" s="38"/>
      <c r="F21" s="39"/>
      <c r="G21" s="38"/>
      <c r="H21" s="39"/>
      <c r="I21" s="39"/>
      <c r="J21" s="5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="3" customFormat="1" outlineLevel="1" spans="1:10">
      <c r="A22" s="42">
        <v>6</v>
      </c>
      <c r="B22" s="44" t="s">
        <v>24</v>
      </c>
      <c r="C22" s="42" t="s">
        <v>13</v>
      </c>
      <c r="D22" s="43">
        <f>D20</f>
        <v>1034</v>
      </c>
      <c r="E22" s="48"/>
      <c r="F22" s="49"/>
      <c r="G22" s="48"/>
      <c r="H22" s="49"/>
      <c r="I22" s="49"/>
      <c r="J22" s="52"/>
    </row>
    <row r="23" s="3" customFormat="1" outlineLevel="1" spans="1:10">
      <c r="A23" s="40"/>
      <c r="B23" s="45" t="s">
        <v>25</v>
      </c>
      <c r="C23" s="42" t="s">
        <v>26</v>
      </c>
      <c r="D23" s="46">
        <f>D22*0.4</f>
        <v>413.6</v>
      </c>
      <c r="E23" s="48"/>
      <c r="F23" s="49"/>
      <c r="G23" s="48"/>
      <c r="H23" s="49"/>
      <c r="I23" s="49"/>
      <c r="J23" s="52"/>
    </row>
    <row r="24" s="2" customFormat="1" ht="15.75" customHeight="1" outlineLevel="1" spans="1:25">
      <c r="A24" s="42">
        <v>7</v>
      </c>
      <c r="B24" s="44" t="s">
        <v>27</v>
      </c>
      <c r="C24" s="42" t="s">
        <v>13</v>
      </c>
      <c r="D24" s="43">
        <f>D22</f>
        <v>1034</v>
      </c>
      <c r="E24" s="38"/>
      <c r="F24" s="39"/>
      <c r="G24" s="48"/>
      <c r="H24" s="39"/>
      <c r="I24" s="39"/>
      <c r="J24" s="5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="2" customFormat="1" outlineLevel="1" spans="1:25">
      <c r="A25" s="40"/>
      <c r="B25" s="45" t="s">
        <v>28</v>
      </c>
      <c r="C25" s="42" t="s">
        <v>19</v>
      </c>
      <c r="D25" s="46">
        <f>D24*5*25/1000</f>
        <v>129.25</v>
      </c>
      <c r="E25" s="38"/>
      <c r="F25" s="39"/>
      <c r="G25" s="38"/>
      <c r="H25" s="39"/>
      <c r="I25" s="39"/>
      <c r="J25" s="5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="2" customFormat="1" outlineLevel="1" spans="1:25">
      <c r="A26" s="34">
        <v>2</v>
      </c>
      <c r="B26" s="35" t="s">
        <v>29</v>
      </c>
      <c r="C26" s="36" t="s">
        <v>13</v>
      </c>
      <c r="D26" s="37">
        <f>442+215</f>
        <v>657</v>
      </c>
      <c r="E26" s="38"/>
      <c r="F26" s="39"/>
      <c r="G26" s="38"/>
      <c r="H26" s="39"/>
      <c r="I26" s="39"/>
      <c r="J26" s="5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="2" customFormat="1" ht="15.75" customHeight="1" outlineLevel="1" spans="1:25">
      <c r="A27" s="40">
        <v>1</v>
      </c>
      <c r="B27" s="41" t="s">
        <v>14</v>
      </c>
      <c r="C27" s="42" t="s">
        <v>15</v>
      </c>
      <c r="D27" s="43">
        <f>D26*0.41</f>
        <v>269.37</v>
      </c>
      <c r="E27" s="38"/>
      <c r="F27" s="39"/>
      <c r="G27" s="38"/>
      <c r="H27" s="39"/>
      <c r="I27" s="39"/>
      <c r="J27" s="5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="2" customFormat="1" ht="15.75" customHeight="1" outlineLevel="1" spans="1:25">
      <c r="A28" s="40">
        <v>2</v>
      </c>
      <c r="B28" s="41" t="s">
        <v>16</v>
      </c>
      <c r="C28" s="42" t="s">
        <v>13</v>
      </c>
      <c r="D28" s="43">
        <f>D26</f>
        <v>657</v>
      </c>
      <c r="E28" s="38"/>
      <c r="F28" s="39"/>
      <c r="G28" s="38"/>
      <c r="H28" s="39"/>
      <c r="I28" s="39"/>
      <c r="J28" s="5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="2" customFormat="1" outlineLevel="1" spans="1:25">
      <c r="A29" s="40">
        <v>3</v>
      </c>
      <c r="B29" s="44" t="s">
        <v>30</v>
      </c>
      <c r="C29" s="42" t="s">
        <v>15</v>
      </c>
      <c r="D29" s="43">
        <f>D26*0.18</f>
        <v>118.26</v>
      </c>
      <c r="E29" s="38"/>
      <c r="F29" s="39"/>
      <c r="G29" s="38"/>
      <c r="H29" s="39"/>
      <c r="I29" s="39"/>
      <c r="J29" s="5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="2" customFormat="1" outlineLevel="1" spans="1:25">
      <c r="A30" s="40"/>
      <c r="B30" s="45" t="s">
        <v>18</v>
      </c>
      <c r="C30" s="42" t="s">
        <v>19</v>
      </c>
      <c r="D30" s="46">
        <f>D29*1.26*1.62</f>
        <v>241.39</v>
      </c>
      <c r="E30" s="38"/>
      <c r="F30" s="39"/>
      <c r="G30" s="38"/>
      <c r="H30" s="39"/>
      <c r="I30" s="39"/>
      <c r="J30" s="5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="2" customFormat="1" outlineLevel="1" spans="1:25">
      <c r="A31" s="40">
        <v>4</v>
      </c>
      <c r="B31" s="44" t="s">
        <v>31</v>
      </c>
      <c r="C31" s="42" t="s">
        <v>13</v>
      </c>
      <c r="D31" s="43">
        <f>D26</f>
        <v>657</v>
      </c>
      <c r="E31" s="38"/>
      <c r="F31" s="39"/>
      <c r="G31" s="38"/>
      <c r="H31" s="39"/>
      <c r="I31" s="39"/>
      <c r="J31" s="5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="2" customFormat="1" outlineLevel="1" spans="1:25">
      <c r="A32" s="40"/>
      <c r="B32" s="45" t="s">
        <v>32</v>
      </c>
      <c r="C32" s="42" t="s">
        <v>13</v>
      </c>
      <c r="D32" s="46">
        <f>D31*1.1</f>
        <v>722.7</v>
      </c>
      <c r="E32" s="38"/>
      <c r="F32" s="39"/>
      <c r="G32" s="38"/>
      <c r="H32" s="39"/>
      <c r="I32" s="39"/>
      <c r="J32" s="5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="2" customFormat="1" outlineLevel="1" spans="1:25">
      <c r="A33" s="40">
        <v>5</v>
      </c>
      <c r="B33" s="44" t="s">
        <v>33</v>
      </c>
      <c r="C33" s="42" t="s">
        <v>13</v>
      </c>
      <c r="D33" s="43">
        <f>D28</f>
        <v>657</v>
      </c>
      <c r="E33" s="50"/>
      <c r="F33" s="48"/>
      <c r="G33" s="39"/>
      <c r="H33" s="39"/>
      <c r="I33" s="39"/>
      <c r="J33" s="5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="3" customFormat="1" outlineLevel="1" spans="1:10">
      <c r="A34" s="47"/>
      <c r="B34" s="45" t="s">
        <v>34</v>
      </c>
      <c r="C34" s="42" t="s">
        <v>13</v>
      </c>
      <c r="D34" s="46">
        <f>D33*1.1</f>
        <v>722.7</v>
      </c>
      <c r="E34" s="46"/>
      <c r="F34" s="48"/>
      <c r="G34" s="49"/>
      <c r="H34" s="48"/>
      <c r="I34" s="49"/>
      <c r="J34" s="54"/>
    </row>
    <row r="35" s="3" customFormat="1" outlineLevel="1" spans="1:10">
      <c r="A35" s="47"/>
      <c r="B35" s="45" t="s">
        <v>35</v>
      </c>
      <c r="C35" s="42" t="s">
        <v>36</v>
      </c>
      <c r="D35" s="46">
        <f>D33*4</f>
        <v>2628</v>
      </c>
      <c r="E35" s="46"/>
      <c r="F35" s="48"/>
      <c r="G35" s="49"/>
      <c r="H35" s="48"/>
      <c r="I35" s="49"/>
      <c r="J35" s="54"/>
    </row>
    <row r="36" s="3" customFormat="1" outlineLevel="1" spans="1:10">
      <c r="A36" s="47"/>
      <c r="B36" s="45" t="s">
        <v>37</v>
      </c>
      <c r="C36" s="42" t="s">
        <v>15</v>
      </c>
      <c r="D36" s="46">
        <f>D33*0.12*1.02</f>
        <v>80.42</v>
      </c>
      <c r="E36" s="46"/>
      <c r="F36" s="48"/>
      <c r="G36" s="49"/>
      <c r="H36" s="48"/>
      <c r="I36" s="49"/>
      <c r="J36" s="54"/>
    </row>
    <row r="37" s="2" customFormat="1" outlineLevel="1" spans="1:25">
      <c r="A37" s="40">
        <v>6</v>
      </c>
      <c r="B37" s="44" t="s">
        <v>38</v>
      </c>
      <c r="C37" s="42" t="s">
        <v>13</v>
      </c>
      <c r="D37" s="43">
        <f>D26</f>
        <v>657</v>
      </c>
      <c r="E37" s="38"/>
      <c r="F37" s="39"/>
      <c r="G37" s="38"/>
      <c r="H37" s="39"/>
      <c r="I37" s="39"/>
      <c r="J37" s="52"/>
      <c r="K37" s="5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="2" customFormat="1" outlineLevel="1" spans="1:25">
      <c r="A38" s="40"/>
      <c r="B38" s="45" t="s">
        <v>39</v>
      </c>
      <c r="C38" s="42" t="s">
        <v>15</v>
      </c>
      <c r="D38" s="43">
        <f>D37*0.05*1.1</f>
        <v>36.14</v>
      </c>
      <c r="E38" s="38"/>
      <c r="F38" s="39"/>
      <c r="G38" s="38"/>
      <c r="H38" s="39"/>
      <c r="I38" s="39"/>
      <c r="J38" s="5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="2" customFormat="1" outlineLevel="1" spans="1:25">
      <c r="A39" s="40">
        <v>7</v>
      </c>
      <c r="B39" s="44" t="s">
        <v>40</v>
      </c>
      <c r="C39" s="42" t="s">
        <v>13</v>
      </c>
      <c r="D39" s="43">
        <f>D37</f>
        <v>657</v>
      </c>
      <c r="E39" s="38"/>
      <c r="F39" s="39"/>
      <c r="G39" s="38"/>
      <c r="H39" s="39"/>
      <c r="I39" s="39"/>
      <c r="J39" s="5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="2" customFormat="1" outlineLevel="1" spans="1:25">
      <c r="A40" s="40"/>
      <c r="B40" s="45" t="s">
        <v>41</v>
      </c>
      <c r="C40" s="42" t="s">
        <v>13</v>
      </c>
      <c r="D40" s="46">
        <f>442*1.05</f>
        <v>464.1</v>
      </c>
      <c r="E40" s="48"/>
      <c r="F40" s="39"/>
      <c r="G40" s="38"/>
      <c r="H40" s="39"/>
      <c r="I40" s="39"/>
      <c r="J40" s="5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="2" customFormat="1" outlineLevel="1" spans="1:25">
      <c r="A41" s="40"/>
      <c r="B41" s="45" t="s">
        <v>42</v>
      </c>
      <c r="C41" s="42" t="s">
        <v>13</v>
      </c>
      <c r="D41" s="46">
        <f>215*1.05</f>
        <v>225.75</v>
      </c>
      <c r="E41" s="48"/>
      <c r="F41" s="39"/>
      <c r="G41" s="38"/>
      <c r="H41" s="39"/>
      <c r="I41" s="39"/>
      <c r="J41" s="5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="2" customFormat="1" outlineLevel="1" spans="1:25">
      <c r="A42" s="40"/>
      <c r="B42" s="45" t="s">
        <v>43</v>
      </c>
      <c r="C42" s="42" t="s">
        <v>19</v>
      </c>
      <c r="D42" s="46">
        <f>D39*0.0553*1.5</f>
        <v>54.5</v>
      </c>
      <c r="E42" s="38"/>
      <c r="F42" s="39"/>
      <c r="G42" s="38"/>
      <c r="H42" s="39"/>
      <c r="I42" s="39"/>
      <c r="J42" s="5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="2" customFormat="1" outlineLevel="1" spans="1:25">
      <c r="A43" s="40"/>
      <c r="B43" s="45" t="s">
        <v>44</v>
      </c>
      <c r="C43" s="42" t="s">
        <v>36</v>
      </c>
      <c r="D43" s="46">
        <f>ROUNDUP(D39*0.0085,0)</f>
        <v>6</v>
      </c>
      <c r="E43" s="48"/>
      <c r="F43" s="39"/>
      <c r="G43" s="38"/>
      <c r="H43" s="39"/>
      <c r="I43" s="39"/>
      <c r="J43" s="5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="2" customFormat="1" outlineLevel="1" spans="1:25">
      <c r="A44" s="40">
        <v>8</v>
      </c>
      <c r="B44" s="44" t="s">
        <v>45</v>
      </c>
      <c r="C44" s="42" t="s">
        <v>46</v>
      </c>
      <c r="D44" s="43">
        <v>1</v>
      </c>
      <c r="E44" s="38"/>
      <c r="F44" s="39"/>
      <c r="G44" s="38"/>
      <c r="H44" s="39"/>
      <c r="I44" s="39"/>
      <c r="J44" s="5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="2" customFormat="1" outlineLevel="1" spans="1:25">
      <c r="A45" s="34">
        <v>3</v>
      </c>
      <c r="B45" s="35" t="s">
        <v>47</v>
      </c>
      <c r="C45" s="36" t="s">
        <v>13</v>
      </c>
      <c r="D45" s="37">
        <v>484</v>
      </c>
      <c r="E45" s="38"/>
      <c r="F45" s="39"/>
      <c r="G45" s="38"/>
      <c r="H45" s="39"/>
      <c r="I45" s="39"/>
      <c r="J45" s="5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="2" customFormat="1" ht="15.75" customHeight="1" outlineLevel="1" spans="1:25">
      <c r="A46" s="40">
        <v>1</v>
      </c>
      <c r="B46" s="41" t="s">
        <v>14</v>
      </c>
      <c r="C46" s="42" t="s">
        <v>15</v>
      </c>
      <c r="D46" s="43">
        <f>D45*0.46</f>
        <v>222.64</v>
      </c>
      <c r="E46" s="38"/>
      <c r="F46" s="39"/>
      <c r="G46" s="38"/>
      <c r="H46" s="39"/>
      <c r="I46" s="39"/>
      <c r="J46" s="5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="2" customFormat="1" ht="15.75" customHeight="1" outlineLevel="1" spans="1:25">
      <c r="A47" s="40">
        <v>2</v>
      </c>
      <c r="B47" s="41" t="s">
        <v>16</v>
      </c>
      <c r="C47" s="42" t="s">
        <v>13</v>
      </c>
      <c r="D47" s="43">
        <f>D45</f>
        <v>484</v>
      </c>
      <c r="E47" s="38"/>
      <c r="F47" s="39"/>
      <c r="G47" s="38"/>
      <c r="H47" s="39"/>
      <c r="I47" s="39"/>
      <c r="J47" s="5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="2" customFormat="1" outlineLevel="1" spans="1:25">
      <c r="A48" s="40">
        <v>3</v>
      </c>
      <c r="B48" s="44" t="s">
        <v>48</v>
      </c>
      <c r="C48" s="42" t="s">
        <v>15</v>
      </c>
      <c r="D48" s="43">
        <f>D45*0.23</f>
        <v>111.32</v>
      </c>
      <c r="E48" s="38"/>
      <c r="F48" s="39"/>
      <c r="G48" s="38"/>
      <c r="H48" s="39"/>
      <c r="I48" s="39"/>
      <c r="J48" s="5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="2" customFormat="1" outlineLevel="1" spans="1:25">
      <c r="A49" s="40"/>
      <c r="B49" s="45" t="s">
        <v>18</v>
      </c>
      <c r="C49" s="42" t="s">
        <v>19</v>
      </c>
      <c r="D49" s="46">
        <f>D48*1.26*1.62</f>
        <v>227.23</v>
      </c>
      <c r="E49" s="38"/>
      <c r="F49" s="39"/>
      <c r="G49" s="38"/>
      <c r="H49" s="39"/>
      <c r="I49" s="39"/>
      <c r="J49" s="5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="2" customFormat="1" outlineLevel="1" spans="1:25">
      <c r="A50" s="40">
        <v>4</v>
      </c>
      <c r="B50" s="44" t="s">
        <v>31</v>
      </c>
      <c r="C50" s="42" t="s">
        <v>13</v>
      </c>
      <c r="D50" s="43">
        <f>D45</f>
        <v>484</v>
      </c>
      <c r="E50" s="38"/>
      <c r="F50" s="39"/>
      <c r="G50" s="38"/>
      <c r="H50" s="39"/>
      <c r="I50" s="39"/>
      <c r="J50" s="5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="2" customFormat="1" outlineLevel="1" spans="1:25">
      <c r="A51" s="40"/>
      <c r="B51" s="45" t="s">
        <v>32</v>
      </c>
      <c r="C51" s="42" t="s">
        <v>13</v>
      </c>
      <c r="D51" s="46">
        <f>D50*1.1</f>
        <v>532.4</v>
      </c>
      <c r="E51" s="38"/>
      <c r="F51" s="39"/>
      <c r="G51" s="38"/>
      <c r="H51" s="39"/>
      <c r="I51" s="39"/>
      <c r="J51" s="5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="2" customFormat="1" outlineLevel="1" spans="1:25">
      <c r="A52" s="40">
        <v>5</v>
      </c>
      <c r="B52" s="44" t="s">
        <v>33</v>
      </c>
      <c r="C52" s="42" t="s">
        <v>13</v>
      </c>
      <c r="D52" s="43">
        <f>D45</f>
        <v>484</v>
      </c>
      <c r="E52" s="50"/>
      <c r="F52" s="48"/>
      <c r="G52" s="39"/>
      <c r="H52" s="39"/>
      <c r="I52" s="39"/>
      <c r="J52" s="5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="3" customFormat="1" outlineLevel="1" spans="1:10">
      <c r="A53" s="47"/>
      <c r="B53" s="45" t="s">
        <v>34</v>
      </c>
      <c r="C53" s="42" t="s">
        <v>13</v>
      </c>
      <c r="D53" s="46">
        <f>D52*1.1</f>
        <v>532.4</v>
      </c>
      <c r="E53" s="46"/>
      <c r="F53" s="48"/>
      <c r="G53" s="49"/>
      <c r="H53" s="48"/>
      <c r="I53" s="49"/>
      <c r="J53" s="54"/>
    </row>
    <row r="54" s="3" customFormat="1" outlineLevel="1" spans="1:10">
      <c r="A54" s="47"/>
      <c r="B54" s="45" t="s">
        <v>35</v>
      </c>
      <c r="C54" s="42" t="s">
        <v>36</v>
      </c>
      <c r="D54" s="46">
        <f>D52*4</f>
        <v>1936</v>
      </c>
      <c r="E54" s="46"/>
      <c r="F54" s="48"/>
      <c r="G54" s="49"/>
      <c r="H54" s="48"/>
      <c r="I54" s="49"/>
      <c r="J54" s="54"/>
    </row>
    <row r="55" s="3" customFormat="1" outlineLevel="1" spans="1:10">
      <c r="A55" s="47"/>
      <c r="B55" s="45" t="s">
        <v>37</v>
      </c>
      <c r="C55" s="42" t="s">
        <v>15</v>
      </c>
      <c r="D55" s="46">
        <f>D52*0.12*1.02</f>
        <v>59.24</v>
      </c>
      <c r="E55" s="46"/>
      <c r="F55" s="48"/>
      <c r="G55" s="49"/>
      <c r="H55" s="48"/>
      <c r="I55" s="49"/>
      <c r="J55" s="54"/>
    </row>
    <row r="56" s="2" customFormat="1" outlineLevel="1" spans="1:25">
      <c r="A56" s="40">
        <v>6</v>
      </c>
      <c r="B56" s="44" t="s">
        <v>49</v>
      </c>
      <c r="C56" s="42" t="s">
        <v>13</v>
      </c>
      <c r="D56" s="43">
        <f>D45</f>
        <v>484</v>
      </c>
      <c r="E56" s="38"/>
      <c r="F56" s="39"/>
      <c r="G56" s="38"/>
      <c r="H56" s="39"/>
      <c r="I56" s="39"/>
      <c r="J56" s="52"/>
      <c r="K56" s="5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="2" customFormat="1" outlineLevel="1" spans="1:25">
      <c r="A57" s="40"/>
      <c r="B57" s="45" t="s">
        <v>39</v>
      </c>
      <c r="C57" s="42" t="s">
        <v>15</v>
      </c>
      <c r="D57" s="43">
        <f>D56*0.06*1.1</f>
        <v>31.94</v>
      </c>
      <c r="E57" s="38"/>
      <c r="F57" s="39"/>
      <c r="G57" s="38"/>
      <c r="H57" s="39"/>
      <c r="I57" s="39"/>
      <c r="J57" s="52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="2" customFormat="1" outlineLevel="1" spans="1:25">
      <c r="A58" s="40">
        <v>7</v>
      </c>
      <c r="B58" s="44" t="s">
        <v>50</v>
      </c>
      <c r="C58" s="42" t="s">
        <v>13</v>
      </c>
      <c r="D58" s="43">
        <f>D56</f>
        <v>484</v>
      </c>
      <c r="E58" s="38"/>
      <c r="F58" s="39"/>
      <c r="G58" s="38"/>
      <c r="H58" s="39"/>
      <c r="I58" s="39"/>
      <c r="J58" s="52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="2" customFormat="1" outlineLevel="1" spans="1:25">
      <c r="A59" s="40"/>
      <c r="B59" s="45" t="s">
        <v>51</v>
      </c>
      <c r="C59" s="42" t="s">
        <v>13</v>
      </c>
      <c r="D59" s="46">
        <f>D58*1.05</f>
        <v>508.2</v>
      </c>
      <c r="E59" s="48"/>
      <c r="F59" s="39"/>
      <c r="G59" s="38"/>
      <c r="H59" s="39"/>
      <c r="I59" s="39"/>
      <c r="J59" s="5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="2" customFormat="1" outlineLevel="1" spans="1:25">
      <c r="A60" s="40"/>
      <c r="B60" s="45" t="s">
        <v>43</v>
      </c>
      <c r="C60" s="42" t="s">
        <v>19</v>
      </c>
      <c r="D60" s="46">
        <f>D58*0.0553*1.5</f>
        <v>40.15</v>
      </c>
      <c r="E60" s="38"/>
      <c r="F60" s="39"/>
      <c r="G60" s="38"/>
      <c r="H60" s="39"/>
      <c r="I60" s="39"/>
      <c r="J60" s="5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="2" customFormat="1" outlineLevel="1" spans="1:25">
      <c r="A61" s="40"/>
      <c r="B61" s="45" t="s">
        <v>44</v>
      </c>
      <c r="C61" s="42" t="s">
        <v>36</v>
      </c>
      <c r="D61" s="46">
        <f>ROUNDUP(D58*0.0085,0)</f>
        <v>5</v>
      </c>
      <c r="E61" s="48"/>
      <c r="F61" s="39"/>
      <c r="G61" s="38"/>
      <c r="H61" s="39"/>
      <c r="I61" s="39"/>
      <c r="J61" s="52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="2" customFormat="1" outlineLevel="1" spans="1:25">
      <c r="A62" s="40">
        <v>8</v>
      </c>
      <c r="B62" s="44" t="s">
        <v>45</v>
      </c>
      <c r="C62" s="42" t="s">
        <v>46</v>
      </c>
      <c r="D62" s="43">
        <v>1</v>
      </c>
      <c r="E62" s="38"/>
      <c r="F62" s="39"/>
      <c r="G62" s="38"/>
      <c r="H62" s="39"/>
      <c r="I62" s="39"/>
      <c r="J62" s="52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="2" customFormat="1" outlineLevel="1" spans="1:25">
      <c r="A63" s="34">
        <v>4</v>
      </c>
      <c r="B63" s="35" t="s">
        <v>52</v>
      </c>
      <c r="C63" s="36" t="s">
        <v>13</v>
      </c>
      <c r="D63" s="37">
        <v>25</v>
      </c>
      <c r="E63" s="38"/>
      <c r="F63" s="39"/>
      <c r="G63" s="38"/>
      <c r="H63" s="39"/>
      <c r="I63" s="39"/>
      <c r="J63" s="52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="2" customFormat="1" ht="15.75" customHeight="1" outlineLevel="1" spans="1:25">
      <c r="A64" s="40">
        <v>1</v>
      </c>
      <c r="B64" s="41" t="s">
        <v>14</v>
      </c>
      <c r="C64" s="42" t="s">
        <v>15</v>
      </c>
      <c r="D64" s="43">
        <f>D63*0.42</f>
        <v>10.5</v>
      </c>
      <c r="E64" s="38"/>
      <c r="F64" s="39"/>
      <c r="G64" s="38"/>
      <c r="H64" s="39"/>
      <c r="I64" s="39"/>
      <c r="J64" s="52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="2" customFormat="1" ht="15.75" customHeight="1" outlineLevel="1" spans="1:25">
      <c r="A65" s="40">
        <v>2</v>
      </c>
      <c r="B65" s="41" t="s">
        <v>16</v>
      </c>
      <c r="C65" s="42" t="s">
        <v>13</v>
      </c>
      <c r="D65" s="43">
        <f>D63</f>
        <v>25</v>
      </c>
      <c r="E65" s="38"/>
      <c r="F65" s="39"/>
      <c r="G65" s="38"/>
      <c r="H65" s="39"/>
      <c r="I65" s="39"/>
      <c r="J65" s="5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="2" customFormat="1" outlineLevel="1" spans="1:25">
      <c r="A66" s="40">
        <v>3</v>
      </c>
      <c r="B66" s="44" t="s">
        <v>53</v>
      </c>
      <c r="C66" s="42" t="s">
        <v>13</v>
      </c>
      <c r="D66" s="43">
        <f>D63</f>
        <v>25</v>
      </c>
      <c r="E66" s="38"/>
      <c r="F66" s="39"/>
      <c r="G66" s="38"/>
      <c r="H66" s="39"/>
      <c r="I66" s="39"/>
      <c r="J66" s="5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="2" customFormat="1" outlineLevel="1" spans="1:25">
      <c r="A67" s="40"/>
      <c r="B67" s="45" t="s">
        <v>54</v>
      </c>
      <c r="C67" s="42" t="s">
        <v>13</v>
      </c>
      <c r="D67" s="46">
        <f>D66*1.1</f>
        <v>27.5</v>
      </c>
      <c r="E67" s="38"/>
      <c r="F67" s="39"/>
      <c r="G67" s="38"/>
      <c r="H67" s="39"/>
      <c r="I67" s="39"/>
      <c r="J67" s="52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="2" customFormat="1" outlineLevel="1" spans="1:25">
      <c r="A68" s="40">
        <v>4</v>
      </c>
      <c r="B68" s="44" t="s">
        <v>55</v>
      </c>
      <c r="C68" s="42" t="s">
        <v>15</v>
      </c>
      <c r="D68" s="43">
        <f>D63*0.345</f>
        <v>8.63</v>
      </c>
      <c r="E68" s="38"/>
      <c r="F68" s="39"/>
      <c r="G68" s="38"/>
      <c r="H68" s="39"/>
      <c r="I68" s="39"/>
      <c r="J68" s="52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="2" customFormat="1" outlineLevel="1" spans="1:25">
      <c r="A69" s="40"/>
      <c r="B69" s="45" t="s">
        <v>18</v>
      </c>
      <c r="C69" s="42" t="s">
        <v>19</v>
      </c>
      <c r="D69" s="46">
        <f>D68*1.26*1.62</f>
        <v>17.62</v>
      </c>
      <c r="E69" s="38"/>
      <c r="F69" s="39"/>
      <c r="G69" s="38"/>
      <c r="H69" s="39"/>
      <c r="I69" s="39"/>
      <c r="J69" s="52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="2" customFormat="1" outlineLevel="1" spans="1:25">
      <c r="A70" s="40">
        <v>5</v>
      </c>
      <c r="B70" s="44" t="s">
        <v>56</v>
      </c>
      <c r="C70" s="42" t="s">
        <v>13</v>
      </c>
      <c r="D70" s="43">
        <f>D63</f>
        <v>25</v>
      </c>
      <c r="E70" s="38"/>
      <c r="F70" s="39"/>
      <c r="G70" s="38"/>
      <c r="H70" s="39"/>
      <c r="I70" s="39"/>
      <c r="J70" s="5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="2" customFormat="1" outlineLevel="1" spans="1:25">
      <c r="A71" s="40"/>
      <c r="B71" s="45" t="s">
        <v>57</v>
      </c>
      <c r="C71" s="42" t="s">
        <v>13</v>
      </c>
      <c r="D71" s="46">
        <f>D63*1.05</f>
        <v>26.25</v>
      </c>
      <c r="E71" s="48"/>
      <c r="F71" s="39"/>
      <c r="G71" s="38"/>
      <c r="H71" s="39"/>
      <c r="I71" s="39"/>
      <c r="J71" s="52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="2" customFormat="1" outlineLevel="1" spans="1:25">
      <c r="A72" s="40"/>
      <c r="B72" s="45" t="s">
        <v>43</v>
      </c>
      <c r="C72" s="42" t="s">
        <v>19</v>
      </c>
      <c r="D72" s="46">
        <f>D70*0.0553*1.5</f>
        <v>2.07</v>
      </c>
      <c r="E72" s="38"/>
      <c r="F72" s="39"/>
      <c r="G72" s="38"/>
      <c r="H72" s="39"/>
      <c r="I72" s="39"/>
      <c r="J72" s="5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="2" customFormat="1" outlineLevel="1" spans="1:25">
      <c r="A73" s="40"/>
      <c r="B73" s="45" t="s">
        <v>44</v>
      </c>
      <c r="C73" s="42" t="s">
        <v>36</v>
      </c>
      <c r="D73" s="46">
        <f>ROUNDUP(D70*0.0085,0)</f>
        <v>1</v>
      </c>
      <c r="E73" s="48"/>
      <c r="F73" s="39"/>
      <c r="G73" s="38"/>
      <c r="H73" s="39"/>
      <c r="I73" s="39"/>
      <c r="J73" s="52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="2" customFormat="1" outlineLevel="1" spans="1:25">
      <c r="A74" s="40">
        <v>6</v>
      </c>
      <c r="B74" s="44" t="s">
        <v>58</v>
      </c>
      <c r="C74" s="42" t="s">
        <v>13</v>
      </c>
      <c r="D74" s="43">
        <f>D63</f>
        <v>25</v>
      </c>
      <c r="E74" s="38"/>
      <c r="F74" s="39"/>
      <c r="G74" s="38"/>
      <c r="H74" s="39"/>
      <c r="I74" s="39"/>
      <c r="J74" s="5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="2" customFormat="1" outlineLevel="1" spans="1:25">
      <c r="A75" s="40"/>
      <c r="B75" s="45" t="s">
        <v>59</v>
      </c>
      <c r="C75" s="42" t="s">
        <v>46</v>
      </c>
      <c r="D75" s="46">
        <f>11.74/0.5*3.34*1.1</f>
        <v>86.27</v>
      </c>
      <c r="E75" s="48"/>
      <c r="F75" s="39"/>
      <c r="G75" s="38"/>
      <c r="H75" s="39"/>
      <c r="I75" s="39"/>
      <c r="J75" s="5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="2" customFormat="1" outlineLevel="1" spans="1:25">
      <c r="A76" s="40"/>
      <c r="B76" s="45" t="s">
        <v>60</v>
      </c>
      <c r="C76" s="42" t="s">
        <v>13</v>
      </c>
      <c r="D76" s="46">
        <f>D74*1.05</f>
        <v>26.25</v>
      </c>
      <c r="E76" s="38"/>
      <c r="F76" s="39"/>
      <c r="G76" s="38"/>
      <c r="H76" s="39"/>
      <c r="I76" s="39"/>
      <c r="J76" s="52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="2" customFormat="1" outlineLevel="1" spans="1:25">
      <c r="A77" s="34">
        <v>5</v>
      </c>
      <c r="B77" s="35" t="s">
        <v>61</v>
      </c>
      <c r="C77" s="36" t="s">
        <v>13</v>
      </c>
      <c r="D77" s="37">
        <v>111</v>
      </c>
      <c r="E77" s="38"/>
      <c r="F77" s="39"/>
      <c r="G77" s="38"/>
      <c r="H77" s="39"/>
      <c r="I77" s="39"/>
      <c r="J77" s="52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="2" customFormat="1" ht="15.75" customHeight="1" outlineLevel="1" spans="1:25">
      <c r="A78" s="40">
        <v>1</v>
      </c>
      <c r="B78" s="41" t="s">
        <v>14</v>
      </c>
      <c r="C78" s="42" t="s">
        <v>15</v>
      </c>
      <c r="D78" s="43">
        <f>D77*0.46</f>
        <v>51.06</v>
      </c>
      <c r="E78" s="38"/>
      <c r="F78" s="39"/>
      <c r="G78" s="38"/>
      <c r="H78" s="39"/>
      <c r="I78" s="39"/>
      <c r="J78" s="52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="2" customFormat="1" ht="15.75" customHeight="1" outlineLevel="1" spans="1:25">
      <c r="A79" s="40">
        <v>2</v>
      </c>
      <c r="B79" s="41" t="s">
        <v>16</v>
      </c>
      <c r="C79" s="42" t="s">
        <v>13</v>
      </c>
      <c r="D79" s="43">
        <f>D77</f>
        <v>111</v>
      </c>
      <c r="E79" s="38"/>
      <c r="F79" s="39"/>
      <c r="G79" s="38"/>
      <c r="H79" s="39"/>
      <c r="I79" s="39"/>
      <c r="J79" s="52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="2" customFormat="1" outlineLevel="1" spans="1:25">
      <c r="A80" s="40">
        <v>3</v>
      </c>
      <c r="B80" s="41" t="s">
        <v>62</v>
      </c>
      <c r="C80" s="42" t="s">
        <v>15</v>
      </c>
      <c r="D80" s="43">
        <f>D77*0.05</f>
        <v>5.55</v>
      </c>
      <c r="E80" s="38"/>
      <c r="F80" s="39"/>
      <c r="G80" s="38"/>
      <c r="H80" s="39"/>
      <c r="I80" s="39"/>
      <c r="J80" s="52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="2" customFormat="1" outlineLevel="1" spans="1:25">
      <c r="A81" s="40"/>
      <c r="B81" s="55" t="s">
        <v>63</v>
      </c>
      <c r="C81" s="42" t="s">
        <v>19</v>
      </c>
      <c r="D81" s="46">
        <f>D80*1.1*1.5</f>
        <v>9.16</v>
      </c>
      <c r="E81" s="38"/>
      <c r="F81" s="39"/>
      <c r="G81" s="38"/>
      <c r="H81" s="39"/>
      <c r="I81" s="39"/>
      <c r="J81" s="52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="2" customFormat="1" outlineLevel="1" spans="1:25">
      <c r="A82" s="40">
        <v>4</v>
      </c>
      <c r="B82" s="44" t="s">
        <v>53</v>
      </c>
      <c r="C82" s="42" t="s">
        <v>13</v>
      </c>
      <c r="D82" s="43">
        <f>D77</f>
        <v>111</v>
      </c>
      <c r="E82" s="38"/>
      <c r="F82" s="39"/>
      <c r="G82" s="38"/>
      <c r="H82" s="39"/>
      <c r="I82" s="39"/>
      <c r="J82" s="52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="2" customFormat="1" outlineLevel="1" spans="1:25">
      <c r="A83" s="40"/>
      <c r="B83" s="45" t="s">
        <v>64</v>
      </c>
      <c r="C83" s="42" t="s">
        <v>13</v>
      </c>
      <c r="D83" s="46">
        <f>D82*1.1</f>
        <v>122.1</v>
      </c>
      <c r="E83" s="38"/>
      <c r="F83" s="39"/>
      <c r="G83" s="38"/>
      <c r="H83" s="39"/>
      <c r="I83" s="39"/>
      <c r="J83" s="5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="2" customFormat="1" outlineLevel="1" spans="1:25">
      <c r="A84" s="40">
        <v>5</v>
      </c>
      <c r="B84" s="44" t="s">
        <v>65</v>
      </c>
      <c r="C84" s="42" t="s">
        <v>15</v>
      </c>
      <c r="D84" s="43">
        <f>D77*0.33</f>
        <v>36.63</v>
      </c>
      <c r="E84" s="38"/>
      <c r="F84" s="39"/>
      <c r="G84" s="38"/>
      <c r="H84" s="39"/>
      <c r="I84" s="39"/>
      <c r="J84" s="52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="2" customFormat="1" outlineLevel="1" spans="1:25">
      <c r="A85" s="40"/>
      <c r="B85" s="45" t="s">
        <v>18</v>
      </c>
      <c r="C85" s="42" t="s">
        <v>19</v>
      </c>
      <c r="D85" s="46">
        <f>D84*1.26*1.62</f>
        <v>74.77</v>
      </c>
      <c r="E85" s="38"/>
      <c r="F85" s="39"/>
      <c r="G85" s="38"/>
      <c r="H85" s="39"/>
      <c r="I85" s="39"/>
      <c r="J85" s="52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="2" customFormat="1" outlineLevel="1" spans="1:25">
      <c r="A86" s="40">
        <v>6</v>
      </c>
      <c r="B86" s="44" t="s">
        <v>66</v>
      </c>
      <c r="C86" s="42" t="s">
        <v>13</v>
      </c>
      <c r="D86" s="43">
        <f>D77</f>
        <v>111</v>
      </c>
      <c r="E86" s="38"/>
      <c r="F86" s="39"/>
      <c r="G86" s="38"/>
      <c r="H86" s="39"/>
      <c r="I86" s="39"/>
      <c r="J86" s="52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="2" customFormat="1" outlineLevel="1" spans="1:25">
      <c r="A87" s="40"/>
      <c r="B87" s="45" t="s">
        <v>67</v>
      </c>
      <c r="C87" s="42" t="s">
        <v>13</v>
      </c>
      <c r="D87" s="46">
        <f>D86*1.1</f>
        <v>122.1</v>
      </c>
      <c r="E87" s="38"/>
      <c r="F87" s="39"/>
      <c r="G87" s="38"/>
      <c r="H87" s="39"/>
      <c r="I87" s="39"/>
      <c r="J87" s="52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="2" customFormat="1" outlineLevel="1" spans="1:25">
      <c r="A88" s="40"/>
      <c r="B88" s="45" t="s">
        <v>68</v>
      </c>
      <c r="C88" s="42" t="s">
        <v>19</v>
      </c>
      <c r="D88" s="46">
        <f>D86*0.07*1.26*1.59</f>
        <v>15.57</v>
      </c>
      <c r="E88" s="38"/>
      <c r="F88" s="39"/>
      <c r="G88" s="38"/>
      <c r="H88" s="39"/>
      <c r="I88" s="39"/>
      <c r="J88" s="52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="2" customFormat="1" outlineLevel="1" spans="1:25">
      <c r="A89" s="40">
        <v>7</v>
      </c>
      <c r="B89" s="44" t="s">
        <v>69</v>
      </c>
      <c r="C89" s="42" t="s">
        <v>13</v>
      </c>
      <c r="D89" s="43">
        <f>D77</f>
        <v>111</v>
      </c>
      <c r="E89" s="38"/>
      <c r="F89" s="39"/>
      <c r="G89" s="38"/>
      <c r="H89" s="39"/>
      <c r="I89" s="39"/>
      <c r="J89" s="52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="2" customFormat="1" outlineLevel="1" spans="1:25">
      <c r="A90" s="40"/>
      <c r="B90" s="45" t="s">
        <v>68</v>
      </c>
      <c r="C90" s="42" t="s">
        <v>19</v>
      </c>
      <c r="D90" s="46">
        <f>D89*0.01*1.26*1.59</f>
        <v>2.22</v>
      </c>
      <c r="E90" s="38"/>
      <c r="F90" s="39"/>
      <c r="G90" s="38"/>
      <c r="H90" s="39"/>
      <c r="I90" s="39"/>
      <c r="J90" s="52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="2" customFormat="1" outlineLevel="1" spans="1:25">
      <c r="A91" s="34">
        <v>6</v>
      </c>
      <c r="B91" s="35" t="s">
        <v>70</v>
      </c>
      <c r="C91" s="36" t="s">
        <v>13</v>
      </c>
      <c r="D91" s="37">
        <v>185</v>
      </c>
      <c r="E91" s="38"/>
      <c r="F91" s="39"/>
      <c r="G91" s="38"/>
      <c r="H91" s="39"/>
      <c r="I91" s="39"/>
      <c r="J91" s="52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="2" customFormat="1" ht="15.75" customHeight="1" outlineLevel="1" spans="1:25">
      <c r="A92" s="40">
        <v>1</v>
      </c>
      <c r="B92" s="41" t="s">
        <v>14</v>
      </c>
      <c r="C92" s="42" t="s">
        <v>15</v>
      </c>
      <c r="D92" s="43">
        <f>D91*0.46</f>
        <v>85.1</v>
      </c>
      <c r="E92" s="38"/>
      <c r="F92" s="39"/>
      <c r="G92" s="38"/>
      <c r="H92" s="39"/>
      <c r="I92" s="39"/>
      <c r="J92" s="52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="2" customFormat="1" ht="15.75" customHeight="1" outlineLevel="1" spans="1:25">
      <c r="A93" s="40">
        <v>2</v>
      </c>
      <c r="B93" s="41" t="s">
        <v>16</v>
      </c>
      <c r="C93" s="42" t="s">
        <v>13</v>
      </c>
      <c r="D93" s="43">
        <f>D91</f>
        <v>185</v>
      </c>
      <c r="E93" s="38"/>
      <c r="F93" s="39"/>
      <c r="G93" s="38"/>
      <c r="H93" s="39"/>
      <c r="I93" s="39"/>
      <c r="J93" s="52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="2" customFormat="1" outlineLevel="1" spans="1:25">
      <c r="A94" s="40">
        <v>3</v>
      </c>
      <c r="B94" s="44" t="s">
        <v>71</v>
      </c>
      <c r="C94" s="42" t="s">
        <v>15</v>
      </c>
      <c r="D94" s="43">
        <f>D91*0.29</f>
        <v>53.65</v>
      </c>
      <c r="E94" s="38"/>
      <c r="F94" s="39"/>
      <c r="G94" s="38"/>
      <c r="H94" s="39"/>
      <c r="I94" s="39"/>
      <c r="J94" s="52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="2" customFormat="1" outlineLevel="1" spans="1:25">
      <c r="A95" s="40"/>
      <c r="B95" s="45" t="s">
        <v>72</v>
      </c>
      <c r="C95" s="42" t="s">
        <v>19</v>
      </c>
      <c r="D95" s="46">
        <f>D94*1.26*1.48</f>
        <v>100.05</v>
      </c>
      <c r="E95" s="38"/>
      <c r="F95" s="39"/>
      <c r="G95" s="38"/>
      <c r="H95" s="39"/>
      <c r="I95" s="39"/>
      <c r="J95" s="52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="2" customFormat="1" outlineLevel="1" spans="1:25">
      <c r="A96" s="40">
        <v>4</v>
      </c>
      <c r="B96" s="44" t="s">
        <v>31</v>
      </c>
      <c r="C96" s="42" t="s">
        <v>13</v>
      </c>
      <c r="D96" s="43">
        <f>D91</f>
        <v>185</v>
      </c>
      <c r="E96" s="38"/>
      <c r="F96" s="39"/>
      <c r="G96" s="38"/>
      <c r="H96" s="39"/>
      <c r="I96" s="39"/>
      <c r="J96" s="52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="2" customFormat="1" outlineLevel="1" spans="1:25">
      <c r="A97" s="40"/>
      <c r="B97" s="45" t="s">
        <v>32</v>
      </c>
      <c r="C97" s="42" t="s">
        <v>13</v>
      </c>
      <c r="D97" s="46">
        <f>D96*1.1</f>
        <v>203.5</v>
      </c>
      <c r="E97" s="38"/>
      <c r="F97" s="39"/>
      <c r="G97" s="38"/>
      <c r="H97" s="39"/>
      <c r="I97" s="39"/>
      <c r="J97" s="52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="3" customFormat="1" outlineLevel="1" spans="1:10">
      <c r="A98" s="40">
        <v>5</v>
      </c>
      <c r="B98" s="44" t="s">
        <v>33</v>
      </c>
      <c r="C98" s="42" t="s">
        <v>13</v>
      </c>
      <c r="D98" s="43">
        <f>D91</f>
        <v>185</v>
      </c>
      <c r="E98" s="50"/>
      <c r="F98" s="48"/>
      <c r="G98" s="49"/>
      <c r="H98" s="49"/>
      <c r="I98" s="49"/>
      <c r="J98" s="54"/>
    </row>
    <row r="99" s="3" customFormat="1" outlineLevel="1" spans="1:10">
      <c r="A99" s="47"/>
      <c r="B99" s="45" t="s">
        <v>34</v>
      </c>
      <c r="C99" s="42" t="s">
        <v>13</v>
      </c>
      <c r="D99" s="46">
        <f>D98*1.1</f>
        <v>203.5</v>
      </c>
      <c r="E99" s="46"/>
      <c r="F99" s="48"/>
      <c r="G99" s="49"/>
      <c r="H99" s="48"/>
      <c r="I99" s="49"/>
      <c r="J99" s="54"/>
    </row>
    <row r="100" s="3" customFormat="1" outlineLevel="1" spans="1:10">
      <c r="A100" s="47"/>
      <c r="B100" s="45" t="s">
        <v>35</v>
      </c>
      <c r="C100" s="42" t="s">
        <v>36</v>
      </c>
      <c r="D100" s="46">
        <f>D98*4</f>
        <v>740</v>
      </c>
      <c r="E100" s="46"/>
      <c r="F100" s="48"/>
      <c r="G100" s="49"/>
      <c r="H100" s="48"/>
      <c r="I100" s="49"/>
      <c r="J100" s="54"/>
    </row>
    <row r="101" s="3" customFormat="1" outlineLevel="1" spans="1:10">
      <c r="A101" s="47"/>
      <c r="B101" s="45" t="s">
        <v>37</v>
      </c>
      <c r="C101" s="42" t="s">
        <v>15</v>
      </c>
      <c r="D101" s="46">
        <f>D98*0.12*1.02</f>
        <v>22.64</v>
      </c>
      <c r="E101" s="46"/>
      <c r="F101" s="48"/>
      <c r="G101" s="49"/>
      <c r="H101" s="48"/>
      <c r="I101" s="49"/>
      <c r="J101" s="54"/>
    </row>
    <row r="102" s="2" customFormat="1" outlineLevel="1" spans="1:25">
      <c r="A102" s="40">
        <v>6</v>
      </c>
      <c r="B102" s="44" t="s">
        <v>73</v>
      </c>
      <c r="C102" s="42" t="s">
        <v>13</v>
      </c>
      <c r="D102" s="43">
        <f>D91</f>
        <v>185</v>
      </c>
      <c r="E102" s="50"/>
      <c r="F102" s="48"/>
      <c r="G102" s="39"/>
      <c r="H102" s="39"/>
      <c r="I102" s="39"/>
      <c r="J102" s="5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="3" customFormat="1" outlineLevel="1" spans="1:10">
      <c r="A103" s="47"/>
      <c r="B103" s="45" t="s">
        <v>74</v>
      </c>
      <c r="C103" s="42" t="s">
        <v>15</v>
      </c>
      <c r="D103" s="46">
        <f>D102*0.05*1.02</f>
        <v>9.44</v>
      </c>
      <c r="E103" s="46"/>
      <c r="F103" s="48"/>
      <c r="G103" s="49"/>
      <c r="H103" s="48"/>
      <c r="I103" s="49"/>
      <c r="J103" s="54"/>
    </row>
    <row r="104" s="2" customFormat="1" outlineLevel="1" spans="1:25">
      <c r="A104" s="34">
        <v>7</v>
      </c>
      <c r="B104" s="35" t="s">
        <v>75</v>
      </c>
      <c r="C104" s="36" t="s">
        <v>13</v>
      </c>
      <c r="D104" s="37">
        <v>190</v>
      </c>
      <c r="E104" s="38"/>
      <c r="F104" s="39"/>
      <c r="G104" s="38"/>
      <c r="H104" s="39"/>
      <c r="I104" s="39"/>
      <c r="J104" s="52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="2" customFormat="1" ht="15.75" customHeight="1" outlineLevel="1" spans="1:25">
      <c r="A105" s="40">
        <v>1</v>
      </c>
      <c r="B105" s="41" t="s">
        <v>14</v>
      </c>
      <c r="C105" s="42" t="s">
        <v>15</v>
      </c>
      <c r="D105" s="43">
        <f>D104*0.35</f>
        <v>66.5</v>
      </c>
      <c r="E105" s="38"/>
      <c r="F105" s="39"/>
      <c r="G105" s="38"/>
      <c r="H105" s="39"/>
      <c r="I105" s="39"/>
      <c r="J105" s="52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="2" customFormat="1" ht="15.75" customHeight="1" outlineLevel="1" spans="1:25">
      <c r="A106" s="40">
        <v>2</v>
      </c>
      <c r="B106" s="41" t="s">
        <v>16</v>
      </c>
      <c r="C106" s="42" t="s">
        <v>13</v>
      </c>
      <c r="D106" s="43">
        <f>D104</f>
        <v>190</v>
      </c>
      <c r="E106" s="38"/>
      <c r="F106" s="39"/>
      <c r="G106" s="38"/>
      <c r="H106" s="39"/>
      <c r="I106" s="39"/>
      <c r="J106" s="52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="2" customFormat="1" outlineLevel="1" spans="1:25">
      <c r="A107" s="40">
        <v>3</v>
      </c>
      <c r="B107" s="44" t="s">
        <v>76</v>
      </c>
      <c r="C107" s="42" t="s">
        <v>15</v>
      </c>
      <c r="D107" s="43">
        <f>D104*0.17</f>
        <v>32.3</v>
      </c>
      <c r="E107" s="38"/>
      <c r="F107" s="39"/>
      <c r="G107" s="38"/>
      <c r="H107" s="39"/>
      <c r="I107" s="39"/>
      <c r="J107" s="52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="2" customFormat="1" outlineLevel="1" spans="1:25">
      <c r="A108" s="40"/>
      <c r="B108" s="45" t="s">
        <v>18</v>
      </c>
      <c r="C108" s="42" t="s">
        <v>19</v>
      </c>
      <c r="D108" s="46">
        <f>D107*1.26*1.62</f>
        <v>65.93</v>
      </c>
      <c r="E108" s="38"/>
      <c r="F108" s="39"/>
      <c r="G108" s="38"/>
      <c r="H108" s="39"/>
      <c r="I108" s="39"/>
      <c r="J108" s="52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="2" customFormat="1" outlineLevel="1" spans="1:25">
      <c r="A109" s="40">
        <v>4</v>
      </c>
      <c r="B109" s="44" t="s">
        <v>53</v>
      </c>
      <c r="C109" s="42" t="s">
        <v>13</v>
      </c>
      <c r="D109" s="43">
        <f>D104</f>
        <v>190</v>
      </c>
      <c r="E109" s="38"/>
      <c r="F109" s="39"/>
      <c r="G109" s="38"/>
      <c r="H109" s="39"/>
      <c r="I109" s="39"/>
      <c r="J109" s="52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="2" customFormat="1" outlineLevel="1" spans="1:25">
      <c r="A110" s="40"/>
      <c r="B110" s="45" t="s">
        <v>64</v>
      </c>
      <c r="C110" s="42" t="s">
        <v>13</v>
      </c>
      <c r="D110" s="46">
        <f>D109*1.1</f>
        <v>209</v>
      </c>
      <c r="E110" s="38"/>
      <c r="F110" s="39"/>
      <c r="G110" s="38"/>
      <c r="H110" s="39"/>
      <c r="I110" s="39"/>
      <c r="J110" s="52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="2" customFormat="1" outlineLevel="1" spans="1:25">
      <c r="A111" s="40">
        <v>5</v>
      </c>
      <c r="B111" s="44" t="s">
        <v>77</v>
      </c>
      <c r="C111" s="42" t="s">
        <v>13</v>
      </c>
      <c r="D111" s="43">
        <f>D104</f>
        <v>190</v>
      </c>
      <c r="E111" s="38"/>
      <c r="F111" s="39"/>
      <c r="G111" s="38"/>
      <c r="H111" s="39"/>
      <c r="I111" s="39"/>
      <c r="J111" s="52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="2" customFormat="1" outlineLevel="1" spans="1:25">
      <c r="A112" s="40"/>
      <c r="B112" s="45" t="s">
        <v>68</v>
      </c>
      <c r="C112" s="42" t="s">
        <v>19</v>
      </c>
      <c r="D112" s="46">
        <f>D111*0.1*1.26*1.59*0.8</f>
        <v>30.45</v>
      </c>
      <c r="E112" s="38"/>
      <c r="F112" s="39"/>
      <c r="G112" s="38"/>
      <c r="H112" s="39"/>
      <c r="I112" s="39"/>
      <c r="J112" s="52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="2" customFormat="1" outlineLevel="1" spans="1:25">
      <c r="A113" s="40"/>
      <c r="B113" s="45" t="s">
        <v>78</v>
      </c>
      <c r="C113" s="42" t="s">
        <v>19</v>
      </c>
      <c r="D113" s="46">
        <f>D111*0.1*1.65*0.2</f>
        <v>6.27</v>
      </c>
      <c r="E113" s="38"/>
      <c r="F113" s="39"/>
      <c r="G113" s="38"/>
      <c r="H113" s="39"/>
      <c r="I113" s="39"/>
      <c r="J113" s="52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="2" customFormat="1" outlineLevel="1" spans="1:25">
      <c r="A114" s="40">
        <v>6</v>
      </c>
      <c r="B114" s="44" t="s">
        <v>79</v>
      </c>
      <c r="C114" s="42" t="s">
        <v>13</v>
      </c>
      <c r="D114" s="43">
        <f>D104</f>
        <v>190</v>
      </c>
      <c r="E114" s="38"/>
      <c r="F114" s="39"/>
      <c r="G114" s="38"/>
      <c r="H114" s="39"/>
      <c r="I114" s="39"/>
      <c r="J114" s="52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="2" customFormat="1" outlineLevel="1" spans="1:25">
      <c r="A115" s="40"/>
      <c r="B115" s="45" t="s">
        <v>80</v>
      </c>
      <c r="C115" s="42" t="s">
        <v>13</v>
      </c>
      <c r="D115" s="46">
        <f>D114*1.05</f>
        <v>199.5</v>
      </c>
      <c r="E115" s="48"/>
      <c r="F115" s="39"/>
      <c r="G115" s="38"/>
      <c r="H115" s="39"/>
      <c r="I115" s="39"/>
      <c r="J115" s="52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="2" customFormat="1" outlineLevel="1" spans="1:25">
      <c r="A116" s="40"/>
      <c r="B116" s="45" t="s">
        <v>43</v>
      </c>
      <c r="C116" s="42" t="s">
        <v>19</v>
      </c>
      <c r="D116" s="46">
        <f>D114*0.0553*1.5</f>
        <v>15.76</v>
      </c>
      <c r="E116" s="38"/>
      <c r="F116" s="39"/>
      <c r="G116" s="38"/>
      <c r="H116" s="39"/>
      <c r="I116" s="39"/>
      <c r="J116" s="52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="2" customFormat="1" outlineLevel="1" spans="1:25">
      <c r="A117" s="40"/>
      <c r="B117" s="45" t="s">
        <v>44</v>
      </c>
      <c r="C117" s="42" t="s">
        <v>36</v>
      </c>
      <c r="D117" s="46">
        <f>ROUNDUP(D114*0.0085,0)</f>
        <v>2</v>
      </c>
      <c r="E117" s="48"/>
      <c r="F117" s="39"/>
      <c r="G117" s="38"/>
      <c r="H117" s="39"/>
      <c r="I117" s="39"/>
      <c r="J117" s="52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="2" customFormat="1" outlineLevel="1" spans="1:25">
      <c r="A118" s="40">
        <v>7</v>
      </c>
      <c r="B118" s="44" t="s">
        <v>45</v>
      </c>
      <c r="C118" s="42" t="s">
        <v>46</v>
      </c>
      <c r="D118" s="43">
        <v>1</v>
      </c>
      <c r="E118" s="38"/>
      <c r="F118" s="39"/>
      <c r="G118" s="38"/>
      <c r="H118" s="39"/>
      <c r="I118" s="39"/>
      <c r="J118" s="52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="2" customFormat="1" outlineLevel="1" spans="1:25">
      <c r="A119" s="40">
        <v>8</v>
      </c>
      <c r="B119" s="44" t="s">
        <v>81</v>
      </c>
      <c r="C119" s="42" t="s">
        <v>13</v>
      </c>
      <c r="D119" s="43">
        <f>D104</f>
        <v>190</v>
      </c>
      <c r="E119" s="38"/>
      <c r="F119" s="39"/>
      <c r="G119" s="38"/>
      <c r="H119" s="39"/>
      <c r="I119" s="39"/>
      <c r="J119" s="52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="2" customFormat="1" outlineLevel="1" spans="1:25">
      <c r="A120" s="40"/>
      <c r="B120" s="45" t="s">
        <v>78</v>
      </c>
      <c r="C120" s="42" t="s">
        <v>19</v>
      </c>
      <c r="D120" s="46">
        <f>D119*0.08*1.65*0.2</f>
        <v>5.02</v>
      </c>
      <c r="E120" s="38"/>
      <c r="F120" s="39"/>
      <c r="G120" s="38"/>
      <c r="H120" s="39"/>
      <c r="I120" s="39"/>
      <c r="J120" s="52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="2" customFormat="1" outlineLevel="1" spans="1:25">
      <c r="A121" s="40">
        <v>9</v>
      </c>
      <c r="B121" s="44" t="s">
        <v>82</v>
      </c>
      <c r="C121" s="42" t="s">
        <v>13</v>
      </c>
      <c r="D121" s="43">
        <f>D104</f>
        <v>190</v>
      </c>
      <c r="E121" s="38"/>
      <c r="F121" s="39"/>
      <c r="G121" s="38"/>
      <c r="H121" s="39"/>
      <c r="I121" s="39"/>
      <c r="J121" s="52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="2" customFormat="1" outlineLevel="1" spans="1:25">
      <c r="A122" s="40"/>
      <c r="B122" s="45" t="s">
        <v>83</v>
      </c>
      <c r="C122" s="42" t="s">
        <v>84</v>
      </c>
      <c r="D122" s="46">
        <f>D121*0.045</f>
        <v>8.55</v>
      </c>
      <c r="E122" s="38"/>
      <c r="F122" s="39"/>
      <c r="G122" s="38"/>
      <c r="H122" s="39"/>
      <c r="I122" s="39"/>
      <c r="J122" s="52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="2" customFormat="1" outlineLevel="1" spans="1:25">
      <c r="A123" s="34">
        <v>8</v>
      </c>
      <c r="B123" s="35" t="s">
        <v>85</v>
      </c>
      <c r="C123" s="36" t="s">
        <v>13</v>
      </c>
      <c r="D123" s="37">
        <v>6</v>
      </c>
      <c r="E123" s="38"/>
      <c r="F123" s="39"/>
      <c r="G123" s="38"/>
      <c r="H123" s="39"/>
      <c r="I123" s="39"/>
      <c r="J123" s="52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="2" customFormat="1" ht="15.75" customHeight="1" outlineLevel="1" spans="1:25">
      <c r="A124" s="40">
        <v>1</v>
      </c>
      <c r="B124" s="41" t="s">
        <v>14</v>
      </c>
      <c r="C124" s="42" t="s">
        <v>15</v>
      </c>
      <c r="D124" s="43">
        <f>D123*0.41</f>
        <v>2.46</v>
      </c>
      <c r="E124" s="38"/>
      <c r="F124" s="39"/>
      <c r="G124" s="38"/>
      <c r="H124" s="39"/>
      <c r="I124" s="39"/>
      <c r="J124" s="52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="2" customFormat="1" ht="15.75" customHeight="1" outlineLevel="1" spans="1:25">
      <c r="A125" s="40">
        <v>2</v>
      </c>
      <c r="B125" s="41" t="s">
        <v>16</v>
      </c>
      <c r="C125" s="42" t="s">
        <v>13</v>
      </c>
      <c r="D125" s="43">
        <f>D123</f>
        <v>6</v>
      </c>
      <c r="E125" s="38"/>
      <c r="F125" s="39"/>
      <c r="G125" s="38"/>
      <c r="H125" s="39"/>
      <c r="I125" s="39"/>
      <c r="J125" s="52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="2" customFormat="1" outlineLevel="1" spans="1:25">
      <c r="A126" s="40">
        <v>3</v>
      </c>
      <c r="B126" s="44" t="s">
        <v>30</v>
      </c>
      <c r="C126" s="42" t="s">
        <v>15</v>
      </c>
      <c r="D126" s="43">
        <f>D123*0.18</f>
        <v>1.08</v>
      </c>
      <c r="E126" s="38"/>
      <c r="F126" s="39"/>
      <c r="G126" s="38"/>
      <c r="H126" s="39"/>
      <c r="I126" s="39"/>
      <c r="J126" s="52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="2" customFormat="1" outlineLevel="1" spans="1:25">
      <c r="A127" s="40"/>
      <c r="B127" s="45" t="s">
        <v>18</v>
      </c>
      <c r="C127" s="42" t="s">
        <v>19</v>
      </c>
      <c r="D127" s="46">
        <f>D126*1.26*1.62</f>
        <v>2.2</v>
      </c>
      <c r="E127" s="38"/>
      <c r="F127" s="39"/>
      <c r="G127" s="38"/>
      <c r="H127" s="39"/>
      <c r="I127" s="39"/>
      <c r="J127" s="52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="2" customFormat="1" outlineLevel="1" spans="1:25">
      <c r="A128" s="40">
        <v>4</v>
      </c>
      <c r="B128" s="44" t="s">
        <v>31</v>
      </c>
      <c r="C128" s="42" t="s">
        <v>13</v>
      </c>
      <c r="D128" s="43">
        <f>D123</f>
        <v>6</v>
      </c>
      <c r="E128" s="38"/>
      <c r="F128" s="39"/>
      <c r="G128" s="38"/>
      <c r="H128" s="39"/>
      <c r="I128" s="39"/>
      <c r="J128" s="5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="2" customFormat="1" outlineLevel="1" spans="1:25">
      <c r="A129" s="40"/>
      <c r="B129" s="45" t="s">
        <v>32</v>
      </c>
      <c r="C129" s="42" t="s">
        <v>13</v>
      </c>
      <c r="D129" s="46">
        <f>D128*1.1</f>
        <v>6.6</v>
      </c>
      <c r="E129" s="38"/>
      <c r="F129" s="39"/>
      <c r="G129" s="38"/>
      <c r="H129" s="39"/>
      <c r="I129" s="39"/>
      <c r="J129" s="52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="2" customFormat="1" outlineLevel="1" spans="1:25">
      <c r="A130" s="40">
        <v>5</v>
      </c>
      <c r="B130" s="44" t="s">
        <v>33</v>
      </c>
      <c r="C130" s="42" t="s">
        <v>13</v>
      </c>
      <c r="D130" s="43">
        <f>D123</f>
        <v>6</v>
      </c>
      <c r="E130" s="50"/>
      <c r="F130" s="48"/>
      <c r="G130" s="39"/>
      <c r="H130" s="39"/>
      <c r="I130" s="39"/>
      <c r="J130" s="5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="3" customFormat="1" outlineLevel="1" spans="1:10">
      <c r="A131" s="47"/>
      <c r="B131" s="45" t="s">
        <v>34</v>
      </c>
      <c r="C131" s="42" t="s">
        <v>13</v>
      </c>
      <c r="D131" s="46">
        <f>D130*1.1</f>
        <v>6.6</v>
      </c>
      <c r="E131" s="46"/>
      <c r="F131" s="48"/>
      <c r="G131" s="49"/>
      <c r="H131" s="48"/>
      <c r="I131" s="49"/>
      <c r="J131" s="54"/>
    </row>
    <row r="132" s="3" customFormat="1" outlineLevel="1" spans="1:10">
      <c r="A132" s="47"/>
      <c r="B132" s="45" t="s">
        <v>35</v>
      </c>
      <c r="C132" s="42" t="s">
        <v>36</v>
      </c>
      <c r="D132" s="46">
        <f>D130*4</f>
        <v>24</v>
      </c>
      <c r="E132" s="46"/>
      <c r="F132" s="48"/>
      <c r="G132" s="49"/>
      <c r="H132" s="48"/>
      <c r="I132" s="49"/>
      <c r="J132" s="54"/>
    </row>
    <row r="133" s="3" customFormat="1" outlineLevel="1" spans="1:10">
      <c r="A133" s="47"/>
      <c r="B133" s="45" t="s">
        <v>37</v>
      </c>
      <c r="C133" s="42" t="s">
        <v>15</v>
      </c>
      <c r="D133" s="46">
        <f>D130*0.12*1.02</f>
        <v>0.73</v>
      </c>
      <c r="E133" s="46"/>
      <c r="F133" s="48"/>
      <c r="G133" s="49"/>
      <c r="H133" s="48"/>
      <c r="I133" s="49"/>
      <c r="J133" s="54"/>
    </row>
    <row r="134" s="2" customFormat="1" outlineLevel="1" spans="1:25">
      <c r="A134" s="40">
        <v>6</v>
      </c>
      <c r="B134" s="44" t="s">
        <v>38</v>
      </c>
      <c r="C134" s="42" t="s">
        <v>13</v>
      </c>
      <c r="D134" s="43">
        <f>D123</f>
        <v>6</v>
      </c>
      <c r="E134" s="38"/>
      <c r="F134" s="39"/>
      <c r="G134" s="38"/>
      <c r="H134" s="39"/>
      <c r="I134" s="39"/>
      <c r="J134" s="52"/>
      <c r="K134" s="52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="2" customFormat="1" outlineLevel="1" spans="1:25">
      <c r="A135" s="40"/>
      <c r="B135" s="45" t="s">
        <v>39</v>
      </c>
      <c r="C135" s="42" t="s">
        <v>15</v>
      </c>
      <c r="D135" s="43">
        <f>D134*0.05*1.1</f>
        <v>0.33</v>
      </c>
      <c r="E135" s="38"/>
      <c r="F135" s="39"/>
      <c r="G135" s="38"/>
      <c r="H135" s="39"/>
      <c r="I135" s="39"/>
      <c r="J135" s="52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="2" customFormat="1" outlineLevel="1" spans="1:25">
      <c r="A136" s="40">
        <v>7</v>
      </c>
      <c r="B136" s="44" t="s">
        <v>40</v>
      </c>
      <c r="C136" s="42" t="s">
        <v>13</v>
      </c>
      <c r="D136" s="43">
        <f>D134</f>
        <v>6</v>
      </c>
      <c r="E136" s="38"/>
      <c r="F136" s="39"/>
      <c r="G136" s="38"/>
      <c r="H136" s="39"/>
      <c r="I136" s="39"/>
      <c r="J136" s="52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="2" customFormat="1" outlineLevel="1" spans="1:25">
      <c r="A137" s="40"/>
      <c r="B137" s="45" t="s">
        <v>86</v>
      </c>
      <c r="C137" s="42" t="s">
        <v>13</v>
      </c>
      <c r="D137" s="46">
        <f>D136*1.05</f>
        <v>6.3</v>
      </c>
      <c r="E137" s="48"/>
      <c r="F137" s="39"/>
      <c r="G137" s="38"/>
      <c r="H137" s="39"/>
      <c r="I137" s="39"/>
      <c r="J137" s="52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="2" customFormat="1" outlineLevel="1" spans="1:25">
      <c r="A138" s="40"/>
      <c r="B138" s="45" t="s">
        <v>43</v>
      </c>
      <c r="C138" s="42" t="s">
        <v>19</v>
      </c>
      <c r="D138" s="46">
        <f>D136*0.0553*1.5</f>
        <v>0.5</v>
      </c>
      <c r="E138" s="38"/>
      <c r="F138" s="39"/>
      <c r="G138" s="38"/>
      <c r="H138" s="39"/>
      <c r="I138" s="39"/>
      <c r="J138" s="52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="2" customFormat="1" outlineLevel="1" spans="1:25">
      <c r="A139" s="40"/>
      <c r="B139" s="45" t="s">
        <v>44</v>
      </c>
      <c r="C139" s="42" t="s">
        <v>36</v>
      </c>
      <c r="D139" s="46">
        <f>ROUNDUP(D136*0.0085,0)</f>
        <v>1</v>
      </c>
      <c r="E139" s="48"/>
      <c r="F139" s="39"/>
      <c r="G139" s="38"/>
      <c r="H139" s="39"/>
      <c r="I139" s="39"/>
      <c r="J139" s="52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="2" customFormat="1" outlineLevel="1" spans="1:25">
      <c r="A140" s="40">
        <v>8</v>
      </c>
      <c r="B140" s="44" t="s">
        <v>45</v>
      </c>
      <c r="C140" s="42" t="s">
        <v>46</v>
      </c>
      <c r="D140" s="43">
        <v>1</v>
      </c>
      <c r="E140" s="38"/>
      <c r="F140" s="39"/>
      <c r="G140" s="38"/>
      <c r="H140" s="39"/>
      <c r="I140" s="39"/>
      <c r="J140" s="52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="2" customFormat="1" outlineLevel="1" spans="1:25">
      <c r="A141" s="34">
        <v>9</v>
      </c>
      <c r="B141" s="35" t="s">
        <v>87</v>
      </c>
      <c r="C141" s="36" t="s">
        <v>13</v>
      </c>
      <c r="D141" s="37">
        <v>783</v>
      </c>
      <c r="E141" s="38"/>
      <c r="F141" s="39"/>
      <c r="G141" s="38"/>
      <c r="H141" s="39"/>
      <c r="I141" s="39"/>
      <c r="J141" s="52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="2" customFormat="1" ht="15.75" customHeight="1" outlineLevel="1" spans="1:25">
      <c r="A142" s="40">
        <v>1</v>
      </c>
      <c r="B142" s="41" t="s">
        <v>14</v>
      </c>
      <c r="C142" s="42" t="s">
        <v>15</v>
      </c>
      <c r="D142" s="43">
        <f>D141*0.43</f>
        <v>336.69</v>
      </c>
      <c r="E142" s="38"/>
      <c r="F142" s="39"/>
      <c r="G142" s="38"/>
      <c r="H142" s="39"/>
      <c r="I142" s="39"/>
      <c r="J142" s="52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="2" customFormat="1" ht="15.75" customHeight="1" outlineLevel="1" spans="1:25">
      <c r="A143" s="40">
        <v>2</v>
      </c>
      <c r="B143" s="41" t="s">
        <v>16</v>
      </c>
      <c r="C143" s="42" t="s">
        <v>13</v>
      </c>
      <c r="D143" s="43">
        <f>D141</f>
        <v>783</v>
      </c>
      <c r="E143" s="38"/>
      <c r="F143" s="39"/>
      <c r="G143" s="38"/>
      <c r="H143" s="39"/>
      <c r="I143" s="39"/>
      <c r="J143" s="52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="2" customFormat="1" outlineLevel="1" spans="1:25">
      <c r="A144" s="40">
        <v>3</v>
      </c>
      <c r="B144" s="41" t="s">
        <v>62</v>
      </c>
      <c r="C144" s="42" t="s">
        <v>15</v>
      </c>
      <c r="D144" s="43">
        <f>D141*0.05</f>
        <v>39.15</v>
      </c>
      <c r="E144" s="38"/>
      <c r="F144" s="39"/>
      <c r="G144" s="38"/>
      <c r="H144" s="39"/>
      <c r="I144" s="39"/>
      <c r="J144" s="52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="2" customFormat="1" outlineLevel="1" spans="1:25">
      <c r="A145" s="40"/>
      <c r="B145" s="55" t="s">
        <v>63</v>
      </c>
      <c r="C145" s="42" t="s">
        <v>19</v>
      </c>
      <c r="D145" s="46">
        <f>D144*1.1*1.5</f>
        <v>64.6</v>
      </c>
      <c r="E145" s="38"/>
      <c r="F145" s="39"/>
      <c r="G145" s="38"/>
      <c r="H145" s="39"/>
      <c r="I145" s="39"/>
      <c r="J145" s="52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="2" customFormat="1" outlineLevel="1" spans="1:25">
      <c r="A146" s="40">
        <v>4</v>
      </c>
      <c r="B146" s="41" t="s">
        <v>88</v>
      </c>
      <c r="C146" s="42" t="s">
        <v>13</v>
      </c>
      <c r="D146" s="43">
        <f>D141</f>
        <v>783</v>
      </c>
      <c r="E146" s="38"/>
      <c r="F146" s="39"/>
      <c r="G146" s="38"/>
      <c r="H146" s="39"/>
      <c r="I146" s="39"/>
      <c r="J146" s="52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="2" customFormat="1" outlineLevel="1" spans="1:25">
      <c r="A147" s="40"/>
      <c r="B147" s="55" t="s">
        <v>89</v>
      </c>
      <c r="C147" s="42" t="s">
        <v>19</v>
      </c>
      <c r="D147" s="46">
        <v>213.17</v>
      </c>
      <c r="E147" s="38"/>
      <c r="F147" s="39"/>
      <c r="G147" s="38"/>
      <c r="H147" s="39"/>
      <c r="I147" s="39"/>
      <c r="J147" s="52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="2" customFormat="1" outlineLevel="1" spans="1:25">
      <c r="A148" s="40"/>
      <c r="B148" s="55" t="s">
        <v>63</v>
      </c>
      <c r="C148" s="42" t="s">
        <v>19</v>
      </c>
      <c r="D148" s="46">
        <v>213.17</v>
      </c>
      <c r="E148" s="38"/>
      <c r="F148" s="39"/>
      <c r="G148" s="38"/>
      <c r="H148" s="39"/>
      <c r="I148" s="39"/>
      <c r="J148" s="52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="2" customFormat="1" outlineLevel="1" spans="1:25">
      <c r="A149" s="40">
        <v>5</v>
      </c>
      <c r="B149" s="44" t="s">
        <v>90</v>
      </c>
      <c r="C149" s="42" t="s">
        <v>13</v>
      </c>
      <c r="D149" s="43">
        <f>D141</f>
        <v>783</v>
      </c>
      <c r="E149" s="38"/>
      <c r="F149" s="39"/>
      <c r="G149" s="38"/>
      <c r="H149" s="39"/>
      <c r="I149" s="39"/>
      <c r="J149" s="52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="2" customFormat="1" outlineLevel="1" spans="1:25">
      <c r="A150" s="40"/>
      <c r="B150" s="45" t="s">
        <v>68</v>
      </c>
      <c r="C150" s="42" t="s">
        <v>19</v>
      </c>
      <c r="D150" s="46">
        <f>D149*0.05*1.26*1.59</f>
        <v>78.43</v>
      </c>
      <c r="E150" s="38"/>
      <c r="F150" s="39"/>
      <c r="G150" s="38"/>
      <c r="H150" s="39"/>
      <c r="I150" s="39"/>
      <c r="J150" s="52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="2" customFormat="1" outlineLevel="1" spans="1:25">
      <c r="A151" s="40"/>
      <c r="B151" s="45" t="s">
        <v>83</v>
      </c>
      <c r="C151" s="42" t="s">
        <v>84</v>
      </c>
      <c r="D151" s="46">
        <f>D149*0.045</f>
        <v>35.24</v>
      </c>
      <c r="E151" s="38"/>
      <c r="F151" s="39"/>
      <c r="G151" s="38"/>
      <c r="H151" s="39"/>
      <c r="I151" s="39"/>
      <c r="J151" s="52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="2" customFormat="1" outlineLevel="1" spans="1:25">
      <c r="A152" s="34">
        <v>9</v>
      </c>
      <c r="B152" s="35" t="s">
        <v>91</v>
      </c>
      <c r="C152" s="36" t="s">
        <v>13</v>
      </c>
      <c r="D152" s="37">
        <v>211</v>
      </c>
      <c r="E152" s="38"/>
      <c r="F152" s="39"/>
      <c r="G152" s="38"/>
      <c r="H152" s="39"/>
      <c r="I152" s="39"/>
      <c r="J152" s="52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="2" customFormat="1" ht="15.75" customHeight="1" outlineLevel="1" spans="1:25">
      <c r="A153" s="40">
        <v>1</v>
      </c>
      <c r="B153" s="41" t="s">
        <v>14</v>
      </c>
      <c r="C153" s="42" t="s">
        <v>15</v>
      </c>
      <c r="D153" s="43">
        <f>D152*0.43</f>
        <v>90.73</v>
      </c>
      <c r="E153" s="38"/>
      <c r="F153" s="39"/>
      <c r="G153" s="38"/>
      <c r="H153" s="39"/>
      <c r="I153" s="39"/>
      <c r="J153" s="52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="2" customFormat="1" ht="15.75" customHeight="1" outlineLevel="1" spans="1:25">
      <c r="A154" s="40">
        <v>2</v>
      </c>
      <c r="B154" s="41" t="s">
        <v>16</v>
      </c>
      <c r="C154" s="42" t="s">
        <v>13</v>
      </c>
      <c r="D154" s="43">
        <f>D152</f>
        <v>211</v>
      </c>
      <c r="E154" s="38"/>
      <c r="F154" s="39"/>
      <c r="G154" s="38"/>
      <c r="H154" s="39"/>
      <c r="I154" s="39"/>
      <c r="J154" s="52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="2" customFormat="1" outlineLevel="1" spans="1:25">
      <c r="A155" s="40">
        <v>3</v>
      </c>
      <c r="B155" s="41" t="s">
        <v>92</v>
      </c>
      <c r="C155" s="42" t="s">
        <v>15</v>
      </c>
      <c r="D155" s="43">
        <f>D152*0.06</f>
        <v>12.66</v>
      </c>
      <c r="E155" s="38"/>
      <c r="F155" s="39"/>
      <c r="G155" s="38"/>
      <c r="H155" s="39"/>
      <c r="I155" s="39"/>
      <c r="J155" s="52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="2" customFormat="1" outlineLevel="1" spans="1:25">
      <c r="A156" s="40"/>
      <c r="B156" s="55" t="s">
        <v>63</v>
      </c>
      <c r="C156" s="42" t="s">
        <v>19</v>
      </c>
      <c r="D156" s="46">
        <f>D155*1.1*1.5</f>
        <v>20.89</v>
      </c>
      <c r="E156" s="38"/>
      <c r="F156" s="39"/>
      <c r="G156" s="38"/>
      <c r="H156" s="39"/>
      <c r="I156" s="39"/>
      <c r="J156" s="52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="2" customFormat="1" outlineLevel="1" spans="1:25">
      <c r="A157" s="40">
        <v>4</v>
      </c>
      <c r="B157" s="41" t="s">
        <v>93</v>
      </c>
      <c r="C157" s="42" t="s">
        <v>13</v>
      </c>
      <c r="D157" s="43">
        <f>D152</f>
        <v>211</v>
      </c>
      <c r="E157" s="38"/>
      <c r="F157" s="39"/>
      <c r="G157" s="38"/>
      <c r="H157" s="39"/>
      <c r="I157" s="39"/>
      <c r="J157" s="52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="2" customFormat="1" outlineLevel="1" spans="1:25">
      <c r="A158" s="40"/>
      <c r="B158" s="55" t="s">
        <v>89</v>
      </c>
      <c r="C158" s="42" t="s">
        <v>19</v>
      </c>
      <c r="D158" s="46">
        <f>D157*0.33*1.65*0.5</f>
        <v>57.44</v>
      </c>
      <c r="E158" s="38"/>
      <c r="F158" s="39"/>
      <c r="G158" s="38"/>
      <c r="H158" s="39"/>
      <c r="I158" s="39"/>
      <c r="J158" s="52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="2" customFormat="1" outlineLevel="1" spans="1:25">
      <c r="A159" s="40"/>
      <c r="B159" s="55" t="s">
        <v>63</v>
      </c>
      <c r="C159" s="42" t="s">
        <v>19</v>
      </c>
      <c r="D159" s="46">
        <f>D157*0.33*1.1*1.5*0.5</f>
        <v>57.44</v>
      </c>
      <c r="E159" s="38"/>
      <c r="F159" s="39"/>
      <c r="G159" s="38"/>
      <c r="H159" s="39"/>
      <c r="I159" s="39"/>
      <c r="J159" s="52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="2" customFormat="1" outlineLevel="1" spans="1:25">
      <c r="A160" s="40">
        <v>5</v>
      </c>
      <c r="B160" s="44" t="s">
        <v>94</v>
      </c>
      <c r="C160" s="42" t="s">
        <v>13</v>
      </c>
      <c r="D160" s="43">
        <f>D152</f>
        <v>211</v>
      </c>
      <c r="E160" s="38"/>
      <c r="F160" s="39"/>
      <c r="G160" s="38"/>
      <c r="H160" s="39"/>
      <c r="I160" s="39"/>
      <c r="J160" s="52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="2" customFormat="1" outlineLevel="1" spans="1:25">
      <c r="A161" s="40"/>
      <c r="B161" s="45" t="s">
        <v>95</v>
      </c>
      <c r="C161" s="42" t="s">
        <v>13</v>
      </c>
      <c r="D161" s="46">
        <f>D160*1.1</f>
        <v>232.1</v>
      </c>
      <c r="E161" s="38"/>
      <c r="F161" s="39"/>
      <c r="G161" s="38"/>
      <c r="H161" s="39"/>
      <c r="I161" s="39"/>
      <c r="J161" s="52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="2" customFormat="1" outlineLevel="1" spans="1:25">
      <c r="A162" s="34">
        <v>9</v>
      </c>
      <c r="B162" s="35" t="s">
        <v>96</v>
      </c>
      <c r="C162" s="36" t="s">
        <v>13</v>
      </c>
      <c r="D162" s="37">
        <v>36</v>
      </c>
      <c r="E162" s="38"/>
      <c r="F162" s="39"/>
      <c r="G162" s="38"/>
      <c r="H162" s="39"/>
      <c r="I162" s="39"/>
      <c r="J162" s="52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="2" customFormat="1" ht="15.75" customHeight="1" outlineLevel="1" spans="1:25">
      <c r="A163" s="40">
        <v>1</v>
      </c>
      <c r="B163" s="41" t="s">
        <v>14</v>
      </c>
      <c r="C163" s="42" t="s">
        <v>15</v>
      </c>
      <c r="D163" s="43">
        <f>D162*0.43</f>
        <v>15.48</v>
      </c>
      <c r="E163" s="38"/>
      <c r="F163" s="39"/>
      <c r="G163" s="38"/>
      <c r="H163" s="39"/>
      <c r="I163" s="39"/>
      <c r="J163" s="52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="2" customFormat="1" ht="15.75" customHeight="1" outlineLevel="1" spans="1:25">
      <c r="A164" s="40">
        <v>2</v>
      </c>
      <c r="B164" s="41" t="s">
        <v>16</v>
      </c>
      <c r="C164" s="42" t="s">
        <v>13</v>
      </c>
      <c r="D164" s="43">
        <f>D162</f>
        <v>36</v>
      </c>
      <c r="E164" s="38"/>
      <c r="F164" s="39"/>
      <c r="G164" s="38"/>
      <c r="H164" s="39"/>
      <c r="I164" s="39"/>
      <c r="J164" s="52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="2" customFormat="1" outlineLevel="1" spans="1:25">
      <c r="A165" s="40">
        <v>3</v>
      </c>
      <c r="B165" s="44" t="s">
        <v>97</v>
      </c>
      <c r="C165" s="42" t="s">
        <v>15</v>
      </c>
      <c r="D165" s="43">
        <f>D162*0.14</f>
        <v>5.04</v>
      </c>
      <c r="E165" s="38"/>
      <c r="F165" s="39"/>
      <c r="G165" s="38"/>
      <c r="H165" s="39"/>
      <c r="I165" s="39"/>
      <c r="J165" s="52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="2" customFormat="1" outlineLevel="1" spans="1:25">
      <c r="A166" s="40"/>
      <c r="B166" s="45" t="s">
        <v>18</v>
      </c>
      <c r="C166" s="42" t="s">
        <v>19</v>
      </c>
      <c r="D166" s="46">
        <f>D165*1.26*1.62</f>
        <v>10.29</v>
      </c>
      <c r="E166" s="38"/>
      <c r="F166" s="39"/>
      <c r="G166" s="38"/>
      <c r="H166" s="39"/>
      <c r="I166" s="39"/>
      <c r="J166" s="52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="3" customFormat="1" outlineLevel="1" spans="1:10">
      <c r="A167" s="40">
        <v>4</v>
      </c>
      <c r="B167" s="44" t="s">
        <v>98</v>
      </c>
      <c r="C167" s="42" t="s">
        <v>13</v>
      </c>
      <c r="D167" s="43">
        <f>D162</f>
        <v>36</v>
      </c>
      <c r="E167" s="48"/>
      <c r="F167" s="49"/>
      <c r="G167" s="48"/>
      <c r="H167" s="49"/>
      <c r="I167" s="49"/>
      <c r="J167" s="52"/>
    </row>
    <row r="168" s="2" customFormat="1" outlineLevel="1" spans="1:25">
      <c r="A168" s="40"/>
      <c r="B168" s="45" t="s">
        <v>68</v>
      </c>
      <c r="C168" s="42" t="s">
        <v>19</v>
      </c>
      <c r="D168" s="46">
        <f>D167*0.09*1.26*1.59*0.8</f>
        <v>5.19</v>
      </c>
      <c r="E168" s="38"/>
      <c r="F168" s="39"/>
      <c r="G168" s="38"/>
      <c r="H168" s="39"/>
      <c r="I168" s="39"/>
      <c r="J168" s="52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="2" customFormat="1" outlineLevel="1" spans="1:25">
      <c r="A169" s="40"/>
      <c r="B169" s="45" t="s">
        <v>78</v>
      </c>
      <c r="C169" s="42" t="s">
        <v>19</v>
      </c>
      <c r="D169" s="46">
        <f>D167*0.09*1.65*0.2</f>
        <v>1.07</v>
      </c>
      <c r="E169" s="38"/>
      <c r="F169" s="39"/>
      <c r="G169" s="38"/>
      <c r="H169" s="39"/>
      <c r="I169" s="39"/>
      <c r="J169" s="52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="2" customFormat="1" outlineLevel="1" spans="1:25">
      <c r="A170" s="40">
        <v>5</v>
      </c>
      <c r="B170" s="41" t="s">
        <v>99</v>
      </c>
      <c r="C170" s="42" t="s">
        <v>13</v>
      </c>
      <c r="D170" s="43">
        <f>D162</f>
        <v>36</v>
      </c>
      <c r="E170" s="38"/>
      <c r="F170" s="39"/>
      <c r="G170" s="38"/>
      <c r="H170" s="39"/>
      <c r="I170" s="39"/>
      <c r="J170" s="52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="2" customFormat="1" outlineLevel="1" spans="1:25">
      <c r="A171" s="40"/>
      <c r="B171" s="55" t="s">
        <v>89</v>
      </c>
      <c r="C171" s="42" t="s">
        <v>19</v>
      </c>
      <c r="D171" s="46">
        <f>D170*0.15*1.65*0.5</f>
        <v>4.46</v>
      </c>
      <c r="E171" s="38"/>
      <c r="F171" s="39"/>
      <c r="G171" s="38"/>
      <c r="H171" s="39"/>
      <c r="I171" s="39"/>
      <c r="J171" s="52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="2" customFormat="1" outlineLevel="1" spans="1:25">
      <c r="A172" s="40"/>
      <c r="B172" s="55" t="s">
        <v>63</v>
      </c>
      <c r="C172" s="42" t="s">
        <v>19</v>
      </c>
      <c r="D172" s="46">
        <f>D170*0.15*1.1*1.5*0.5</f>
        <v>4.46</v>
      </c>
      <c r="E172" s="38"/>
      <c r="F172" s="39"/>
      <c r="G172" s="38"/>
      <c r="H172" s="39"/>
      <c r="I172" s="39"/>
      <c r="J172" s="52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="2" customFormat="1" outlineLevel="1" spans="1:25">
      <c r="A173" s="40">
        <v>6</v>
      </c>
      <c r="B173" s="44" t="s">
        <v>100</v>
      </c>
      <c r="C173" s="42" t="s">
        <v>13</v>
      </c>
      <c r="D173" s="43">
        <f>D162</f>
        <v>36</v>
      </c>
      <c r="E173" s="38"/>
      <c r="F173" s="39"/>
      <c r="G173" s="38"/>
      <c r="H173" s="39"/>
      <c r="I173" s="39"/>
      <c r="J173" s="52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="2" customFormat="1" outlineLevel="1" spans="1:25">
      <c r="A174" s="40"/>
      <c r="B174" s="55" t="s">
        <v>101</v>
      </c>
      <c r="C174" s="42" t="s">
        <v>15</v>
      </c>
      <c r="D174" s="46">
        <f>D173*0.05*1.02</f>
        <v>1.84</v>
      </c>
      <c r="E174" s="38"/>
      <c r="F174" s="39"/>
      <c r="G174" s="38"/>
      <c r="H174" s="39"/>
      <c r="I174" s="39"/>
      <c r="J174" s="52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="2" customFormat="1" ht="22.5" customHeight="1" outlineLevel="1" spans="1:25">
      <c r="A175" s="29"/>
      <c r="B175" s="30" t="s">
        <v>102</v>
      </c>
      <c r="C175" s="30"/>
      <c r="D175" s="31"/>
      <c r="E175" s="32"/>
      <c r="F175" s="33"/>
      <c r="G175" s="32"/>
      <c r="H175" s="33"/>
      <c r="I175" s="33"/>
      <c r="J175" s="52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="2" customFormat="1" outlineLevel="1" spans="1:25">
      <c r="A176" s="34">
        <v>1</v>
      </c>
      <c r="B176" s="35" t="s">
        <v>103</v>
      </c>
      <c r="C176" s="36" t="s">
        <v>13</v>
      </c>
      <c r="D176" s="37">
        <v>739</v>
      </c>
      <c r="E176" s="38"/>
      <c r="F176" s="39"/>
      <c r="G176" s="38"/>
      <c r="H176" s="39"/>
      <c r="I176" s="39"/>
      <c r="J176" s="52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="2" customFormat="1" outlineLevel="1" spans="1:25">
      <c r="A177" s="40">
        <v>1</v>
      </c>
      <c r="B177" s="44" t="s">
        <v>104</v>
      </c>
      <c r="C177" s="42" t="s">
        <v>15</v>
      </c>
      <c r="D177" s="43">
        <f>D176*0.09</f>
        <v>66.51</v>
      </c>
      <c r="E177" s="38"/>
      <c r="F177" s="39"/>
      <c r="G177" s="38"/>
      <c r="H177" s="39"/>
      <c r="I177" s="39"/>
      <c r="J177" s="52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="2" customFormat="1" outlineLevel="1" spans="1:25">
      <c r="A178" s="40"/>
      <c r="B178" s="45" t="s">
        <v>18</v>
      </c>
      <c r="C178" s="42" t="s">
        <v>19</v>
      </c>
      <c r="D178" s="46">
        <f>D177*1.26*1.62</f>
        <v>135.76</v>
      </c>
      <c r="E178" s="38"/>
      <c r="F178" s="39"/>
      <c r="G178" s="38"/>
      <c r="H178" s="39"/>
      <c r="I178" s="39"/>
      <c r="J178" s="52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="2" customFormat="1" outlineLevel="1" spans="1:25">
      <c r="A179" s="40">
        <v>2</v>
      </c>
      <c r="B179" s="44" t="s">
        <v>105</v>
      </c>
      <c r="C179" s="42" t="s">
        <v>15</v>
      </c>
      <c r="D179" s="43">
        <f>D176*0.045</f>
        <v>33.26</v>
      </c>
      <c r="E179" s="38"/>
      <c r="F179" s="39"/>
      <c r="G179" s="38"/>
      <c r="H179" s="39"/>
      <c r="I179" s="39"/>
      <c r="J179" s="52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="3" customFormat="1" outlineLevel="1" spans="1:10">
      <c r="A180" s="47"/>
      <c r="B180" s="45" t="s">
        <v>21</v>
      </c>
      <c r="C180" s="42" t="s">
        <v>19</v>
      </c>
      <c r="D180" s="46">
        <f>D179*1.26*1.62</f>
        <v>67.89</v>
      </c>
      <c r="E180" s="48"/>
      <c r="F180" s="49"/>
      <c r="G180" s="48"/>
      <c r="H180" s="49"/>
      <c r="I180" s="49"/>
      <c r="J180" s="52"/>
    </row>
    <row r="181" s="2" customFormat="1" ht="15.75" customHeight="1" outlineLevel="1" spans="1:25">
      <c r="A181" s="42">
        <v>3</v>
      </c>
      <c r="B181" s="44" t="s">
        <v>22</v>
      </c>
      <c r="C181" s="42" t="s">
        <v>13</v>
      </c>
      <c r="D181" s="43">
        <f>D176</f>
        <v>739</v>
      </c>
      <c r="E181" s="38"/>
      <c r="F181" s="39"/>
      <c r="G181" s="48"/>
      <c r="H181" s="39"/>
      <c r="I181" s="39"/>
      <c r="J181" s="52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="2" customFormat="1" outlineLevel="1" spans="1:25">
      <c r="A182" s="40"/>
      <c r="B182" s="45" t="s">
        <v>23</v>
      </c>
      <c r="C182" s="42" t="s">
        <v>19</v>
      </c>
      <c r="D182" s="46">
        <f>D181*6*25/1000</f>
        <v>110.85</v>
      </c>
      <c r="E182" s="38"/>
      <c r="F182" s="39"/>
      <c r="G182" s="38"/>
      <c r="H182" s="39"/>
      <c r="I182" s="39"/>
      <c r="J182" s="52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="3" customFormat="1" outlineLevel="1" spans="1:10">
      <c r="A183" s="42">
        <v>4</v>
      </c>
      <c r="B183" s="44" t="s">
        <v>24</v>
      </c>
      <c r="C183" s="42" t="s">
        <v>13</v>
      </c>
      <c r="D183" s="43">
        <f>D181</f>
        <v>739</v>
      </c>
      <c r="E183" s="48"/>
      <c r="F183" s="49"/>
      <c r="G183" s="48"/>
      <c r="H183" s="49"/>
      <c r="I183" s="49"/>
      <c r="J183" s="52"/>
    </row>
    <row r="184" s="3" customFormat="1" outlineLevel="1" spans="1:10">
      <c r="A184" s="40"/>
      <c r="B184" s="45" t="s">
        <v>25</v>
      </c>
      <c r="C184" s="42" t="s">
        <v>26</v>
      </c>
      <c r="D184" s="46">
        <f>D183*0.4</f>
        <v>295.6</v>
      </c>
      <c r="E184" s="48"/>
      <c r="F184" s="49"/>
      <c r="G184" s="48"/>
      <c r="H184" s="49"/>
      <c r="I184" s="49"/>
      <c r="J184" s="52"/>
    </row>
    <row r="185" s="2" customFormat="1" ht="15.75" customHeight="1" outlineLevel="1" spans="1:25">
      <c r="A185" s="42">
        <v>5</v>
      </c>
      <c r="B185" s="44" t="s">
        <v>27</v>
      </c>
      <c r="C185" s="42" t="s">
        <v>13</v>
      </c>
      <c r="D185" s="43">
        <f>D183</f>
        <v>739</v>
      </c>
      <c r="E185" s="38"/>
      <c r="F185" s="39"/>
      <c r="G185" s="48"/>
      <c r="H185" s="39"/>
      <c r="I185" s="39"/>
      <c r="J185" s="52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="2" customFormat="1" outlineLevel="1" spans="1:25">
      <c r="A186" s="40"/>
      <c r="B186" s="45" t="s">
        <v>28</v>
      </c>
      <c r="C186" s="42" t="s">
        <v>19</v>
      </c>
      <c r="D186" s="46">
        <f>D185*5*25/1000</f>
        <v>92.38</v>
      </c>
      <c r="E186" s="38"/>
      <c r="F186" s="39"/>
      <c r="G186" s="38"/>
      <c r="H186" s="39"/>
      <c r="I186" s="39"/>
      <c r="J186" s="52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="2" customFormat="1" outlineLevel="1" spans="1:25">
      <c r="A187" s="34">
        <v>2</v>
      </c>
      <c r="B187" s="35" t="s">
        <v>106</v>
      </c>
      <c r="C187" s="36" t="s">
        <v>13</v>
      </c>
      <c r="D187" s="37">
        <f>200+209</f>
        <v>409</v>
      </c>
      <c r="E187" s="38"/>
      <c r="F187" s="39"/>
      <c r="G187" s="38"/>
      <c r="H187" s="39"/>
      <c r="I187" s="39"/>
      <c r="J187" s="52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="2" customFormat="1" outlineLevel="1" spans="1:25">
      <c r="A188" s="40">
        <v>1</v>
      </c>
      <c r="B188" s="44" t="s">
        <v>107</v>
      </c>
      <c r="C188" s="42" t="s">
        <v>15</v>
      </c>
      <c r="D188" s="43">
        <f>D187*0.2</f>
        <v>81.8</v>
      </c>
      <c r="E188" s="38"/>
      <c r="F188" s="39"/>
      <c r="G188" s="38"/>
      <c r="H188" s="39"/>
      <c r="I188" s="39"/>
      <c r="J188" s="52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="2" customFormat="1" outlineLevel="1" spans="1:25">
      <c r="A189" s="40"/>
      <c r="B189" s="45" t="s">
        <v>18</v>
      </c>
      <c r="C189" s="42" t="s">
        <v>19</v>
      </c>
      <c r="D189" s="46">
        <f>D188*1.26*1.62</f>
        <v>166.97</v>
      </c>
      <c r="E189" s="38"/>
      <c r="F189" s="39"/>
      <c r="G189" s="38"/>
      <c r="H189" s="39"/>
      <c r="I189" s="39"/>
      <c r="J189" s="52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="2" customFormat="1" outlineLevel="1" spans="1:25">
      <c r="A190" s="40">
        <v>2</v>
      </c>
      <c r="B190" s="44" t="s">
        <v>108</v>
      </c>
      <c r="C190" s="42" t="s">
        <v>13</v>
      </c>
      <c r="D190" s="43">
        <f>D187</f>
        <v>409</v>
      </c>
      <c r="E190" s="38"/>
      <c r="F190" s="39"/>
      <c r="G190" s="38"/>
      <c r="H190" s="39"/>
      <c r="I190" s="39"/>
      <c r="J190" s="52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="2" customFormat="1" outlineLevel="1" spans="1:25">
      <c r="A191" s="40"/>
      <c r="B191" s="45" t="s">
        <v>68</v>
      </c>
      <c r="C191" s="42" t="s">
        <v>19</v>
      </c>
      <c r="D191" s="46">
        <f>D190*0.05*1.26*1.59</f>
        <v>40.97</v>
      </c>
      <c r="E191" s="38"/>
      <c r="F191" s="39"/>
      <c r="G191" s="38"/>
      <c r="H191" s="39"/>
      <c r="I191" s="39"/>
      <c r="J191" s="52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="2" customFormat="1" outlineLevel="1" spans="1:25">
      <c r="A192" s="40">
        <v>3</v>
      </c>
      <c r="B192" s="44" t="s">
        <v>53</v>
      </c>
      <c r="C192" s="42" t="s">
        <v>13</v>
      </c>
      <c r="D192" s="43">
        <f>D187</f>
        <v>409</v>
      </c>
      <c r="E192" s="38"/>
      <c r="F192" s="39"/>
      <c r="G192" s="38"/>
      <c r="H192" s="39"/>
      <c r="I192" s="39"/>
      <c r="J192" s="52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="2" customFormat="1" outlineLevel="1" spans="1:25">
      <c r="A193" s="40"/>
      <c r="B193" s="45" t="s">
        <v>109</v>
      </c>
      <c r="C193" s="42" t="s">
        <v>13</v>
      </c>
      <c r="D193" s="46">
        <f>D192*1.1</f>
        <v>449.9</v>
      </c>
      <c r="E193" s="38"/>
      <c r="F193" s="39"/>
      <c r="G193" s="38"/>
      <c r="H193" s="39"/>
      <c r="I193" s="39"/>
      <c r="J193" s="52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="2" customFormat="1" outlineLevel="1" spans="1:25">
      <c r="A194" s="40">
        <v>4</v>
      </c>
      <c r="B194" s="44" t="s">
        <v>38</v>
      </c>
      <c r="C194" s="42" t="s">
        <v>13</v>
      </c>
      <c r="D194" s="43">
        <f>D187</f>
        <v>409</v>
      </c>
      <c r="E194" s="38"/>
      <c r="F194" s="39"/>
      <c r="G194" s="38"/>
      <c r="H194" s="39"/>
      <c r="I194" s="39"/>
      <c r="J194" s="52"/>
      <c r="K194" s="52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="2" customFormat="1" outlineLevel="1" spans="1:25">
      <c r="A195" s="40"/>
      <c r="B195" s="45" t="s">
        <v>39</v>
      </c>
      <c r="C195" s="42" t="s">
        <v>15</v>
      </c>
      <c r="D195" s="43">
        <f>D194*0.05*1.1</f>
        <v>22.5</v>
      </c>
      <c r="E195" s="38"/>
      <c r="F195" s="39"/>
      <c r="G195" s="38"/>
      <c r="H195" s="39"/>
      <c r="I195" s="39"/>
      <c r="J195" s="52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="2" customFormat="1" outlineLevel="1" spans="1:25">
      <c r="A196" s="40">
        <v>5</v>
      </c>
      <c r="B196" s="44" t="s">
        <v>40</v>
      </c>
      <c r="C196" s="42" t="s">
        <v>13</v>
      </c>
      <c r="D196" s="43">
        <f>D194</f>
        <v>409</v>
      </c>
      <c r="E196" s="38"/>
      <c r="F196" s="39"/>
      <c r="G196" s="38"/>
      <c r="H196" s="39"/>
      <c r="I196" s="39"/>
      <c r="J196" s="52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="2" customFormat="1" outlineLevel="1" spans="1:25">
      <c r="A197" s="40"/>
      <c r="B197" s="45" t="s">
        <v>41</v>
      </c>
      <c r="C197" s="42" t="s">
        <v>13</v>
      </c>
      <c r="D197" s="46">
        <f>200*1.05</f>
        <v>210</v>
      </c>
      <c r="E197" s="48"/>
      <c r="F197" s="39"/>
      <c r="G197" s="38"/>
      <c r="H197" s="39"/>
      <c r="I197" s="39"/>
      <c r="J197" s="52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="2" customFormat="1" outlineLevel="1" spans="1:25">
      <c r="A198" s="40"/>
      <c r="B198" s="45" t="s">
        <v>42</v>
      </c>
      <c r="C198" s="42" t="s">
        <v>13</v>
      </c>
      <c r="D198" s="46">
        <f>209*1.05</f>
        <v>219.45</v>
      </c>
      <c r="E198" s="48"/>
      <c r="F198" s="39"/>
      <c r="G198" s="38"/>
      <c r="H198" s="39"/>
      <c r="I198" s="39"/>
      <c r="J198" s="52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="2" customFormat="1" outlineLevel="1" spans="1:25">
      <c r="A199" s="40"/>
      <c r="B199" s="45" t="s">
        <v>43</v>
      </c>
      <c r="C199" s="42" t="s">
        <v>19</v>
      </c>
      <c r="D199" s="46">
        <f>D196*0.0553*1.5</f>
        <v>33.93</v>
      </c>
      <c r="E199" s="38"/>
      <c r="F199" s="39"/>
      <c r="G199" s="38"/>
      <c r="H199" s="39"/>
      <c r="I199" s="39"/>
      <c r="J199" s="52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="2" customFormat="1" outlineLevel="1" spans="1:25">
      <c r="A200" s="40"/>
      <c r="B200" s="45" t="s">
        <v>44</v>
      </c>
      <c r="C200" s="42" t="s">
        <v>36</v>
      </c>
      <c r="D200" s="46">
        <f>ROUNDUP(D196*0.0085,0)</f>
        <v>4</v>
      </c>
      <c r="E200" s="48"/>
      <c r="F200" s="39"/>
      <c r="G200" s="38"/>
      <c r="H200" s="39"/>
      <c r="I200" s="39"/>
      <c r="J200" s="52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="2" customFormat="1" outlineLevel="1" spans="1:25">
      <c r="A201" s="40">
        <v>6</v>
      </c>
      <c r="B201" s="44" t="s">
        <v>45</v>
      </c>
      <c r="C201" s="42" t="s">
        <v>46</v>
      </c>
      <c r="D201" s="43">
        <v>1</v>
      </c>
      <c r="E201" s="38"/>
      <c r="F201" s="39"/>
      <c r="G201" s="38"/>
      <c r="H201" s="39"/>
      <c r="I201" s="39"/>
      <c r="J201" s="52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="2" customFormat="1" outlineLevel="1" spans="1:25">
      <c r="A202" s="34">
        <v>3</v>
      </c>
      <c r="B202" s="35" t="s">
        <v>110</v>
      </c>
      <c r="C202" s="36" t="s">
        <v>13</v>
      </c>
      <c r="D202" s="37">
        <v>745</v>
      </c>
      <c r="E202" s="38"/>
      <c r="F202" s="39"/>
      <c r="G202" s="38"/>
      <c r="H202" s="39"/>
      <c r="I202" s="39"/>
      <c r="J202" s="52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="2" customFormat="1" outlineLevel="1" spans="1:25">
      <c r="A203" s="40">
        <v>1</v>
      </c>
      <c r="B203" s="44" t="s">
        <v>20</v>
      </c>
      <c r="C203" s="42" t="s">
        <v>15</v>
      </c>
      <c r="D203" s="43">
        <f>D202*0.1</f>
        <v>74.5</v>
      </c>
      <c r="E203" s="38"/>
      <c r="F203" s="39"/>
      <c r="G203" s="38"/>
      <c r="H203" s="39"/>
      <c r="I203" s="39"/>
      <c r="J203" s="52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="2" customFormat="1" outlineLevel="1" spans="1:25">
      <c r="A204" s="40"/>
      <c r="B204" s="45" t="s">
        <v>18</v>
      </c>
      <c r="C204" s="42" t="s">
        <v>19</v>
      </c>
      <c r="D204" s="46">
        <f>D203*1.26*1.62</f>
        <v>152.07</v>
      </c>
      <c r="E204" s="38"/>
      <c r="F204" s="39"/>
      <c r="G204" s="38"/>
      <c r="H204" s="39"/>
      <c r="I204" s="39"/>
      <c r="J204" s="52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="2" customFormat="1" outlineLevel="1" spans="1:25">
      <c r="A205" s="40">
        <v>2</v>
      </c>
      <c r="B205" s="44" t="s">
        <v>111</v>
      </c>
      <c r="C205" s="42" t="s">
        <v>13</v>
      </c>
      <c r="D205" s="43">
        <f>D202</f>
        <v>745</v>
      </c>
      <c r="E205" s="38"/>
      <c r="F205" s="39"/>
      <c r="G205" s="38"/>
      <c r="H205" s="39"/>
      <c r="I205" s="39"/>
      <c r="J205" s="52"/>
      <c r="K205" s="52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="2" customFormat="1" outlineLevel="1" spans="1:25">
      <c r="A206" s="40"/>
      <c r="B206" s="45" t="s">
        <v>112</v>
      </c>
      <c r="C206" s="42" t="s">
        <v>19</v>
      </c>
      <c r="D206" s="43">
        <f>D205*0.05*1.26*1.59</f>
        <v>74.63</v>
      </c>
      <c r="E206" s="38"/>
      <c r="F206" s="39"/>
      <c r="G206" s="38"/>
      <c r="H206" s="39"/>
      <c r="I206" s="39"/>
      <c r="J206" s="52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="2" customFormat="1" outlineLevel="1" spans="1:25">
      <c r="A207" s="40">
        <v>3</v>
      </c>
      <c r="B207" s="44" t="s">
        <v>40</v>
      </c>
      <c r="C207" s="42" t="s">
        <v>13</v>
      </c>
      <c r="D207" s="43">
        <f>D205</f>
        <v>745</v>
      </c>
      <c r="E207" s="38"/>
      <c r="F207" s="39"/>
      <c r="G207" s="38"/>
      <c r="H207" s="39"/>
      <c r="I207" s="39"/>
      <c r="J207" s="52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="3" customFormat="1" outlineLevel="1" spans="1:10">
      <c r="A208" s="40"/>
      <c r="B208" s="45" t="s">
        <v>113</v>
      </c>
      <c r="C208" s="42" t="s">
        <v>13</v>
      </c>
      <c r="D208" s="46">
        <f>D207*1.05</f>
        <v>782.25</v>
      </c>
      <c r="E208" s="48"/>
      <c r="F208" s="49"/>
      <c r="G208" s="48"/>
      <c r="H208" s="49"/>
      <c r="I208" s="49"/>
      <c r="J208" s="52"/>
    </row>
    <row r="209" s="2" customFormat="1" outlineLevel="1" spans="1:25">
      <c r="A209" s="40"/>
      <c r="B209" s="45" t="s">
        <v>43</v>
      </c>
      <c r="C209" s="42" t="s">
        <v>19</v>
      </c>
      <c r="D209" s="46">
        <f>D207*0.0553*1.5</f>
        <v>61.8</v>
      </c>
      <c r="E209" s="38"/>
      <c r="F209" s="39"/>
      <c r="G209" s="38"/>
      <c r="H209" s="39"/>
      <c r="I209" s="39"/>
      <c r="J209" s="52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="2" customFormat="1" outlineLevel="1" spans="1:25">
      <c r="A210" s="40"/>
      <c r="B210" s="45" t="s">
        <v>44</v>
      </c>
      <c r="C210" s="42" t="s">
        <v>36</v>
      </c>
      <c r="D210" s="46">
        <f>ROUNDUP(D207*0.0085,0)</f>
        <v>7</v>
      </c>
      <c r="E210" s="48"/>
      <c r="F210" s="39"/>
      <c r="G210" s="38"/>
      <c r="H210" s="39"/>
      <c r="I210" s="39"/>
      <c r="J210" s="52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="2" customFormat="1" outlineLevel="1" spans="1:25">
      <c r="A211" s="40">
        <v>6</v>
      </c>
      <c r="B211" s="44" t="s">
        <v>45</v>
      </c>
      <c r="C211" s="42" t="s">
        <v>46</v>
      </c>
      <c r="D211" s="43">
        <v>1</v>
      </c>
      <c r="E211" s="38"/>
      <c r="F211" s="39"/>
      <c r="G211" s="38"/>
      <c r="H211" s="39"/>
      <c r="I211" s="39"/>
      <c r="J211" s="52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="2" customFormat="1" outlineLevel="1" spans="1:25">
      <c r="A212" s="34">
        <v>4</v>
      </c>
      <c r="B212" s="35" t="s">
        <v>114</v>
      </c>
      <c r="C212" s="36" t="s">
        <v>13</v>
      </c>
      <c r="D212" s="37">
        <f>355+56</f>
        <v>411</v>
      </c>
      <c r="E212" s="38"/>
      <c r="F212" s="39"/>
      <c r="G212" s="38"/>
      <c r="H212" s="39"/>
      <c r="I212" s="39"/>
      <c r="J212" s="52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="2" customFormat="1" outlineLevel="1" spans="1:25">
      <c r="A213" s="40">
        <v>1</v>
      </c>
      <c r="B213" s="44" t="s">
        <v>115</v>
      </c>
      <c r="C213" s="42" t="s">
        <v>15</v>
      </c>
      <c r="D213" s="43">
        <f>D212*0.17</f>
        <v>69.87</v>
      </c>
      <c r="E213" s="38"/>
      <c r="F213" s="39"/>
      <c r="G213" s="38"/>
      <c r="H213" s="39"/>
      <c r="I213" s="39"/>
      <c r="J213" s="52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="2" customFormat="1" outlineLevel="1" spans="1:25">
      <c r="A214" s="40"/>
      <c r="B214" s="45" t="s">
        <v>18</v>
      </c>
      <c r="C214" s="42" t="s">
        <v>19</v>
      </c>
      <c r="D214" s="46">
        <f>D213*1.26*1.62</f>
        <v>142.62</v>
      </c>
      <c r="E214" s="38"/>
      <c r="F214" s="39"/>
      <c r="G214" s="38"/>
      <c r="H214" s="39"/>
      <c r="I214" s="39"/>
      <c r="J214" s="52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="2" customFormat="1" outlineLevel="1" spans="1:25">
      <c r="A215" s="40">
        <v>2</v>
      </c>
      <c r="B215" s="44" t="s">
        <v>116</v>
      </c>
      <c r="C215" s="42" t="s">
        <v>13</v>
      </c>
      <c r="D215" s="43">
        <f>D212</f>
        <v>411</v>
      </c>
      <c r="E215" s="38"/>
      <c r="F215" s="39"/>
      <c r="G215" s="38"/>
      <c r="H215" s="39"/>
      <c r="I215" s="39"/>
      <c r="J215" s="52"/>
      <c r="K215" s="52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="2" customFormat="1" outlineLevel="1" spans="1:25">
      <c r="A216" s="40"/>
      <c r="B216" s="45" t="s">
        <v>112</v>
      </c>
      <c r="C216" s="42" t="s">
        <v>19</v>
      </c>
      <c r="D216" s="43">
        <f>D215*0.06*1.26*1.59</f>
        <v>49.4</v>
      </c>
      <c r="E216" s="38"/>
      <c r="F216" s="39"/>
      <c r="G216" s="38"/>
      <c r="H216" s="39"/>
      <c r="I216" s="39"/>
      <c r="J216" s="52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="2" customFormat="1" outlineLevel="1" spans="1:25">
      <c r="A217" s="40">
        <v>3</v>
      </c>
      <c r="B217" s="44" t="s">
        <v>50</v>
      </c>
      <c r="C217" s="42" t="s">
        <v>13</v>
      </c>
      <c r="D217" s="43">
        <f>D212</f>
        <v>411</v>
      </c>
      <c r="E217" s="38"/>
      <c r="F217" s="39"/>
      <c r="G217" s="38"/>
      <c r="H217" s="39"/>
      <c r="I217" s="39"/>
      <c r="J217" s="52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="2" customFormat="1" outlineLevel="1" spans="1:25">
      <c r="A218" s="40"/>
      <c r="B218" s="45" t="s">
        <v>117</v>
      </c>
      <c r="C218" s="42" t="s">
        <v>13</v>
      </c>
      <c r="D218" s="46">
        <f>355*1.05</f>
        <v>372.75</v>
      </c>
      <c r="E218" s="48"/>
      <c r="F218" s="39"/>
      <c r="G218" s="38"/>
      <c r="H218" s="39"/>
      <c r="I218" s="39"/>
      <c r="J218" s="52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="2" customFormat="1" outlineLevel="1" spans="1:25">
      <c r="A219" s="40"/>
      <c r="B219" s="45" t="s">
        <v>51</v>
      </c>
      <c r="C219" s="42" t="s">
        <v>13</v>
      </c>
      <c r="D219" s="46">
        <f>56*1.05</f>
        <v>58.8</v>
      </c>
      <c r="E219" s="48"/>
      <c r="F219" s="39"/>
      <c r="G219" s="38"/>
      <c r="H219" s="39"/>
      <c r="I219" s="39"/>
      <c r="J219" s="52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="2" customFormat="1" outlineLevel="1" spans="1:25">
      <c r="A220" s="40"/>
      <c r="B220" s="45" t="s">
        <v>43</v>
      </c>
      <c r="C220" s="42" t="s">
        <v>19</v>
      </c>
      <c r="D220" s="46">
        <f>D217*0.0553*1.5</f>
        <v>34.09</v>
      </c>
      <c r="E220" s="38"/>
      <c r="F220" s="39"/>
      <c r="G220" s="38"/>
      <c r="H220" s="39"/>
      <c r="I220" s="39"/>
      <c r="J220" s="52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="2" customFormat="1" outlineLevel="1" spans="1:25">
      <c r="A221" s="40"/>
      <c r="B221" s="45" t="s">
        <v>44</v>
      </c>
      <c r="C221" s="42" t="s">
        <v>36</v>
      </c>
      <c r="D221" s="46">
        <f>ROUNDUP(D217*0.0085,0)</f>
        <v>4</v>
      </c>
      <c r="E221" s="48"/>
      <c r="F221" s="39"/>
      <c r="G221" s="38"/>
      <c r="H221" s="39"/>
      <c r="I221" s="39"/>
      <c r="J221" s="52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="2" customFormat="1" outlineLevel="1" spans="1:25">
      <c r="A222" s="40">
        <v>4</v>
      </c>
      <c r="B222" s="44" t="s">
        <v>45</v>
      </c>
      <c r="C222" s="42" t="s">
        <v>46</v>
      </c>
      <c r="D222" s="43">
        <v>1</v>
      </c>
      <c r="E222" s="38"/>
      <c r="F222" s="39"/>
      <c r="G222" s="38"/>
      <c r="H222" s="39"/>
      <c r="I222" s="39"/>
      <c r="J222" s="52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="2" customFormat="1" outlineLevel="1" spans="1:25">
      <c r="A223" s="34">
        <v>5</v>
      </c>
      <c r="B223" s="35" t="s">
        <v>118</v>
      </c>
      <c r="C223" s="36" t="s">
        <v>13</v>
      </c>
      <c r="D223" s="37">
        <v>51</v>
      </c>
      <c r="E223" s="38"/>
      <c r="F223" s="39"/>
      <c r="G223" s="38"/>
      <c r="H223" s="39"/>
      <c r="I223" s="39"/>
      <c r="J223" s="52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="2" customFormat="1" outlineLevel="1" spans="1:25">
      <c r="A224" s="40">
        <v>1</v>
      </c>
      <c r="B224" s="44" t="s">
        <v>119</v>
      </c>
      <c r="C224" s="42" t="s">
        <v>15</v>
      </c>
      <c r="D224" s="43">
        <f>D223*0.1675</f>
        <v>8.54</v>
      </c>
      <c r="E224" s="38"/>
      <c r="F224" s="39"/>
      <c r="G224" s="38"/>
      <c r="H224" s="39"/>
      <c r="I224" s="39"/>
      <c r="J224" s="52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="2" customFormat="1" outlineLevel="1" spans="1:25">
      <c r="A225" s="40"/>
      <c r="B225" s="45" t="s">
        <v>18</v>
      </c>
      <c r="C225" s="42" t="s">
        <v>19</v>
      </c>
      <c r="D225" s="46">
        <f>D224*1.26*1.62</f>
        <v>17.43</v>
      </c>
      <c r="E225" s="38"/>
      <c r="F225" s="39"/>
      <c r="G225" s="38"/>
      <c r="H225" s="39"/>
      <c r="I225" s="39"/>
      <c r="J225" s="52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="3" customFormat="1" outlineLevel="1" spans="1:10">
      <c r="A226" s="40">
        <v>2</v>
      </c>
      <c r="B226" s="44" t="s">
        <v>56</v>
      </c>
      <c r="C226" s="42" t="s">
        <v>13</v>
      </c>
      <c r="D226" s="43">
        <f>D223</f>
        <v>51</v>
      </c>
      <c r="E226" s="48"/>
      <c r="F226" s="49"/>
      <c r="G226" s="48"/>
      <c r="H226" s="49"/>
      <c r="I226" s="49"/>
      <c r="J226" s="52"/>
    </row>
    <row r="227" s="2" customFormat="1" outlineLevel="1" spans="1:25">
      <c r="A227" s="40"/>
      <c r="B227" s="45" t="s">
        <v>57</v>
      </c>
      <c r="C227" s="42" t="s">
        <v>13</v>
      </c>
      <c r="D227" s="46">
        <f>D226*1.05</f>
        <v>53.55</v>
      </c>
      <c r="E227" s="48"/>
      <c r="F227" s="39"/>
      <c r="G227" s="38"/>
      <c r="H227" s="39"/>
      <c r="I227" s="39"/>
      <c r="J227" s="52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="2" customFormat="1" outlineLevel="1" spans="1:25">
      <c r="A228" s="40"/>
      <c r="B228" s="45" t="s">
        <v>43</v>
      </c>
      <c r="C228" s="42" t="s">
        <v>19</v>
      </c>
      <c r="D228" s="46">
        <f>D226*0.0553*1.5</f>
        <v>4.23</v>
      </c>
      <c r="E228" s="38"/>
      <c r="F228" s="39"/>
      <c r="G228" s="38"/>
      <c r="H228" s="39"/>
      <c r="I228" s="39"/>
      <c r="J228" s="52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="2" customFormat="1" outlineLevel="1" spans="1:25">
      <c r="A229" s="40"/>
      <c r="B229" s="45" t="s">
        <v>44</v>
      </c>
      <c r="C229" s="42" t="s">
        <v>36</v>
      </c>
      <c r="D229" s="46">
        <f>ROUNDUP(D226*0.0085,0)</f>
        <v>1</v>
      </c>
      <c r="E229" s="48"/>
      <c r="F229" s="39"/>
      <c r="G229" s="38"/>
      <c r="H229" s="39"/>
      <c r="I229" s="39"/>
      <c r="J229" s="52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="2" customFormat="1" outlineLevel="1" spans="1:25">
      <c r="A230" s="40">
        <v>3</v>
      </c>
      <c r="B230" s="44" t="s">
        <v>58</v>
      </c>
      <c r="C230" s="42" t="s">
        <v>13</v>
      </c>
      <c r="D230" s="43">
        <f>D223</f>
        <v>51</v>
      </c>
      <c r="E230" s="38"/>
      <c r="F230" s="39"/>
      <c r="G230" s="38"/>
      <c r="H230" s="39"/>
      <c r="I230" s="39"/>
      <c r="J230" s="52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="2" customFormat="1" outlineLevel="1" spans="1:25">
      <c r="A231" s="40"/>
      <c r="B231" s="45" t="s">
        <v>59</v>
      </c>
      <c r="C231" s="42" t="s">
        <v>46</v>
      </c>
      <c r="D231" s="46">
        <v>86.27</v>
      </c>
      <c r="E231" s="48"/>
      <c r="F231" s="39"/>
      <c r="G231" s="38"/>
      <c r="H231" s="39"/>
      <c r="I231" s="39"/>
      <c r="J231" s="52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="2" customFormat="1" outlineLevel="1" spans="1:25">
      <c r="A232" s="40"/>
      <c r="B232" s="45" t="s">
        <v>60</v>
      </c>
      <c r="C232" s="42" t="s">
        <v>13</v>
      </c>
      <c r="D232" s="46">
        <f>D230*1.05</f>
        <v>53.55</v>
      </c>
      <c r="E232" s="38"/>
      <c r="F232" s="39"/>
      <c r="G232" s="38"/>
      <c r="H232" s="39"/>
      <c r="I232" s="39"/>
      <c r="J232" s="52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="2" customFormat="1" outlineLevel="1" spans="1:25">
      <c r="A233" s="34">
        <v>6</v>
      </c>
      <c r="B233" s="35" t="s">
        <v>120</v>
      </c>
      <c r="C233" s="36" t="s">
        <v>13</v>
      </c>
      <c r="D233" s="37">
        <v>181</v>
      </c>
      <c r="E233" s="38"/>
      <c r="F233" s="39"/>
      <c r="G233" s="38"/>
      <c r="H233" s="39"/>
      <c r="I233" s="39"/>
      <c r="J233" s="52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="2" customFormat="1" outlineLevel="1" spans="1:25">
      <c r="A234" s="40">
        <v>1</v>
      </c>
      <c r="B234" s="44" t="s">
        <v>121</v>
      </c>
      <c r="C234" s="42" t="s">
        <v>15</v>
      </c>
      <c r="D234" s="43">
        <v>36.2</v>
      </c>
      <c r="E234" s="38"/>
      <c r="F234" s="39"/>
      <c r="G234" s="38"/>
      <c r="H234" s="39"/>
      <c r="I234" s="39"/>
      <c r="J234" s="52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="2" customFormat="1" outlineLevel="1" spans="1:25">
      <c r="A235" s="40"/>
      <c r="B235" s="45" t="s">
        <v>18</v>
      </c>
      <c r="C235" s="42" t="s">
        <v>19</v>
      </c>
      <c r="D235" s="46">
        <f>D234*1.26*1.62</f>
        <v>73.89</v>
      </c>
      <c r="E235" s="38"/>
      <c r="F235" s="39"/>
      <c r="G235" s="38"/>
      <c r="H235" s="39"/>
      <c r="I235" s="39"/>
      <c r="J235" s="52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="2" customFormat="1" outlineLevel="1" spans="1:25">
      <c r="A236" s="40">
        <v>2</v>
      </c>
      <c r="B236" s="44" t="s">
        <v>66</v>
      </c>
      <c r="C236" s="42" t="s">
        <v>13</v>
      </c>
      <c r="D236" s="43">
        <f>D233</f>
        <v>181</v>
      </c>
      <c r="E236" s="38"/>
      <c r="F236" s="39"/>
      <c r="G236" s="38"/>
      <c r="H236" s="39"/>
      <c r="I236" s="39"/>
      <c r="J236" s="52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="2" customFormat="1" outlineLevel="1" spans="1:25">
      <c r="A237" s="40"/>
      <c r="B237" s="45" t="s">
        <v>67</v>
      </c>
      <c r="C237" s="42" t="s">
        <v>13</v>
      </c>
      <c r="D237" s="46">
        <f>D236*1.1</f>
        <v>199.1</v>
      </c>
      <c r="E237" s="38"/>
      <c r="F237" s="39"/>
      <c r="G237" s="38"/>
      <c r="H237" s="39"/>
      <c r="I237" s="39"/>
      <c r="J237" s="52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="2" customFormat="1" outlineLevel="1" spans="1:25">
      <c r="A238" s="40"/>
      <c r="B238" s="45" t="s">
        <v>68</v>
      </c>
      <c r="C238" s="42" t="s">
        <v>19</v>
      </c>
      <c r="D238" s="46">
        <f>D236*0.07*1.26*1.59</f>
        <v>25.38</v>
      </c>
      <c r="E238" s="38"/>
      <c r="F238" s="39"/>
      <c r="G238" s="38"/>
      <c r="H238" s="39"/>
      <c r="I238" s="39"/>
      <c r="J238" s="52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="2" customFormat="1" outlineLevel="1" spans="1:25">
      <c r="A239" s="40">
        <v>3</v>
      </c>
      <c r="B239" s="44" t="s">
        <v>69</v>
      </c>
      <c r="C239" s="42" t="s">
        <v>13</v>
      </c>
      <c r="D239" s="43">
        <f>D233</f>
        <v>181</v>
      </c>
      <c r="E239" s="38"/>
      <c r="F239" s="39"/>
      <c r="G239" s="38"/>
      <c r="H239" s="39"/>
      <c r="I239" s="39"/>
      <c r="J239" s="52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="2" customFormat="1" outlineLevel="1" spans="1:25">
      <c r="A240" s="40"/>
      <c r="B240" s="45" t="s">
        <v>68</v>
      </c>
      <c r="C240" s="42" t="s">
        <v>19</v>
      </c>
      <c r="D240" s="46">
        <f>D239*0.01*1.26*1.59</f>
        <v>3.63</v>
      </c>
      <c r="E240" s="38"/>
      <c r="F240" s="39"/>
      <c r="G240" s="38"/>
      <c r="H240" s="39"/>
      <c r="I240" s="39"/>
      <c r="J240" s="52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="2" customFormat="1" outlineLevel="1" spans="1:25">
      <c r="A241" s="34">
        <v>7</v>
      </c>
      <c r="B241" s="35" t="s">
        <v>122</v>
      </c>
      <c r="C241" s="36" t="s">
        <v>13</v>
      </c>
      <c r="D241" s="37">
        <v>180</v>
      </c>
      <c r="E241" s="38"/>
      <c r="F241" s="39"/>
      <c r="G241" s="38"/>
      <c r="H241" s="39"/>
      <c r="I241" s="39"/>
      <c r="J241" s="52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="2" customFormat="1" outlineLevel="1" spans="1:25">
      <c r="A242" s="40">
        <v>1</v>
      </c>
      <c r="B242" s="44" t="s">
        <v>30</v>
      </c>
      <c r="C242" s="42" t="s">
        <v>15</v>
      </c>
      <c r="D242" s="43">
        <f>D241*0.18</f>
        <v>32.4</v>
      </c>
      <c r="E242" s="38"/>
      <c r="F242" s="39"/>
      <c r="G242" s="38"/>
      <c r="H242" s="39"/>
      <c r="I242" s="39"/>
      <c r="J242" s="52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="2" customFormat="1" outlineLevel="1" spans="1:25">
      <c r="A243" s="40"/>
      <c r="B243" s="45" t="s">
        <v>72</v>
      </c>
      <c r="C243" s="42" t="s">
        <v>19</v>
      </c>
      <c r="D243" s="46">
        <f>D242*1.26*1.48</f>
        <v>60.42</v>
      </c>
      <c r="E243" s="38"/>
      <c r="F243" s="39"/>
      <c r="G243" s="38"/>
      <c r="H243" s="39"/>
      <c r="I243" s="39"/>
      <c r="J243" s="52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="2" customFormat="1" outlineLevel="1" spans="1:25">
      <c r="A244" s="40">
        <v>2</v>
      </c>
      <c r="B244" s="44" t="s">
        <v>31</v>
      </c>
      <c r="C244" s="42" t="s">
        <v>13</v>
      </c>
      <c r="D244" s="43">
        <f>D241</f>
        <v>180</v>
      </c>
      <c r="E244" s="38"/>
      <c r="F244" s="39"/>
      <c r="G244" s="38"/>
      <c r="H244" s="39"/>
      <c r="I244" s="39"/>
      <c r="J244" s="52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="2" customFormat="1" outlineLevel="1" spans="1:25">
      <c r="A245" s="40"/>
      <c r="B245" s="45" t="s">
        <v>32</v>
      </c>
      <c r="C245" s="42" t="s">
        <v>13</v>
      </c>
      <c r="D245" s="46">
        <f>D244*1.1</f>
        <v>198</v>
      </c>
      <c r="E245" s="38"/>
      <c r="F245" s="39"/>
      <c r="G245" s="38"/>
      <c r="H245" s="39"/>
      <c r="I245" s="39"/>
      <c r="J245" s="52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="2" customFormat="1" outlineLevel="1" spans="1:25">
      <c r="A246" s="40">
        <v>3</v>
      </c>
      <c r="B246" s="44" t="s">
        <v>33</v>
      </c>
      <c r="C246" s="42" t="s">
        <v>13</v>
      </c>
      <c r="D246" s="43">
        <f>D241</f>
        <v>180</v>
      </c>
      <c r="E246" s="50"/>
      <c r="F246" s="48"/>
      <c r="G246" s="39"/>
      <c r="H246" s="39"/>
      <c r="I246" s="39"/>
      <c r="J246" s="5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="3" customFormat="1" outlineLevel="1" spans="1:10">
      <c r="A247" s="47"/>
      <c r="B247" s="45" t="s">
        <v>34</v>
      </c>
      <c r="C247" s="42" t="s">
        <v>13</v>
      </c>
      <c r="D247" s="46">
        <f>D246*1.1</f>
        <v>198</v>
      </c>
      <c r="E247" s="46"/>
      <c r="F247" s="48"/>
      <c r="G247" s="49"/>
      <c r="H247" s="48"/>
      <c r="I247" s="49"/>
      <c r="J247" s="54"/>
    </row>
    <row r="248" s="3" customFormat="1" outlineLevel="1" spans="1:10">
      <c r="A248" s="47"/>
      <c r="B248" s="45" t="s">
        <v>35</v>
      </c>
      <c r="C248" s="42" t="s">
        <v>36</v>
      </c>
      <c r="D248" s="46">
        <f>D246*4</f>
        <v>720</v>
      </c>
      <c r="E248" s="46"/>
      <c r="F248" s="48"/>
      <c r="G248" s="49"/>
      <c r="H248" s="48"/>
      <c r="I248" s="49"/>
      <c r="J248" s="54"/>
    </row>
    <row r="249" s="3" customFormat="1" outlineLevel="1" spans="1:10">
      <c r="A249" s="47"/>
      <c r="B249" s="45" t="s">
        <v>37</v>
      </c>
      <c r="C249" s="42" t="s">
        <v>15</v>
      </c>
      <c r="D249" s="46">
        <f>D246*0.12*1.02</f>
        <v>22.03</v>
      </c>
      <c r="E249" s="46"/>
      <c r="F249" s="48"/>
      <c r="G249" s="49"/>
      <c r="H249" s="48"/>
      <c r="I249" s="49"/>
      <c r="J249" s="54"/>
    </row>
    <row r="250" s="2" customFormat="1" outlineLevel="1" spans="1:25">
      <c r="A250" s="40">
        <v>4</v>
      </c>
      <c r="B250" s="44" t="s">
        <v>73</v>
      </c>
      <c r="C250" s="42" t="s">
        <v>13</v>
      </c>
      <c r="D250" s="43">
        <f>D241</f>
        <v>180</v>
      </c>
      <c r="E250" s="50"/>
      <c r="F250" s="48"/>
      <c r="G250" s="39"/>
      <c r="H250" s="39"/>
      <c r="I250" s="39"/>
      <c r="J250" s="5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="3" customFormat="1" outlineLevel="1" spans="1:10">
      <c r="A251" s="47"/>
      <c r="B251" s="45" t="s">
        <v>74</v>
      </c>
      <c r="C251" s="42" t="s">
        <v>15</v>
      </c>
      <c r="D251" s="46">
        <f>D250*0.05*1.02</f>
        <v>9.18</v>
      </c>
      <c r="E251" s="46"/>
      <c r="F251" s="48"/>
      <c r="G251" s="49"/>
      <c r="H251" s="48"/>
      <c r="I251" s="49"/>
      <c r="J251" s="54"/>
    </row>
    <row r="252" s="2" customFormat="1" outlineLevel="1" spans="1:25">
      <c r="A252" s="34">
        <v>8</v>
      </c>
      <c r="B252" s="35" t="s">
        <v>123</v>
      </c>
      <c r="C252" s="36" t="s">
        <v>13</v>
      </c>
      <c r="D252" s="37">
        <v>150</v>
      </c>
      <c r="E252" s="38"/>
      <c r="F252" s="39"/>
      <c r="G252" s="38"/>
      <c r="H252" s="39"/>
      <c r="I252" s="39"/>
      <c r="J252" s="52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="2" customFormat="1" outlineLevel="1" spans="1:25">
      <c r="A253" s="40">
        <v>1</v>
      </c>
      <c r="B253" s="44" t="s">
        <v>76</v>
      </c>
      <c r="C253" s="42" t="s">
        <v>15</v>
      </c>
      <c r="D253" s="43">
        <f>D252*0.17</f>
        <v>25.5</v>
      </c>
      <c r="E253" s="38"/>
      <c r="F253" s="39"/>
      <c r="G253" s="38"/>
      <c r="H253" s="39"/>
      <c r="I253" s="39"/>
      <c r="J253" s="52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="2" customFormat="1" outlineLevel="1" spans="1:25">
      <c r="A254" s="40"/>
      <c r="B254" s="45" t="s">
        <v>18</v>
      </c>
      <c r="C254" s="42" t="s">
        <v>19</v>
      </c>
      <c r="D254" s="46">
        <f>D253*1.26*1.62</f>
        <v>52.05</v>
      </c>
      <c r="E254" s="38"/>
      <c r="F254" s="39"/>
      <c r="G254" s="38"/>
      <c r="H254" s="39"/>
      <c r="I254" s="39"/>
      <c r="J254" s="52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="2" customFormat="1" outlineLevel="1" spans="1:25">
      <c r="A255" s="40">
        <v>2</v>
      </c>
      <c r="B255" s="44" t="s">
        <v>53</v>
      </c>
      <c r="C255" s="42" t="s">
        <v>13</v>
      </c>
      <c r="D255" s="43">
        <f>D252</f>
        <v>150</v>
      </c>
      <c r="E255" s="38"/>
      <c r="F255" s="39"/>
      <c r="G255" s="38"/>
      <c r="H255" s="39"/>
      <c r="I255" s="39"/>
      <c r="J255" s="52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="2" customFormat="1" outlineLevel="1" spans="1:25">
      <c r="A256" s="40"/>
      <c r="B256" s="45" t="s">
        <v>64</v>
      </c>
      <c r="C256" s="42" t="s">
        <v>13</v>
      </c>
      <c r="D256" s="46">
        <f>D255*1.1</f>
        <v>165</v>
      </c>
      <c r="E256" s="38"/>
      <c r="F256" s="39"/>
      <c r="G256" s="38"/>
      <c r="H256" s="39"/>
      <c r="I256" s="39"/>
      <c r="J256" s="52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="2" customFormat="1" outlineLevel="1" spans="1:25">
      <c r="A257" s="40">
        <v>3</v>
      </c>
      <c r="B257" s="44" t="s">
        <v>77</v>
      </c>
      <c r="C257" s="42" t="s">
        <v>13</v>
      </c>
      <c r="D257" s="43">
        <f>D252</f>
        <v>150</v>
      </c>
      <c r="E257" s="38"/>
      <c r="F257" s="39"/>
      <c r="G257" s="38"/>
      <c r="H257" s="39"/>
      <c r="I257" s="39"/>
      <c r="J257" s="52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="2" customFormat="1" outlineLevel="1" spans="1:25">
      <c r="A258" s="40"/>
      <c r="B258" s="45" t="s">
        <v>68</v>
      </c>
      <c r="C258" s="42" t="s">
        <v>19</v>
      </c>
      <c r="D258" s="46">
        <f>D257*0.1*1.26*1.59*0.8</f>
        <v>24.04</v>
      </c>
      <c r="E258" s="38"/>
      <c r="F258" s="39"/>
      <c r="G258" s="38"/>
      <c r="H258" s="39"/>
      <c r="I258" s="39"/>
      <c r="J258" s="52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="2" customFormat="1" outlineLevel="1" spans="1:25">
      <c r="A259" s="40"/>
      <c r="B259" s="45" t="s">
        <v>78</v>
      </c>
      <c r="C259" s="42" t="s">
        <v>19</v>
      </c>
      <c r="D259" s="46">
        <f>D257*0.1*1.65*0.2</f>
        <v>4.95</v>
      </c>
      <c r="E259" s="38"/>
      <c r="F259" s="39"/>
      <c r="G259" s="38"/>
      <c r="H259" s="39"/>
      <c r="I259" s="39"/>
      <c r="J259" s="52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="2" customFormat="1" outlineLevel="1" spans="1:25">
      <c r="A260" s="40">
        <v>4</v>
      </c>
      <c r="B260" s="44" t="s">
        <v>79</v>
      </c>
      <c r="C260" s="42" t="s">
        <v>13</v>
      </c>
      <c r="D260" s="43">
        <f>D252</f>
        <v>150</v>
      </c>
      <c r="E260" s="38"/>
      <c r="F260" s="39"/>
      <c r="G260" s="38"/>
      <c r="H260" s="39"/>
      <c r="I260" s="39"/>
      <c r="J260" s="52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="2" customFormat="1" outlineLevel="1" spans="1:25">
      <c r="A261" s="40"/>
      <c r="B261" s="45" t="s">
        <v>80</v>
      </c>
      <c r="C261" s="42" t="s">
        <v>13</v>
      </c>
      <c r="D261" s="46">
        <f>D260*1.05</f>
        <v>157.5</v>
      </c>
      <c r="E261" s="48"/>
      <c r="F261" s="39"/>
      <c r="G261" s="38"/>
      <c r="H261" s="39"/>
      <c r="I261" s="39"/>
      <c r="J261" s="52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="2" customFormat="1" outlineLevel="1" spans="1:25">
      <c r="A262" s="40"/>
      <c r="B262" s="45" t="s">
        <v>43</v>
      </c>
      <c r="C262" s="42" t="s">
        <v>19</v>
      </c>
      <c r="D262" s="46">
        <f>D260*0.0553*1.5</f>
        <v>12.44</v>
      </c>
      <c r="E262" s="38"/>
      <c r="F262" s="39"/>
      <c r="G262" s="38"/>
      <c r="H262" s="39"/>
      <c r="I262" s="39"/>
      <c r="J262" s="52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="2" customFormat="1" outlineLevel="1" spans="1:25">
      <c r="A263" s="40"/>
      <c r="B263" s="45" t="s">
        <v>44</v>
      </c>
      <c r="C263" s="42" t="s">
        <v>36</v>
      </c>
      <c r="D263" s="46">
        <f>ROUNDUP(D260*0.0085,0)</f>
        <v>2</v>
      </c>
      <c r="E263" s="48"/>
      <c r="F263" s="39"/>
      <c r="G263" s="38"/>
      <c r="H263" s="39"/>
      <c r="I263" s="39"/>
      <c r="J263" s="52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="2" customFormat="1" outlineLevel="1" spans="1:25">
      <c r="A264" s="40">
        <v>5</v>
      </c>
      <c r="B264" s="44" t="s">
        <v>45</v>
      </c>
      <c r="C264" s="42" t="s">
        <v>46</v>
      </c>
      <c r="D264" s="43">
        <v>1</v>
      </c>
      <c r="E264" s="38"/>
      <c r="F264" s="39"/>
      <c r="G264" s="38"/>
      <c r="H264" s="39"/>
      <c r="I264" s="39"/>
      <c r="J264" s="52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="2" customFormat="1" outlineLevel="1" spans="1:25">
      <c r="A265" s="40">
        <v>6</v>
      </c>
      <c r="B265" s="44" t="s">
        <v>81</v>
      </c>
      <c r="C265" s="42" t="s">
        <v>13</v>
      </c>
      <c r="D265" s="43">
        <f>D252</f>
        <v>150</v>
      </c>
      <c r="E265" s="38"/>
      <c r="F265" s="39"/>
      <c r="G265" s="38"/>
      <c r="H265" s="39"/>
      <c r="I265" s="39"/>
      <c r="J265" s="52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="2" customFormat="1" outlineLevel="1" spans="1:25">
      <c r="A266" s="40"/>
      <c r="B266" s="45" t="s">
        <v>78</v>
      </c>
      <c r="C266" s="42" t="s">
        <v>19</v>
      </c>
      <c r="D266" s="46">
        <f>D265*0.08*1.65*0.2</f>
        <v>3.96</v>
      </c>
      <c r="E266" s="38"/>
      <c r="F266" s="39"/>
      <c r="G266" s="38"/>
      <c r="H266" s="39"/>
      <c r="I266" s="39"/>
      <c r="J266" s="52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="3" customFormat="1" outlineLevel="1" spans="1:10">
      <c r="A267" s="40">
        <v>7</v>
      </c>
      <c r="B267" s="44" t="s">
        <v>82</v>
      </c>
      <c r="C267" s="42" t="s">
        <v>13</v>
      </c>
      <c r="D267" s="43">
        <f>D252</f>
        <v>150</v>
      </c>
      <c r="E267" s="48"/>
      <c r="F267" s="49"/>
      <c r="G267" s="48"/>
      <c r="H267" s="49"/>
      <c r="I267" s="49"/>
      <c r="J267" s="52"/>
    </row>
    <row r="268" s="2" customFormat="1" outlineLevel="1" spans="1:25">
      <c r="A268" s="40"/>
      <c r="B268" s="45" t="s">
        <v>83</v>
      </c>
      <c r="C268" s="42" t="s">
        <v>84</v>
      </c>
      <c r="D268" s="46">
        <f>D267*0.045</f>
        <v>6.75</v>
      </c>
      <c r="E268" s="38"/>
      <c r="F268" s="39"/>
      <c r="G268" s="38"/>
      <c r="H268" s="39"/>
      <c r="I268" s="39"/>
      <c r="J268" s="52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="2" customFormat="1" outlineLevel="1" spans="1:25">
      <c r="A269" s="34">
        <v>9</v>
      </c>
      <c r="B269" s="35" t="s">
        <v>124</v>
      </c>
      <c r="C269" s="36" t="s">
        <v>13</v>
      </c>
      <c r="D269" s="37">
        <v>155</v>
      </c>
      <c r="E269" s="38"/>
      <c r="F269" s="39"/>
      <c r="G269" s="38"/>
      <c r="H269" s="39"/>
      <c r="I269" s="39"/>
      <c r="J269" s="52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="2" customFormat="1" outlineLevel="1" spans="1:25">
      <c r="A270" s="40">
        <v>1</v>
      </c>
      <c r="B270" s="44" t="s">
        <v>125</v>
      </c>
      <c r="C270" s="42" t="s">
        <v>15</v>
      </c>
      <c r="D270" s="43">
        <f>D269*0.05</f>
        <v>7.75</v>
      </c>
      <c r="E270" s="38"/>
      <c r="F270" s="39"/>
      <c r="G270" s="38"/>
      <c r="H270" s="39"/>
      <c r="I270" s="39"/>
      <c r="J270" s="52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="2" customFormat="1" outlineLevel="1" spans="1:25">
      <c r="A271" s="40"/>
      <c r="B271" s="45" t="s">
        <v>18</v>
      </c>
      <c r="C271" s="42" t="s">
        <v>19</v>
      </c>
      <c r="D271" s="46">
        <f>D270*1.26*1.62</f>
        <v>15.82</v>
      </c>
      <c r="E271" s="38"/>
      <c r="F271" s="39"/>
      <c r="G271" s="38"/>
      <c r="H271" s="39"/>
      <c r="I271" s="39"/>
      <c r="J271" s="52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="2" customFormat="1" outlineLevel="1" spans="1:25">
      <c r="A272" s="40">
        <v>2</v>
      </c>
      <c r="B272" s="44" t="s">
        <v>53</v>
      </c>
      <c r="C272" s="42" t="s">
        <v>13</v>
      </c>
      <c r="D272" s="43">
        <f>D269</f>
        <v>155</v>
      </c>
      <c r="E272" s="38"/>
      <c r="F272" s="39"/>
      <c r="G272" s="38"/>
      <c r="H272" s="39"/>
      <c r="I272" s="39"/>
      <c r="J272" s="52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="2" customFormat="1" outlineLevel="1" spans="1:25">
      <c r="A273" s="40"/>
      <c r="B273" s="45" t="s">
        <v>54</v>
      </c>
      <c r="C273" s="42" t="s">
        <v>13</v>
      </c>
      <c r="D273" s="46">
        <f>D272*1.1</f>
        <v>170.5</v>
      </c>
      <c r="E273" s="38"/>
      <c r="F273" s="39"/>
      <c r="G273" s="38"/>
      <c r="H273" s="39"/>
      <c r="I273" s="39"/>
      <c r="J273" s="52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="2" customFormat="1" outlineLevel="1" spans="1:25">
      <c r="A274" s="40">
        <v>3</v>
      </c>
      <c r="B274" s="41" t="s">
        <v>126</v>
      </c>
      <c r="C274" s="42" t="s">
        <v>15</v>
      </c>
      <c r="D274" s="43">
        <f>D269*0.3</f>
        <v>46.5</v>
      </c>
      <c r="E274" s="38"/>
      <c r="F274" s="39"/>
      <c r="G274" s="38"/>
      <c r="H274" s="39"/>
      <c r="I274" s="39"/>
      <c r="J274" s="52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="2" customFormat="1" outlineLevel="1" spans="1:25">
      <c r="A275" s="40"/>
      <c r="B275" s="55" t="s">
        <v>63</v>
      </c>
      <c r="C275" s="42" t="s">
        <v>19</v>
      </c>
      <c r="D275" s="46">
        <f>D274*1.1*1.5</f>
        <v>76.73</v>
      </c>
      <c r="E275" s="38"/>
      <c r="F275" s="39"/>
      <c r="G275" s="38"/>
      <c r="H275" s="39"/>
      <c r="I275" s="39"/>
      <c r="J275" s="52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="2" customFormat="1" outlineLevel="1" spans="1:25">
      <c r="A276" s="34">
        <v>10</v>
      </c>
      <c r="B276" s="35" t="s">
        <v>127</v>
      </c>
      <c r="C276" s="36" t="s">
        <v>13</v>
      </c>
      <c r="D276" s="37">
        <f>179+19</f>
        <v>198</v>
      </c>
      <c r="E276" s="38"/>
      <c r="F276" s="39"/>
      <c r="G276" s="38"/>
      <c r="H276" s="39"/>
      <c r="I276" s="39"/>
      <c r="J276" s="52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="2" customFormat="1" outlineLevel="1" spans="1:25">
      <c r="A277" s="40">
        <v>1</v>
      </c>
      <c r="B277" s="44" t="s">
        <v>76</v>
      </c>
      <c r="C277" s="42" t="s">
        <v>15</v>
      </c>
      <c r="D277" s="43">
        <f>D276*0.17</f>
        <v>33.66</v>
      </c>
      <c r="E277" s="38"/>
      <c r="F277" s="39"/>
      <c r="G277" s="38"/>
      <c r="H277" s="39"/>
      <c r="I277" s="39"/>
      <c r="J277" s="52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="2" customFormat="1" outlineLevel="1" spans="1:25">
      <c r="A278" s="40"/>
      <c r="B278" s="45" t="s">
        <v>18</v>
      </c>
      <c r="C278" s="42" t="s">
        <v>19</v>
      </c>
      <c r="D278" s="46">
        <f>D277*1.26*1.62</f>
        <v>68.71</v>
      </c>
      <c r="E278" s="38"/>
      <c r="F278" s="39"/>
      <c r="G278" s="38"/>
      <c r="H278" s="39"/>
      <c r="I278" s="39"/>
      <c r="J278" s="52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="2" customFormat="1" outlineLevel="1" spans="1:25">
      <c r="A279" s="40">
        <v>2</v>
      </c>
      <c r="B279" s="44" t="s">
        <v>31</v>
      </c>
      <c r="C279" s="42" t="s">
        <v>13</v>
      </c>
      <c r="D279" s="43">
        <f>D276</f>
        <v>198</v>
      </c>
      <c r="E279" s="38"/>
      <c r="F279" s="39"/>
      <c r="G279" s="38"/>
      <c r="H279" s="39"/>
      <c r="I279" s="39"/>
      <c r="J279" s="52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="2" customFormat="1" outlineLevel="1" spans="1:25">
      <c r="A280" s="40"/>
      <c r="B280" s="45" t="s">
        <v>32</v>
      </c>
      <c r="C280" s="42" t="s">
        <v>13</v>
      </c>
      <c r="D280" s="46">
        <f>D279*1.1</f>
        <v>217.8</v>
      </c>
      <c r="E280" s="38"/>
      <c r="F280" s="39"/>
      <c r="G280" s="38"/>
      <c r="H280" s="39"/>
      <c r="I280" s="39"/>
      <c r="J280" s="52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="2" customFormat="1" outlineLevel="1" spans="1:25">
      <c r="A281" s="40">
        <v>3</v>
      </c>
      <c r="B281" s="44" t="s">
        <v>128</v>
      </c>
      <c r="C281" s="42" t="s">
        <v>13</v>
      </c>
      <c r="D281" s="43">
        <f>D276</f>
        <v>198</v>
      </c>
      <c r="E281" s="50"/>
      <c r="F281" s="48"/>
      <c r="G281" s="39"/>
      <c r="H281" s="39"/>
      <c r="I281" s="39"/>
      <c r="J281" s="5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="3" customFormat="1" outlineLevel="1" spans="1:10">
      <c r="A282" s="47"/>
      <c r="B282" s="45" t="s">
        <v>34</v>
      </c>
      <c r="C282" s="42" t="s">
        <v>13</v>
      </c>
      <c r="D282" s="46">
        <f>D281*1.1</f>
        <v>217.8</v>
      </c>
      <c r="E282" s="46"/>
      <c r="F282" s="48"/>
      <c r="G282" s="49"/>
      <c r="H282" s="48"/>
      <c r="I282" s="49"/>
      <c r="J282" s="54"/>
    </row>
    <row r="283" s="3" customFormat="1" outlineLevel="1" spans="1:10">
      <c r="A283" s="47"/>
      <c r="B283" s="45" t="s">
        <v>35</v>
      </c>
      <c r="C283" s="42" t="s">
        <v>36</v>
      </c>
      <c r="D283" s="46">
        <f>D281*4</f>
        <v>792</v>
      </c>
      <c r="E283" s="46"/>
      <c r="F283" s="48"/>
      <c r="G283" s="49"/>
      <c r="H283" s="48"/>
      <c r="I283" s="49"/>
      <c r="J283" s="54"/>
    </row>
    <row r="284" s="3" customFormat="1" outlineLevel="1" spans="1:10">
      <c r="A284" s="47"/>
      <c r="B284" s="45" t="s">
        <v>37</v>
      </c>
      <c r="C284" s="42" t="s">
        <v>15</v>
      </c>
      <c r="D284" s="46">
        <v>22.22</v>
      </c>
      <c r="E284" s="46"/>
      <c r="F284" s="48"/>
      <c r="G284" s="49"/>
      <c r="H284" s="48"/>
      <c r="I284" s="49"/>
      <c r="J284" s="54"/>
    </row>
    <row r="285" s="2" customFormat="1" outlineLevel="1" spans="1:25">
      <c r="A285" s="40">
        <v>4</v>
      </c>
      <c r="B285" s="44" t="s">
        <v>129</v>
      </c>
      <c r="C285" s="42" t="s">
        <v>13</v>
      </c>
      <c r="D285" s="43">
        <f>D276</f>
        <v>198</v>
      </c>
      <c r="E285" s="50"/>
      <c r="F285" s="48"/>
      <c r="G285" s="39"/>
      <c r="H285" s="39"/>
      <c r="I285" s="39"/>
      <c r="J285" s="5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="2" customFormat="1" outlineLevel="1" spans="1:25">
      <c r="A286" s="40">
        <v>5</v>
      </c>
      <c r="B286" s="44" t="s">
        <v>130</v>
      </c>
      <c r="C286" s="40" t="s">
        <v>13</v>
      </c>
      <c r="D286" s="46">
        <f>D276</f>
        <v>198</v>
      </c>
      <c r="E286" s="38"/>
      <c r="F286" s="39"/>
      <c r="G286" s="38"/>
      <c r="H286" s="39"/>
      <c r="I286" s="39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="2" customFormat="1" outlineLevel="1" spans="1:25">
      <c r="A287" s="40"/>
      <c r="B287" s="45" t="s">
        <v>131</v>
      </c>
      <c r="C287" s="42" t="s">
        <v>84</v>
      </c>
      <c r="D287" s="46">
        <f>179*7</f>
        <v>1253</v>
      </c>
      <c r="E287" s="48"/>
      <c r="F287" s="39"/>
      <c r="G287" s="38"/>
      <c r="H287" s="39"/>
      <c r="I287" s="39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="2" customFormat="1" outlineLevel="1" spans="1:25">
      <c r="A288" s="40"/>
      <c r="B288" s="45" t="s">
        <v>132</v>
      </c>
      <c r="C288" s="42" t="s">
        <v>84</v>
      </c>
      <c r="D288" s="46">
        <f>19*7</f>
        <v>133</v>
      </c>
      <c r="E288" s="48"/>
      <c r="F288" s="39"/>
      <c r="G288" s="38"/>
      <c r="H288" s="39"/>
      <c r="I288" s="39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="2" customFormat="1" outlineLevel="1" spans="1:25">
      <c r="A289" s="40"/>
      <c r="B289" s="45" t="s">
        <v>133</v>
      </c>
      <c r="C289" s="42" t="s">
        <v>84</v>
      </c>
      <c r="D289" s="46">
        <v>297</v>
      </c>
      <c r="E289" s="48"/>
      <c r="F289" s="39"/>
      <c r="G289" s="38"/>
      <c r="H289" s="39"/>
      <c r="I289" s="39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="2" customFormat="1" outlineLevel="1" spans="1:25">
      <c r="A290" s="40">
        <v>6</v>
      </c>
      <c r="B290" s="44" t="s">
        <v>134</v>
      </c>
      <c r="C290" s="40" t="s">
        <v>13</v>
      </c>
      <c r="D290" s="46">
        <f>D276</f>
        <v>198</v>
      </c>
      <c r="E290" s="38"/>
      <c r="F290" s="39"/>
      <c r="G290" s="38"/>
      <c r="H290" s="39"/>
      <c r="I290" s="39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="2" customFormat="1" outlineLevel="1" spans="1:25">
      <c r="A291" s="40"/>
      <c r="B291" s="45" t="s">
        <v>135</v>
      </c>
      <c r="C291" s="42" t="s">
        <v>84</v>
      </c>
      <c r="D291" s="46">
        <f>D290*0.25</f>
        <v>49.5</v>
      </c>
      <c r="E291" s="48"/>
      <c r="F291" s="39"/>
      <c r="G291" s="38"/>
      <c r="H291" s="39"/>
      <c r="I291" s="39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="2" customFormat="1" outlineLevel="1" spans="1:25">
      <c r="A292" s="40">
        <v>7</v>
      </c>
      <c r="B292" s="44" t="s">
        <v>136</v>
      </c>
      <c r="C292" s="40" t="s">
        <v>13</v>
      </c>
      <c r="D292" s="46">
        <f>D276</f>
        <v>198</v>
      </c>
      <c r="E292" s="38"/>
      <c r="F292" s="39"/>
      <c r="G292" s="38"/>
      <c r="H292" s="39"/>
      <c r="I292" s="39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="2" customFormat="1" outlineLevel="1" spans="1:25">
      <c r="A293" s="40"/>
      <c r="B293" s="45" t="s">
        <v>137</v>
      </c>
      <c r="C293" s="42" t="s">
        <v>84</v>
      </c>
      <c r="D293" s="46">
        <f>D292*12</f>
        <v>2376</v>
      </c>
      <c r="E293" s="48"/>
      <c r="F293" s="39"/>
      <c r="G293" s="38"/>
      <c r="H293" s="39"/>
      <c r="I293" s="39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="2" customFormat="1" outlineLevel="1" spans="1:25">
      <c r="A294" s="40"/>
      <c r="B294" s="45" t="s">
        <v>133</v>
      </c>
      <c r="C294" s="42" t="s">
        <v>84</v>
      </c>
      <c r="D294" s="46">
        <f>D292*3.4</f>
        <v>673.2</v>
      </c>
      <c r="E294" s="48"/>
      <c r="F294" s="39"/>
      <c r="G294" s="38"/>
      <c r="H294" s="39"/>
      <c r="I294" s="39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="2" customFormat="1" outlineLevel="1" spans="1:25">
      <c r="A295" s="34">
        <v>11</v>
      </c>
      <c r="B295" s="35" t="s">
        <v>138</v>
      </c>
      <c r="C295" s="36" t="s">
        <v>13</v>
      </c>
      <c r="D295" s="37">
        <v>55</v>
      </c>
      <c r="E295" s="38"/>
      <c r="F295" s="39"/>
      <c r="G295" s="38"/>
      <c r="H295" s="39"/>
      <c r="I295" s="39"/>
      <c r="J295" s="52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="2" customFormat="1" outlineLevel="1" spans="1:25">
      <c r="A296" s="40">
        <v>1</v>
      </c>
      <c r="B296" s="41" t="s">
        <v>139</v>
      </c>
      <c r="C296" s="42" t="s">
        <v>13</v>
      </c>
      <c r="D296" s="43">
        <f>D295</f>
        <v>55</v>
      </c>
      <c r="E296" s="38"/>
      <c r="F296" s="39"/>
      <c r="G296" s="38"/>
      <c r="H296" s="39"/>
      <c r="I296" s="39"/>
      <c r="J296" s="52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="2" customFormat="1" outlineLevel="1" spans="1:25">
      <c r="A297" s="40"/>
      <c r="B297" s="55" t="s">
        <v>140</v>
      </c>
      <c r="C297" s="42" t="s">
        <v>15</v>
      </c>
      <c r="D297" s="46">
        <f>D296*0.3*1.3</f>
        <v>21.45</v>
      </c>
      <c r="E297" s="38"/>
      <c r="F297" s="39"/>
      <c r="G297" s="38"/>
      <c r="H297" s="39"/>
      <c r="I297" s="39"/>
      <c r="J297" s="52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="3" customFormat="1" outlineLevel="1" spans="1:10">
      <c r="A298" s="40">
        <v>2</v>
      </c>
      <c r="B298" s="44" t="s">
        <v>90</v>
      </c>
      <c r="C298" s="42" t="s">
        <v>13</v>
      </c>
      <c r="D298" s="43">
        <f>D295</f>
        <v>55</v>
      </c>
      <c r="E298" s="48"/>
      <c r="F298" s="49"/>
      <c r="G298" s="48"/>
      <c r="H298" s="49"/>
      <c r="I298" s="49"/>
      <c r="J298" s="52"/>
    </row>
    <row r="299" s="2" customFormat="1" outlineLevel="1" spans="1:25">
      <c r="A299" s="40"/>
      <c r="B299" s="45" t="s">
        <v>68</v>
      </c>
      <c r="C299" s="42" t="s">
        <v>19</v>
      </c>
      <c r="D299" s="46">
        <f>D298*0.05*1.26*1.59</f>
        <v>5.51</v>
      </c>
      <c r="E299" s="38"/>
      <c r="F299" s="39"/>
      <c r="G299" s="38"/>
      <c r="H299" s="39"/>
      <c r="I299" s="39"/>
      <c r="J299" s="52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="2" customFormat="1" outlineLevel="1" spans="1:25">
      <c r="A300" s="40"/>
      <c r="B300" s="45" t="s">
        <v>83</v>
      </c>
      <c r="C300" s="42" t="s">
        <v>84</v>
      </c>
      <c r="D300" s="46">
        <f>D298*0.045</f>
        <v>2.48</v>
      </c>
      <c r="E300" s="38"/>
      <c r="F300" s="39"/>
      <c r="G300" s="38"/>
      <c r="H300" s="39"/>
      <c r="I300" s="39"/>
      <c r="J300" s="52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="2" customFormat="1" outlineLevel="1" spans="1:25">
      <c r="A301" s="34">
        <v>12</v>
      </c>
      <c r="B301" s="35" t="s">
        <v>141</v>
      </c>
      <c r="C301" s="36" t="s">
        <v>13</v>
      </c>
      <c r="D301" s="37">
        <v>421</v>
      </c>
      <c r="E301" s="38"/>
      <c r="F301" s="39"/>
      <c r="G301" s="38"/>
      <c r="H301" s="39"/>
      <c r="I301" s="39"/>
      <c r="J301" s="52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="2" customFormat="1" outlineLevel="1" spans="1:25">
      <c r="A302" s="40">
        <v>1</v>
      </c>
      <c r="B302" s="41" t="s">
        <v>139</v>
      </c>
      <c r="C302" s="42" t="s">
        <v>13</v>
      </c>
      <c r="D302" s="43">
        <f>D301</f>
        <v>421</v>
      </c>
      <c r="E302" s="38"/>
      <c r="F302" s="39"/>
      <c r="G302" s="38"/>
      <c r="H302" s="39"/>
      <c r="I302" s="39"/>
      <c r="J302" s="52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="2" customFormat="1" outlineLevel="1" spans="1:25">
      <c r="A303" s="40"/>
      <c r="B303" s="55" t="s">
        <v>140</v>
      </c>
      <c r="C303" s="42" t="s">
        <v>15</v>
      </c>
      <c r="D303" s="46">
        <v>164.19</v>
      </c>
      <c r="E303" s="38"/>
      <c r="F303" s="39"/>
      <c r="G303" s="38"/>
      <c r="H303" s="39"/>
      <c r="I303" s="39"/>
      <c r="J303" s="52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="2" customFormat="1" outlineLevel="1" spans="1:25">
      <c r="A304" s="40">
        <v>2</v>
      </c>
      <c r="B304" s="44" t="s">
        <v>100</v>
      </c>
      <c r="C304" s="42" t="s">
        <v>13</v>
      </c>
      <c r="D304" s="43">
        <f>D301</f>
        <v>421</v>
      </c>
      <c r="E304" s="38"/>
      <c r="F304" s="39"/>
      <c r="G304" s="38"/>
      <c r="H304" s="39"/>
      <c r="I304" s="39"/>
      <c r="J304" s="52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="2" customFormat="1" outlineLevel="1" spans="1:25">
      <c r="A305" s="40"/>
      <c r="B305" s="55" t="s">
        <v>101</v>
      </c>
      <c r="C305" s="42" t="s">
        <v>15</v>
      </c>
      <c r="D305" s="46">
        <f>D304*0.05*1.02</f>
        <v>21.47</v>
      </c>
      <c r="E305" s="38"/>
      <c r="F305" s="39"/>
      <c r="G305" s="38"/>
      <c r="H305" s="39"/>
      <c r="I305" s="39"/>
      <c r="J305" s="52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="2" customFormat="1" outlineLevel="1" spans="1:25">
      <c r="A306" s="34">
        <v>13</v>
      </c>
      <c r="B306" s="35" t="s">
        <v>142</v>
      </c>
      <c r="C306" s="36" t="s">
        <v>13</v>
      </c>
      <c r="D306" s="37">
        <v>112</v>
      </c>
      <c r="E306" s="38"/>
      <c r="F306" s="39"/>
      <c r="G306" s="38"/>
      <c r="H306" s="39"/>
      <c r="I306" s="39"/>
      <c r="J306" s="52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="2" customFormat="1" outlineLevel="1" spans="1:25">
      <c r="A307" s="40">
        <v>1</v>
      </c>
      <c r="B307" s="44" t="s">
        <v>143</v>
      </c>
      <c r="C307" s="42" t="s">
        <v>15</v>
      </c>
      <c r="D307" s="43">
        <f>D306*0.16</f>
        <v>17.92</v>
      </c>
      <c r="E307" s="38"/>
      <c r="F307" s="39"/>
      <c r="G307" s="38"/>
      <c r="H307" s="39"/>
      <c r="I307" s="39"/>
      <c r="J307" s="52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="2" customFormat="1" outlineLevel="1" spans="1:25">
      <c r="A308" s="40"/>
      <c r="B308" s="45" t="s">
        <v>18</v>
      </c>
      <c r="C308" s="42" t="s">
        <v>19</v>
      </c>
      <c r="D308" s="46">
        <f>D307*1.26*1.62</f>
        <v>36.58</v>
      </c>
      <c r="E308" s="38"/>
      <c r="F308" s="39"/>
      <c r="G308" s="38"/>
      <c r="H308" s="39"/>
      <c r="I308" s="39"/>
      <c r="J308" s="52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="2" customFormat="1" outlineLevel="1" spans="1:25">
      <c r="A309" s="40">
        <v>2</v>
      </c>
      <c r="B309" s="41" t="s">
        <v>144</v>
      </c>
      <c r="C309" s="42" t="s">
        <v>13</v>
      </c>
      <c r="D309" s="43">
        <f>D306</f>
        <v>112</v>
      </c>
      <c r="E309" s="38"/>
      <c r="F309" s="39"/>
      <c r="G309" s="38"/>
      <c r="H309" s="39"/>
      <c r="I309" s="39"/>
      <c r="J309" s="52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="2" customFormat="1" outlineLevel="1" spans="1:25">
      <c r="A310" s="40"/>
      <c r="B310" s="55" t="s">
        <v>140</v>
      </c>
      <c r="C310" s="42" t="s">
        <v>15</v>
      </c>
      <c r="D310" s="46">
        <f>D309*0.15*1.3</f>
        <v>21.84</v>
      </c>
      <c r="E310" s="38"/>
      <c r="F310" s="39"/>
      <c r="G310" s="38"/>
      <c r="H310" s="39"/>
      <c r="I310" s="39"/>
      <c r="J310" s="52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="2" customFormat="1" outlineLevel="1" spans="1:25">
      <c r="A311" s="40">
        <v>3</v>
      </c>
      <c r="B311" s="44" t="s">
        <v>94</v>
      </c>
      <c r="C311" s="42" t="s">
        <v>13</v>
      </c>
      <c r="D311" s="43">
        <f>D306</f>
        <v>112</v>
      </c>
      <c r="E311" s="38"/>
      <c r="F311" s="39"/>
      <c r="G311" s="38"/>
      <c r="H311" s="39"/>
      <c r="I311" s="39"/>
      <c r="J311" s="52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="2" customFormat="1" outlineLevel="1" spans="1:25">
      <c r="A312" s="40"/>
      <c r="B312" s="45" t="s">
        <v>95</v>
      </c>
      <c r="C312" s="42" t="s">
        <v>13</v>
      </c>
      <c r="D312" s="46">
        <f>D311*1.1</f>
        <v>123.2</v>
      </c>
      <c r="E312" s="38"/>
      <c r="F312" s="39"/>
      <c r="G312" s="38"/>
      <c r="H312" s="39"/>
      <c r="I312" s="39"/>
      <c r="J312" s="52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="2" customFormat="1" ht="22.5" customHeight="1" outlineLevel="1" spans="1:25">
      <c r="A313" s="29"/>
      <c r="B313" s="30" t="s">
        <v>145</v>
      </c>
      <c r="C313" s="30"/>
      <c r="D313" s="31"/>
      <c r="E313" s="32"/>
      <c r="F313" s="33"/>
      <c r="G313" s="32"/>
      <c r="H313" s="33"/>
      <c r="I313" s="33"/>
      <c r="J313" s="52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="2" customFormat="1" outlineLevel="1" spans="1:25">
      <c r="A314" s="34">
        <v>1</v>
      </c>
      <c r="B314" s="35" t="s">
        <v>146</v>
      </c>
      <c r="C314" s="36" t="s">
        <v>46</v>
      </c>
      <c r="D314" s="37">
        <v>424</v>
      </c>
      <c r="E314" s="38"/>
      <c r="F314" s="39"/>
      <c r="G314" s="38"/>
      <c r="H314" s="39"/>
      <c r="I314" s="39"/>
      <c r="J314" s="52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="2" customFormat="1" ht="15.75" customHeight="1" outlineLevel="1" spans="1:25">
      <c r="A315" s="40">
        <v>1</v>
      </c>
      <c r="B315" s="41" t="s">
        <v>14</v>
      </c>
      <c r="C315" s="42" t="s">
        <v>15</v>
      </c>
      <c r="D315" s="43">
        <f>D314*0.35*0.5</f>
        <v>74.2</v>
      </c>
      <c r="E315" s="38"/>
      <c r="F315" s="39"/>
      <c r="G315" s="38"/>
      <c r="H315" s="39"/>
      <c r="I315" s="39"/>
      <c r="J315" s="52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="2" customFormat="1" ht="15.75" customHeight="1" outlineLevel="1" spans="1:25">
      <c r="A316" s="40">
        <v>2</v>
      </c>
      <c r="B316" s="41" t="s">
        <v>16</v>
      </c>
      <c r="C316" s="42" t="s">
        <v>13</v>
      </c>
      <c r="D316" s="43">
        <f>D314*0.35</f>
        <v>148.4</v>
      </c>
      <c r="E316" s="38"/>
      <c r="F316" s="39"/>
      <c r="G316" s="38"/>
      <c r="H316" s="39"/>
      <c r="I316" s="39"/>
      <c r="J316" s="52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="2" customFormat="1" outlineLevel="1" spans="1:25">
      <c r="A317" s="40">
        <v>3</v>
      </c>
      <c r="B317" s="44" t="s">
        <v>147</v>
      </c>
      <c r="C317" s="42" t="s">
        <v>15</v>
      </c>
      <c r="D317" s="43">
        <f>D316*0.25</f>
        <v>37.1</v>
      </c>
      <c r="E317" s="38"/>
      <c r="F317" s="39"/>
      <c r="G317" s="38"/>
      <c r="H317" s="39"/>
      <c r="I317" s="39"/>
      <c r="J317" s="52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="2" customFormat="1" outlineLevel="1" spans="1:25">
      <c r="A318" s="40"/>
      <c r="B318" s="45" t="s">
        <v>18</v>
      </c>
      <c r="C318" s="42" t="s">
        <v>19</v>
      </c>
      <c r="D318" s="46">
        <f>D317*1.26*1.62</f>
        <v>75.73</v>
      </c>
      <c r="E318" s="38"/>
      <c r="F318" s="39"/>
      <c r="G318" s="38"/>
      <c r="H318" s="39"/>
      <c r="I318" s="39"/>
      <c r="J318" s="52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="2" customFormat="1" outlineLevel="1" spans="1:25">
      <c r="A319" s="40">
        <v>4</v>
      </c>
      <c r="B319" s="44" t="s">
        <v>148</v>
      </c>
      <c r="C319" s="42" t="s">
        <v>46</v>
      </c>
      <c r="D319" s="43">
        <f>D314</f>
        <v>424</v>
      </c>
      <c r="E319" s="38"/>
      <c r="F319" s="39"/>
      <c r="G319" s="48"/>
      <c r="H319" s="39"/>
      <c r="I319" s="39"/>
      <c r="J319" s="52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="2" customFormat="1" outlineLevel="1" spans="1:25">
      <c r="A320" s="40"/>
      <c r="B320" s="45" t="s">
        <v>149</v>
      </c>
      <c r="C320" s="42" t="s">
        <v>36</v>
      </c>
      <c r="D320" s="46">
        <f>D319*1.05</f>
        <v>445.2</v>
      </c>
      <c r="E320" s="38"/>
      <c r="F320" s="39"/>
      <c r="G320" s="38"/>
      <c r="H320" s="39"/>
      <c r="I320" s="39"/>
      <c r="J320" s="52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="3" customFormat="1" outlineLevel="1" spans="1:10">
      <c r="A321" s="40"/>
      <c r="B321" s="45" t="s">
        <v>150</v>
      </c>
      <c r="C321" s="42" t="s">
        <v>15</v>
      </c>
      <c r="D321" s="46">
        <v>23.32</v>
      </c>
      <c r="E321" s="48"/>
      <c r="F321" s="49"/>
      <c r="G321" s="48"/>
      <c r="H321" s="49"/>
      <c r="I321" s="49"/>
      <c r="J321" s="52"/>
    </row>
    <row r="322" s="2" customFormat="1" outlineLevel="1" spans="1:25">
      <c r="A322" s="40"/>
      <c r="B322" s="45" t="s">
        <v>44</v>
      </c>
      <c r="C322" s="42" t="s">
        <v>36</v>
      </c>
      <c r="D322" s="46">
        <f>ROUNDUP(D319*0.0065,0)</f>
        <v>3</v>
      </c>
      <c r="E322" s="48"/>
      <c r="F322" s="39"/>
      <c r="G322" s="38"/>
      <c r="H322" s="39"/>
      <c r="I322" s="39"/>
      <c r="J322" s="52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="2" customFormat="1" outlineLevel="1" spans="1:25">
      <c r="A323" s="40">
        <v>5</v>
      </c>
      <c r="B323" s="44" t="s">
        <v>151</v>
      </c>
      <c r="C323" s="42" t="s">
        <v>46</v>
      </c>
      <c r="D323" s="43">
        <v>1</v>
      </c>
      <c r="E323" s="38"/>
      <c r="F323" s="39"/>
      <c r="G323" s="38"/>
      <c r="H323" s="39"/>
      <c r="I323" s="39"/>
      <c r="J323" s="52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="2" customFormat="1" outlineLevel="1" spans="1:25">
      <c r="A324" s="34">
        <v>2</v>
      </c>
      <c r="B324" s="35" t="s">
        <v>152</v>
      </c>
      <c r="C324" s="36" t="s">
        <v>46</v>
      </c>
      <c r="D324" s="37">
        <v>629</v>
      </c>
      <c r="E324" s="38"/>
      <c r="F324" s="39"/>
      <c r="G324" s="38"/>
      <c r="H324" s="39"/>
      <c r="I324" s="39"/>
      <c r="J324" s="52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="2" customFormat="1" ht="15.75" customHeight="1" outlineLevel="1" spans="1:25">
      <c r="A325" s="40">
        <v>1</v>
      </c>
      <c r="B325" s="41" t="s">
        <v>14</v>
      </c>
      <c r="C325" s="42" t="s">
        <v>15</v>
      </c>
      <c r="D325" s="43">
        <f>D324*0.28*0.39</f>
        <v>68.69</v>
      </c>
      <c r="E325" s="38"/>
      <c r="F325" s="39"/>
      <c r="G325" s="38"/>
      <c r="H325" s="39"/>
      <c r="I325" s="39"/>
      <c r="J325" s="52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="2" customFormat="1" ht="15.75" customHeight="1" outlineLevel="1" spans="1:25">
      <c r="A326" s="40">
        <v>2</v>
      </c>
      <c r="B326" s="41" t="s">
        <v>16</v>
      </c>
      <c r="C326" s="42" t="s">
        <v>13</v>
      </c>
      <c r="D326" s="43">
        <f>D324*0.28</f>
        <v>176.12</v>
      </c>
      <c r="E326" s="38"/>
      <c r="F326" s="39"/>
      <c r="G326" s="38"/>
      <c r="H326" s="39"/>
      <c r="I326" s="39"/>
      <c r="J326" s="52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="2" customFormat="1" outlineLevel="1" spans="1:25">
      <c r="A327" s="40">
        <v>3</v>
      </c>
      <c r="B327" s="44" t="s">
        <v>153</v>
      </c>
      <c r="C327" s="42" t="s">
        <v>15</v>
      </c>
      <c r="D327" s="43">
        <f>D326*0.15</f>
        <v>26.42</v>
      </c>
      <c r="E327" s="38"/>
      <c r="F327" s="39"/>
      <c r="G327" s="38"/>
      <c r="H327" s="39"/>
      <c r="I327" s="39"/>
      <c r="J327" s="52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="2" customFormat="1" outlineLevel="1" spans="1:25">
      <c r="A328" s="40"/>
      <c r="B328" s="45" t="s">
        <v>18</v>
      </c>
      <c r="C328" s="42" t="s">
        <v>19</v>
      </c>
      <c r="D328" s="46">
        <f>D327*1.26*1.62</f>
        <v>53.93</v>
      </c>
      <c r="E328" s="38"/>
      <c r="F328" s="39"/>
      <c r="G328" s="38"/>
      <c r="H328" s="39"/>
      <c r="I328" s="39"/>
      <c r="J328" s="52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="2" customFormat="1" outlineLevel="1" spans="1:25">
      <c r="A329" s="40">
        <v>4</v>
      </c>
      <c r="B329" s="44" t="s">
        <v>154</v>
      </c>
      <c r="C329" s="42" t="s">
        <v>46</v>
      </c>
      <c r="D329" s="43">
        <f>D324</f>
        <v>629</v>
      </c>
      <c r="E329" s="38"/>
      <c r="F329" s="39"/>
      <c r="G329" s="48"/>
      <c r="H329" s="39"/>
      <c r="I329" s="39"/>
      <c r="J329" s="52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="2" customFormat="1" outlineLevel="1" spans="1:25">
      <c r="A330" s="40"/>
      <c r="B330" s="45" t="s">
        <v>155</v>
      </c>
      <c r="C330" s="42" t="s">
        <v>36</v>
      </c>
      <c r="D330" s="46">
        <f>D329*1.05</f>
        <v>660.45</v>
      </c>
      <c r="E330" s="38"/>
      <c r="F330" s="39"/>
      <c r="G330" s="38"/>
      <c r="H330" s="39"/>
      <c r="I330" s="39"/>
      <c r="J330" s="52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="3" customFormat="1" outlineLevel="1" spans="1:10">
      <c r="A331" s="40"/>
      <c r="B331" s="45" t="s">
        <v>150</v>
      </c>
      <c r="C331" s="42" t="s">
        <v>15</v>
      </c>
      <c r="D331" s="46">
        <f>D329*0.048</f>
        <v>30.19</v>
      </c>
      <c r="E331" s="48"/>
      <c r="F331" s="49"/>
      <c r="G331" s="48"/>
      <c r="H331" s="49"/>
      <c r="I331" s="49"/>
      <c r="J331" s="52"/>
    </row>
    <row r="332" s="2" customFormat="1" outlineLevel="1" spans="1:25">
      <c r="A332" s="40"/>
      <c r="B332" s="45" t="s">
        <v>44</v>
      </c>
      <c r="C332" s="42" t="s">
        <v>36</v>
      </c>
      <c r="D332" s="46">
        <f>ROUNDUP(D329*0.0065,0)</f>
        <v>5</v>
      </c>
      <c r="E332" s="48"/>
      <c r="F332" s="39"/>
      <c r="G332" s="38"/>
      <c r="H332" s="39"/>
      <c r="I332" s="39"/>
      <c r="J332" s="52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="2" customFormat="1" outlineLevel="1" spans="1:25">
      <c r="A333" s="40">
        <v>5</v>
      </c>
      <c r="B333" s="44" t="s">
        <v>151</v>
      </c>
      <c r="C333" s="42" t="s">
        <v>46</v>
      </c>
      <c r="D333" s="43">
        <v>1</v>
      </c>
      <c r="E333" s="38"/>
      <c r="F333" s="39"/>
      <c r="G333" s="38"/>
      <c r="H333" s="39"/>
      <c r="I333" s="39"/>
      <c r="J333" s="52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="2" customFormat="1" outlineLevel="1" spans="1:25">
      <c r="A334" s="34">
        <v>3</v>
      </c>
      <c r="B334" s="35" t="s">
        <v>156</v>
      </c>
      <c r="C334" s="36" t="s">
        <v>46</v>
      </c>
      <c r="D334" s="37">
        <v>79</v>
      </c>
      <c r="E334" s="38"/>
      <c r="F334" s="39"/>
      <c r="G334" s="38"/>
      <c r="H334" s="39"/>
      <c r="I334" s="39"/>
      <c r="J334" s="52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="2" customFormat="1" ht="15.75" customHeight="1" outlineLevel="1" spans="1:25">
      <c r="A335" s="40">
        <v>1</v>
      </c>
      <c r="B335" s="41" t="s">
        <v>14</v>
      </c>
      <c r="C335" s="42" t="s">
        <v>15</v>
      </c>
      <c r="D335" s="43">
        <f>D334*0.2*0.13</f>
        <v>2.05</v>
      </c>
      <c r="E335" s="38"/>
      <c r="F335" s="39"/>
      <c r="G335" s="38"/>
      <c r="H335" s="39"/>
      <c r="I335" s="39"/>
      <c r="J335" s="52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="2" customFormat="1" ht="15.75" customHeight="1" outlineLevel="1" spans="1:25">
      <c r="A336" s="40">
        <v>2</v>
      </c>
      <c r="B336" s="41" t="s">
        <v>16</v>
      </c>
      <c r="C336" s="42" t="s">
        <v>13</v>
      </c>
      <c r="D336" s="43">
        <f>D334*0.2</f>
        <v>15.8</v>
      </c>
      <c r="E336" s="38"/>
      <c r="F336" s="39"/>
      <c r="G336" s="38"/>
      <c r="H336" s="39"/>
      <c r="I336" s="39"/>
      <c r="J336" s="52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="2" customFormat="1" outlineLevel="1" spans="1:25">
      <c r="A337" s="40">
        <v>3</v>
      </c>
      <c r="B337" s="44" t="s">
        <v>53</v>
      </c>
      <c r="C337" s="42" t="s">
        <v>13</v>
      </c>
      <c r="D337" s="43">
        <f>D336</f>
        <v>15.8</v>
      </c>
      <c r="E337" s="38"/>
      <c r="F337" s="39"/>
      <c r="G337" s="38"/>
      <c r="H337" s="39"/>
      <c r="I337" s="39"/>
      <c r="J337" s="52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="2" customFormat="1" outlineLevel="1" spans="1:25">
      <c r="A338" s="40"/>
      <c r="B338" s="45" t="s">
        <v>54</v>
      </c>
      <c r="C338" s="42" t="s">
        <v>13</v>
      </c>
      <c r="D338" s="46">
        <f>D337*1.1</f>
        <v>17.38</v>
      </c>
      <c r="E338" s="38"/>
      <c r="F338" s="39"/>
      <c r="G338" s="38"/>
      <c r="H338" s="39"/>
      <c r="I338" s="39"/>
      <c r="J338" s="52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="2" customFormat="1" outlineLevel="1" spans="1:25">
      <c r="A339" s="40">
        <v>4</v>
      </c>
      <c r="B339" s="44" t="s">
        <v>157</v>
      </c>
      <c r="C339" s="42" t="s">
        <v>15</v>
      </c>
      <c r="D339" s="43">
        <f>D336*0.13</f>
        <v>2.05</v>
      </c>
      <c r="E339" s="38"/>
      <c r="F339" s="39"/>
      <c r="G339" s="38"/>
      <c r="H339" s="39"/>
      <c r="I339" s="39"/>
      <c r="J339" s="52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="2" customFormat="1" outlineLevel="1" spans="1:25">
      <c r="A340" s="40"/>
      <c r="B340" s="45" t="s">
        <v>158</v>
      </c>
      <c r="C340" s="42" t="s">
        <v>19</v>
      </c>
      <c r="D340" s="46">
        <f>D339*1.26*1.48</f>
        <v>3.82</v>
      </c>
      <c r="E340" s="38"/>
      <c r="F340" s="39"/>
      <c r="G340" s="38"/>
      <c r="H340" s="39"/>
      <c r="I340" s="39"/>
      <c r="J340" s="52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="2" customFormat="1" outlineLevel="1" spans="1:25">
      <c r="A341" s="40">
        <v>5</v>
      </c>
      <c r="B341" s="44" t="s">
        <v>159</v>
      </c>
      <c r="C341" s="42" t="s">
        <v>46</v>
      </c>
      <c r="D341" s="43">
        <f>D334</f>
        <v>79</v>
      </c>
      <c r="E341" s="38"/>
      <c r="F341" s="39"/>
      <c r="G341" s="48"/>
      <c r="H341" s="39"/>
      <c r="I341" s="39"/>
      <c r="J341" s="52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="2" customFormat="1" outlineLevel="1" spans="1:25">
      <c r="A342" s="40"/>
      <c r="B342" s="45" t="s">
        <v>160</v>
      </c>
      <c r="C342" s="42" t="s">
        <v>46</v>
      </c>
      <c r="D342" s="46">
        <f>D341*1.05</f>
        <v>82.95</v>
      </c>
      <c r="E342" s="38"/>
      <c r="F342" s="39"/>
      <c r="G342" s="38"/>
      <c r="H342" s="39"/>
      <c r="I342" s="39"/>
      <c r="J342" s="52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="3" customFormat="1" outlineLevel="1" spans="1:10">
      <c r="A343" s="40"/>
      <c r="B343" s="45" t="s">
        <v>161</v>
      </c>
      <c r="C343" s="42" t="s">
        <v>36</v>
      </c>
      <c r="D343" s="46">
        <v>78</v>
      </c>
      <c r="E343" s="48"/>
      <c r="F343" s="49"/>
      <c r="G343" s="48"/>
      <c r="H343" s="49"/>
      <c r="I343" s="49"/>
      <c r="J343" s="52"/>
    </row>
    <row r="344" s="2" customFormat="1" outlineLevel="1" spans="1:25">
      <c r="A344" s="40"/>
      <c r="B344" s="45" t="s">
        <v>162</v>
      </c>
      <c r="C344" s="42" t="s">
        <v>36</v>
      </c>
      <c r="D344" s="46">
        <f>ROUNDUP(D341*0.011,0)</f>
        <v>1</v>
      </c>
      <c r="E344" s="48"/>
      <c r="F344" s="39"/>
      <c r="G344" s="38"/>
      <c r="H344" s="39"/>
      <c r="I344" s="39"/>
      <c r="J344" s="52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="2" customFormat="1" outlineLevel="1" spans="1:25">
      <c r="A345" s="40">
        <v>6</v>
      </c>
      <c r="B345" s="44" t="s">
        <v>163</v>
      </c>
      <c r="C345" s="42" t="s">
        <v>46</v>
      </c>
      <c r="D345" s="43">
        <v>1</v>
      </c>
      <c r="E345" s="38"/>
      <c r="F345" s="39"/>
      <c r="G345" s="38"/>
      <c r="H345" s="39"/>
      <c r="I345" s="39"/>
      <c r="J345" s="52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="2" customFormat="1" outlineLevel="1" spans="1:25">
      <c r="A346" s="34">
        <v>4</v>
      </c>
      <c r="B346" s="35" t="s">
        <v>164</v>
      </c>
      <c r="C346" s="36" t="s">
        <v>46</v>
      </c>
      <c r="D346" s="37">
        <v>200</v>
      </c>
      <c r="E346" s="38"/>
      <c r="F346" s="39"/>
      <c r="G346" s="38"/>
      <c r="H346" s="39"/>
      <c r="I346" s="39"/>
      <c r="J346" s="52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="2" customFormat="1" ht="15.75" customHeight="1" outlineLevel="1" spans="1:25">
      <c r="A347" s="40">
        <v>1</v>
      </c>
      <c r="B347" s="41" t="s">
        <v>14</v>
      </c>
      <c r="C347" s="42" t="s">
        <v>15</v>
      </c>
      <c r="D347" s="43">
        <f>D346*0.3*0.23</f>
        <v>13.8</v>
      </c>
      <c r="E347" s="38"/>
      <c r="F347" s="39"/>
      <c r="G347" s="38"/>
      <c r="H347" s="39"/>
      <c r="I347" s="39"/>
      <c r="J347" s="52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="2" customFormat="1" ht="15.75" customHeight="1" outlineLevel="1" spans="1:25">
      <c r="A348" s="40">
        <v>2</v>
      </c>
      <c r="B348" s="41" t="s">
        <v>16</v>
      </c>
      <c r="C348" s="42" t="s">
        <v>13</v>
      </c>
      <c r="D348" s="43">
        <f>D346*0.3</f>
        <v>60</v>
      </c>
      <c r="E348" s="38"/>
      <c r="F348" s="39"/>
      <c r="G348" s="38"/>
      <c r="H348" s="39"/>
      <c r="I348" s="39"/>
      <c r="J348" s="52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="2" customFormat="1" outlineLevel="1" spans="1:25">
      <c r="A349" s="40">
        <v>3</v>
      </c>
      <c r="B349" s="44" t="s">
        <v>30</v>
      </c>
      <c r="C349" s="42" t="s">
        <v>15</v>
      </c>
      <c r="D349" s="43">
        <f>D348*0.18</f>
        <v>10.8</v>
      </c>
      <c r="E349" s="38"/>
      <c r="F349" s="39"/>
      <c r="G349" s="38"/>
      <c r="H349" s="39"/>
      <c r="I349" s="39"/>
      <c r="J349" s="52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="2" customFormat="1" outlineLevel="1" spans="1:25">
      <c r="A350" s="40"/>
      <c r="B350" s="45" t="s">
        <v>18</v>
      </c>
      <c r="C350" s="42" t="s">
        <v>19</v>
      </c>
      <c r="D350" s="46">
        <f>D349*1.26*1.62</f>
        <v>22.04</v>
      </c>
      <c r="E350" s="38"/>
      <c r="F350" s="39"/>
      <c r="G350" s="38"/>
      <c r="H350" s="39"/>
      <c r="I350" s="39"/>
      <c r="J350" s="52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="2" customFormat="1" outlineLevel="1" spans="1:25">
      <c r="A351" s="40">
        <v>4</v>
      </c>
      <c r="B351" s="44" t="s">
        <v>165</v>
      </c>
      <c r="C351" s="42" t="s">
        <v>46</v>
      </c>
      <c r="D351" s="43">
        <f>D346</f>
        <v>200</v>
      </c>
      <c r="E351" s="38"/>
      <c r="F351" s="39"/>
      <c r="G351" s="48"/>
      <c r="H351" s="39"/>
      <c r="I351" s="39"/>
      <c r="J351" s="52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="2" customFormat="1" outlineLevel="1" spans="1:25">
      <c r="A352" s="40"/>
      <c r="B352" s="45" t="s">
        <v>166</v>
      </c>
      <c r="C352" s="42" t="s">
        <v>46</v>
      </c>
      <c r="D352" s="46">
        <f>D351*1.05</f>
        <v>210</v>
      </c>
      <c r="E352" s="38"/>
      <c r="F352" s="39"/>
      <c r="G352" s="38"/>
      <c r="H352" s="39"/>
      <c r="I352" s="39"/>
      <c r="J352" s="52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="3" customFormat="1" outlineLevel="1" spans="1:10">
      <c r="A353" s="40"/>
      <c r="B353" s="45" t="s">
        <v>167</v>
      </c>
      <c r="C353" s="42" t="s">
        <v>36</v>
      </c>
      <c r="D353" s="46">
        <v>199</v>
      </c>
      <c r="E353" s="48"/>
      <c r="F353" s="49"/>
      <c r="G353" s="48"/>
      <c r="H353" s="49"/>
      <c r="I353" s="49"/>
      <c r="J353" s="52"/>
    </row>
    <row r="354" s="3" customFormat="1" outlineLevel="1" spans="1:10">
      <c r="A354" s="40"/>
      <c r="B354" s="45" t="s">
        <v>150</v>
      </c>
      <c r="C354" s="42" t="s">
        <v>15</v>
      </c>
      <c r="D354" s="46">
        <f>D351*0.048</f>
        <v>9.6</v>
      </c>
      <c r="E354" s="48"/>
      <c r="F354" s="49"/>
      <c r="G354" s="48"/>
      <c r="H354" s="49"/>
      <c r="I354" s="49"/>
      <c r="J354" s="52"/>
    </row>
    <row r="355" s="2" customFormat="1" outlineLevel="1" spans="1:25">
      <c r="A355" s="40"/>
      <c r="B355" s="45" t="s">
        <v>162</v>
      </c>
      <c r="C355" s="42" t="s">
        <v>36</v>
      </c>
      <c r="D355" s="46">
        <f>ROUNDUP(D351*0.011,0)</f>
        <v>3</v>
      </c>
      <c r="E355" s="48"/>
      <c r="F355" s="39"/>
      <c r="G355" s="38"/>
      <c r="H355" s="39"/>
      <c r="I355" s="39"/>
      <c r="J355" s="52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="2" customFormat="1" outlineLevel="1" spans="1:25">
      <c r="A356" s="40">
        <v>5</v>
      </c>
      <c r="B356" s="44" t="s">
        <v>163</v>
      </c>
      <c r="C356" s="42" t="s">
        <v>46</v>
      </c>
      <c r="D356" s="43">
        <v>1</v>
      </c>
      <c r="E356" s="38"/>
      <c r="F356" s="39"/>
      <c r="G356" s="38"/>
      <c r="H356" s="39"/>
      <c r="I356" s="39"/>
      <c r="J356" s="52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="2" customFormat="1" ht="22.5" customHeight="1" outlineLevel="1" spans="1:25">
      <c r="A357" s="29"/>
      <c r="B357" s="30" t="s">
        <v>168</v>
      </c>
      <c r="C357" s="30"/>
      <c r="D357" s="31"/>
      <c r="E357" s="32"/>
      <c r="F357" s="33"/>
      <c r="G357" s="32"/>
      <c r="H357" s="33"/>
      <c r="I357" s="33"/>
      <c r="J357" s="52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="2" customFormat="1" ht="15.75" customHeight="1" outlineLevel="1" spans="1:25">
      <c r="A358" s="40">
        <v>1</v>
      </c>
      <c r="B358" s="41" t="s">
        <v>169</v>
      </c>
      <c r="C358" s="42" t="s">
        <v>36</v>
      </c>
      <c r="D358" s="43">
        <f>9+74</f>
        <v>83</v>
      </c>
      <c r="E358" s="38"/>
      <c r="F358" s="39"/>
      <c r="G358" s="38"/>
      <c r="H358" s="39"/>
      <c r="I358" s="39"/>
      <c r="J358" s="52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="2" customFormat="1" outlineLevel="1" spans="1:25">
      <c r="A359" s="40">
        <v>2</v>
      </c>
      <c r="B359" s="56" t="s">
        <v>170</v>
      </c>
      <c r="C359" s="40" t="s">
        <v>36</v>
      </c>
      <c r="D359" s="46">
        <f>SUM(D360:D363)</f>
        <v>18</v>
      </c>
      <c r="E359" s="38"/>
      <c r="F359" s="39"/>
      <c r="G359" s="48"/>
      <c r="H359" s="39"/>
      <c r="I359" s="39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="2" customFormat="1" outlineLevel="1" spans="1:25">
      <c r="A360" s="40"/>
      <c r="B360" s="45" t="s">
        <v>171</v>
      </c>
      <c r="C360" s="42" t="s">
        <v>36</v>
      </c>
      <c r="D360" s="46">
        <v>2</v>
      </c>
      <c r="E360" s="48"/>
      <c r="F360" s="39"/>
      <c r="G360" s="38"/>
      <c r="H360" s="39"/>
      <c r="I360" s="39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="2" customFormat="1" outlineLevel="1" spans="1:25">
      <c r="A361" s="40"/>
      <c r="B361" s="45" t="s">
        <v>172</v>
      </c>
      <c r="C361" s="42" t="s">
        <v>36</v>
      </c>
      <c r="D361" s="46">
        <v>3</v>
      </c>
      <c r="E361" s="48"/>
      <c r="F361" s="39"/>
      <c r="G361" s="38"/>
      <c r="H361" s="39"/>
      <c r="I361" s="39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="2" customFormat="1" outlineLevel="1" spans="1:25">
      <c r="A362" s="40"/>
      <c r="B362" s="45" t="s">
        <v>173</v>
      </c>
      <c r="C362" s="42" t="s">
        <v>36</v>
      </c>
      <c r="D362" s="46">
        <v>9</v>
      </c>
      <c r="E362" s="48"/>
      <c r="F362" s="39"/>
      <c r="G362" s="38"/>
      <c r="H362" s="39"/>
      <c r="I362" s="39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="2" customFormat="1" outlineLevel="1" spans="1:25">
      <c r="A363" s="40"/>
      <c r="B363" s="45" t="s">
        <v>174</v>
      </c>
      <c r="C363" s="42" t="s">
        <v>36</v>
      </c>
      <c r="D363" s="46">
        <v>4</v>
      </c>
      <c r="E363" s="48"/>
      <c r="F363" s="39"/>
      <c r="G363" s="38"/>
      <c r="H363" s="39"/>
      <c r="I363" s="39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="2" customFormat="1" outlineLevel="1" spans="1:25">
      <c r="A364" s="40">
        <v>3</v>
      </c>
      <c r="B364" s="56" t="s">
        <v>175</v>
      </c>
      <c r="C364" s="40" t="s">
        <v>36</v>
      </c>
      <c r="D364" s="46">
        <f>SUM(D365:D370)</f>
        <v>277</v>
      </c>
      <c r="E364" s="38"/>
      <c r="F364" s="39"/>
      <c r="G364" s="48"/>
      <c r="H364" s="39"/>
      <c r="I364" s="39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="2" customFormat="1" outlineLevel="1" spans="1:25">
      <c r="A365" s="40"/>
      <c r="B365" s="45" t="s">
        <v>176</v>
      </c>
      <c r="C365" s="42" t="s">
        <v>36</v>
      </c>
      <c r="D365" s="46">
        <v>5</v>
      </c>
      <c r="E365" s="48"/>
      <c r="F365" s="39"/>
      <c r="G365" s="38"/>
      <c r="H365" s="39"/>
      <c r="I365" s="39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="2" customFormat="1" outlineLevel="1" spans="1:25">
      <c r="A366" s="40"/>
      <c r="B366" s="45" t="s">
        <v>177</v>
      </c>
      <c r="C366" s="42" t="s">
        <v>36</v>
      </c>
      <c r="D366" s="46">
        <v>233</v>
      </c>
      <c r="E366" s="48"/>
      <c r="F366" s="39"/>
      <c r="G366" s="38"/>
      <c r="H366" s="39"/>
      <c r="I366" s="39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="2" customFormat="1" outlineLevel="1" spans="1:25">
      <c r="A367" s="40"/>
      <c r="B367" s="45" t="s">
        <v>178</v>
      </c>
      <c r="C367" s="42" t="s">
        <v>36</v>
      </c>
      <c r="D367" s="46">
        <v>9</v>
      </c>
      <c r="E367" s="48"/>
      <c r="F367" s="39"/>
      <c r="G367" s="38"/>
      <c r="H367" s="39"/>
      <c r="I367" s="39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="2" customFormat="1" outlineLevel="1" spans="1:25">
      <c r="A368" s="40"/>
      <c r="B368" s="45" t="s">
        <v>179</v>
      </c>
      <c r="C368" s="42" t="s">
        <v>36</v>
      </c>
      <c r="D368" s="46">
        <v>6</v>
      </c>
      <c r="E368" s="48"/>
      <c r="F368" s="39"/>
      <c r="G368" s="38"/>
      <c r="H368" s="39"/>
      <c r="I368" s="39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="2" customFormat="1" outlineLevel="1" spans="1:25">
      <c r="A369" s="40"/>
      <c r="B369" s="45" t="s">
        <v>180</v>
      </c>
      <c r="C369" s="42" t="s">
        <v>36</v>
      </c>
      <c r="D369" s="46">
        <v>16</v>
      </c>
      <c r="E369" s="48"/>
      <c r="F369" s="39"/>
      <c r="G369" s="38"/>
      <c r="H369" s="39"/>
      <c r="I369" s="39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="2" customFormat="1" outlineLevel="1" spans="1:25">
      <c r="A370" s="40"/>
      <c r="B370" s="45" t="s">
        <v>181</v>
      </c>
      <c r="C370" s="42" t="s">
        <v>36</v>
      </c>
      <c r="D370" s="46">
        <v>8</v>
      </c>
      <c r="E370" s="48"/>
      <c r="F370" s="39"/>
      <c r="G370" s="38"/>
      <c r="H370" s="39"/>
      <c r="I370" s="39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="2" customFormat="1" ht="22.5" customHeight="1" outlineLevel="1" spans="1:25">
      <c r="A371" s="29"/>
      <c r="B371" s="30" t="s">
        <v>182</v>
      </c>
      <c r="C371" s="30"/>
      <c r="D371" s="31"/>
      <c r="E371" s="32"/>
      <c r="F371" s="33"/>
      <c r="G371" s="32"/>
      <c r="H371" s="33"/>
      <c r="I371" s="33"/>
      <c r="J371" s="52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="2" customFormat="1" ht="21" customHeight="1" outlineLevel="1" spans="1:25">
      <c r="A372" s="40">
        <v>1</v>
      </c>
      <c r="B372" s="41" t="s">
        <v>183</v>
      </c>
      <c r="C372" s="42" t="s">
        <v>15</v>
      </c>
      <c r="D372" s="43">
        <v>1</v>
      </c>
      <c r="E372" s="38"/>
      <c r="F372" s="39"/>
      <c r="G372" s="38"/>
      <c r="H372" s="39"/>
      <c r="I372" s="39"/>
      <c r="J372" s="52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="4" customFormat="1" outlineLevel="1" spans="1:25">
      <c r="A373" s="57"/>
      <c r="B373" s="58" t="s">
        <v>184</v>
      </c>
      <c r="C373" s="59"/>
      <c r="D373" s="60"/>
      <c r="E373" s="60"/>
      <c r="F373" s="61"/>
      <c r="G373" s="62"/>
      <c r="H373" s="61"/>
      <c r="I373" s="61"/>
      <c r="J373" s="73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</row>
    <row r="374" s="4" customFormat="1" outlineLevel="1" spans="1:25">
      <c r="A374" s="57"/>
      <c r="B374" s="58" t="s">
        <v>185</v>
      </c>
      <c r="C374" s="59"/>
      <c r="D374" s="60"/>
      <c r="E374" s="60"/>
      <c r="F374" s="61"/>
      <c r="G374" s="62"/>
      <c r="H374" s="61"/>
      <c r="I374" s="61"/>
      <c r="J374" s="73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</row>
    <row r="375" s="5" customFormat="1" spans="1:25">
      <c r="A375" s="63"/>
      <c r="B375" s="64" t="s">
        <v>186</v>
      </c>
      <c r="C375" s="65"/>
      <c r="D375" s="60"/>
      <c r="E375" s="66"/>
      <c r="F375" s="67"/>
      <c r="G375" s="68"/>
      <c r="H375" s="67"/>
      <c r="I375" s="67"/>
      <c r="J375" s="75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</row>
    <row r="376" spans="2:2">
      <c r="B376" s="69"/>
    </row>
    <row r="377" ht="29.25" customHeight="1" spans="1:9">
      <c r="A377" s="70"/>
      <c r="B377" s="70"/>
      <c r="C377" s="70"/>
      <c r="D377" s="70"/>
      <c r="E377" s="70"/>
      <c r="F377" s="70"/>
      <c r="G377" s="70"/>
      <c r="H377" s="70"/>
      <c r="I377" s="70"/>
    </row>
    <row r="378" spans="1:9">
      <c r="A378" s="71"/>
      <c r="B378" s="71"/>
      <c r="C378" s="71"/>
      <c r="D378" s="71"/>
      <c r="E378" s="71"/>
      <c r="F378" s="71"/>
      <c r="G378" s="71"/>
      <c r="H378" s="71"/>
      <c r="I378" s="71"/>
    </row>
    <row r="381" ht="18" customHeight="1" spans="2:2">
      <c r="B381" s="69"/>
    </row>
    <row r="382" spans="2:2">
      <c r="B382" s="72"/>
    </row>
    <row r="383" spans="2:2">
      <c r="B383" s="72"/>
    </row>
  </sheetData>
  <sheetProtection formatCells="0" formatColumns="0" formatRows="0" insertRows="0" insertColumns="0" insertHyperlinks="0" deleteColumns="0" deleteRows="0" sort="0" pivotTables="0"/>
  <mergeCells count="15">
    <mergeCell ref="A1:D1"/>
    <mergeCell ref="A2:F2"/>
    <mergeCell ref="A4:I4"/>
    <mergeCell ref="A5:I5"/>
    <mergeCell ref="A6:I6"/>
    <mergeCell ref="B7:I7"/>
    <mergeCell ref="A377:I377"/>
    <mergeCell ref="A378:I378"/>
    <mergeCell ref="A9:A11"/>
    <mergeCell ref="B9:B11"/>
    <mergeCell ref="C9:C11"/>
    <mergeCell ref="D9:D11"/>
    <mergeCell ref="I9:I11"/>
    <mergeCell ref="E9:F10"/>
    <mergeCell ref="G9:H10"/>
  </mergeCells>
  <pageMargins left="0.31496062992126" right="0.31496062992126" top="0.354330708661417" bottom="0.354330708661417" header="0.31496062992126" footer="0.31496062992126"/>
  <pageSetup paperSize="9" scale="65" fitToHeight="0" orientation="landscape"/>
  <headerFooter/>
  <ignoredErrors>
    <ignoredError sqref="D281;D246;D179;D184;D129:D130;D111;D97:D98;D85:D86;D51:D52;D32:D33;D23;D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neste</cp:lastModifiedBy>
  <dcterms:created xsi:type="dcterms:W3CDTF">2006-09-16T00:00:00Z</dcterms:created>
  <dcterms:modified xsi:type="dcterms:W3CDTF">2020-05-09T07:14:37Z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1033-11.2.0.9259</vt:lpwstr>
  </property>
</Properties>
</file>