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yha.Volodymyr\Desktop\Corn plant\Offers\20200424_Ремонт санвузлів гуртожитку\20200506\"/>
    </mc:Choice>
  </mc:AlternateContent>
  <bookViews>
    <workbookView xWindow="0" yWindow="0" windowWidth="21828" windowHeight="10176" activeTab="1"/>
  </bookViews>
  <sheets>
    <sheet name="Адмінбудівля (демонтажні)" sheetId="15" r:id="rId1"/>
    <sheet name="Перевірка" sheetId="16" r:id="rId2"/>
  </sheets>
  <definedNames>
    <definedName name="_xlnm.Print_Area" localSheetId="0">'Адмінбудівля (демонтажні)'!$A$1:$F$139</definedName>
  </definedNames>
  <calcPr calcId="152511" refMode="R1C1"/>
</workbook>
</file>

<file path=xl/calcChain.xml><?xml version="1.0" encoding="utf-8"?>
<calcChain xmlns="http://schemas.openxmlformats.org/spreadsheetml/2006/main">
  <c r="C97" i="16" l="1"/>
  <c r="C96" i="16"/>
  <c r="C102" i="16" l="1"/>
  <c r="F102" i="16" s="1"/>
  <c r="F101" i="16"/>
  <c r="F100" i="16"/>
  <c r="F99" i="16"/>
  <c r="C98" i="16"/>
  <c r="F98" i="16" s="1"/>
  <c r="F96" i="16"/>
  <c r="F91" i="16"/>
  <c r="C90" i="16"/>
  <c r="F90" i="16" s="1"/>
  <c r="F88" i="16"/>
  <c r="C87" i="16"/>
  <c r="F87" i="16" s="1"/>
  <c r="F86" i="16"/>
  <c r="F84" i="16"/>
  <c r="F78" i="16"/>
  <c r="F76" i="16"/>
  <c r="F75" i="16"/>
  <c r="F74" i="16"/>
  <c r="C73" i="16"/>
  <c r="C77" i="16" s="1"/>
  <c r="F77" i="16" s="1"/>
  <c r="F72" i="16"/>
  <c r="F71" i="16"/>
  <c r="F70" i="16"/>
  <c r="F69" i="16"/>
  <c r="F97" i="16"/>
  <c r="C64" i="16"/>
  <c r="F64" i="16" s="1"/>
  <c r="C63" i="16"/>
  <c r="F63" i="16" s="1"/>
  <c r="C61" i="16"/>
  <c r="F61" i="16" s="1"/>
  <c r="F60" i="16"/>
  <c r="F59" i="16"/>
  <c r="C58" i="16"/>
  <c r="C57" i="16"/>
  <c r="C94" i="16" s="1"/>
  <c r="F94" i="16" s="1"/>
  <c r="F56" i="16"/>
  <c r="C55" i="16"/>
  <c r="F55" i="16" s="1"/>
  <c r="C54" i="16"/>
  <c r="F54" i="16" s="1"/>
  <c r="C53" i="16"/>
  <c r="F53" i="16" s="1"/>
  <c r="F52" i="16"/>
  <c r="F51" i="16"/>
  <c r="F50" i="16"/>
  <c r="F49" i="16"/>
  <c r="C48" i="16"/>
  <c r="F48" i="16" s="1"/>
  <c r="C47" i="16"/>
  <c r="F47" i="16" s="1"/>
  <c r="C46" i="16"/>
  <c r="F46" i="16" s="1"/>
  <c r="C45" i="16"/>
  <c r="F45" i="16" s="1"/>
  <c r="C44" i="16"/>
  <c r="F44" i="16" s="1"/>
  <c r="C43" i="16"/>
  <c r="F43" i="16" s="1"/>
  <c r="C42" i="16"/>
  <c r="C82" i="16" s="1"/>
  <c r="F82" i="16" s="1"/>
  <c r="C41" i="16"/>
  <c r="F41" i="16" s="1"/>
  <c r="C40" i="16"/>
  <c r="F40" i="16" s="1"/>
  <c r="C39" i="16"/>
  <c r="C38" i="16"/>
  <c r="C79" i="16" s="1"/>
  <c r="F79" i="16" s="1"/>
  <c r="F37" i="16"/>
  <c r="F36" i="16"/>
  <c r="F35" i="16"/>
  <c r="F34" i="16"/>
  <c r="F33" i="16"/>
  <c r="F32" i="16"/>
  <c r="F30" i="16"/>
  <c r="F29" i="16"/>
  <c r="C28" i="16"/>
  <c r="F28" i="16" s="1"/>
  <c r="C27" i="16"/>
  <c r="F27" i="16" s="1"/>
  <c r="F26" i="16"/>
  <c r="C25" i="16"/>
  <c r="F25" i="16" s="1"/>
  <c r="C24" i="16"/>
  <c r="F24" i="16" s="1"/>
  <c r="C23" i="16"/>
  <c r="F23" i="16" s="1"/>
  <c r="F22" i="16"/>
  <c r="C21" i="16"/>
  <c r="F21" i="16" s="1"/>
  <c r="C95" i="16" l="1"/>
  <c r="F95" i="16" s="1"/>
  <c r="C80" i="16"/>
  <c r="F80" i="16" s="1"/>
  <c r="F58" i="16"/>
  <c r="F38" i="16"/>
  <c r="F42" i="16"/>
  <c r="F57" i="16"/>
  <c r="C81" i="16"/>
  <c r="F39" i="16"/>
  <c r="F65" i="16" s="1"/>
  <c r="F73" i="16"/>
  <c r="C89" i="16"/>
  <c r="F89" i="16" s="1"/>
  <c r="C92" i="16"/>
  <c r="F108" i="16" l="1"/>
  <c r="C85" i="16"/>
  <c r="F85" i="16" s="1"/>
  <c r="F81" i="16"/>
  <c r="C83" i="16"/>
  <c r="F83" i="16" s="1"/>
  <c r="F92" i="16"/>
  <c r="C93" i="16"/>
  <c r="F93" i="16" s="1"/>
  <c r="F103" i="16" l="1"/>
  <c r="F107" i="16" s="1"/>
  <c r="F106" i="16" l="1"/>
  <c r="F109" i="16" s="1"/>
  <c r="F111" i="16" l="1"/>
  <c r="F110" i="16"/>
  <c r="F114" i="15" l="1"/>
  <c r="F115" i="15"/>
  <c r="F116" i="15"/>
  <c r="C113" i="15"/>
  <c r="C117" i="15"/>
  <c r="F117" i="15" s="1"/>
  <c r="F37" i="15"/>
  <c r="F38" i="15"/>
  <c r="F36" i="15"/>
  <c r="F87" i="15" l="1"/>
  <c r="F88" i="15"/>
  <c r="F89" i="15"/>
  <c r="F91" i="15"/>
  <c r="F97" i="15"/>
  <c r="F99" i="15"/>
  <c r="F101" i="15"/>
  <c r="F104" i="15"/>
  <c r="F113" i="15"/>
  <c r="C111" i="15" l="1"/>
  <c r="F111" i="15" s="1"/>
  <c r="F62" i="15" l="1"/>
  <c r="F63" i="15"/>
  <c r="C103" i="15"/>
  <c r="F103" i="15" s="1"/>
  <c r="C105" i="15" l="1"/>
  <c r="C74" i="15"/>
  <c r="C112" i="15" s="1"/>
  <c r="F112" i="15" s="1"/>
  <c r="C100" i="15"/>
  <c r="C102" i="15" l="1"/>
  <c r="F102" i="15" s="1"/>
  <c r="F100" i="15"/>
  <c r="C106" i="15"/>
  <c r="F106" i="15" s="1"/>
  <c r="F105" i="15"/>
  <c r="C86" i="15"/>
  <c r="C90" i="15" s="1"/>
  <c r="F90" i="15" s="1"/>
  <c r="F69" i="15"/>
  <c r="F70" i="15"/>
  <c r="F71" i="15"/>
  <c r="F72" i="15"/>
  <c r="F73" i="15"/>
  <c r="F74" i="15"/>
  <c r="F75" i="15"/>
  <c r="F76" i="15"/>
  <c r="F77" i="15"/>
  <c r="F39" i="15" l="1"/>
  <c r="F40" i="15"/>
  <c r="F52" i="15"/>
  <c r="F53" i="15"/>
  <c r="F54" i="15"/>
  <c r="F55" i="15"/>
  <c r="F59" i="15"/>
  <c r="C21" i="15"/>
  <c r="F26" i="15"/>
  <c r="F29" i="15"/>
  <c r="F30" i="15"/>
  <c r="F32" i="15"/>
  <c r="F33" i="15"/>
  <c r="F22" i="15"/>
  <c r="C68" i="15" l="1"/>
  <c r="F68" i="15" s="1"/>
  <c r="C67" i="15"/>
  <c r="F67" i="15" s="1"/>
  <c r="C66" i="15"/>
  <c r="F66" i="15" s="1"/>
  <c r="C64" i="15"/>
  <c r="F64" i="15" s="1"/>
  <c r="C61" i="15" l="1"/>
  <c r="C60" i="15"/>
  <c r="C109" i="15" s="1"/>
  <c r="F109" i="15" s="1"/>
  <c r="C58" i="15"/>
  <c r="F58" i="15" s="1"/>
  <c r="C57" i="15"/>
  <c r="F57" i="15" s="1"/>
  <c r="C56" i="15"/>
  <c r="F56" i="15" s="1"/>
  <c r="C51" i="15"/>
  <c r="F51" i="15" s="1"/>
  <c r="C50" i="15"/>
  <c r="F50" i="15" s="1"/>
  <c r="C49" i="15"/>
  <c r="F49" i="15" s="1"/>
  <c r="C47" i="15"/>
  <c r="F47" i="15" s="1"/>
  <c r="C46" i="15"/>
  <c r="F46" i="15" s="1"/>
  <c r="C45" i="15"/>
  <c r="C44" i="15"/>
  <c r="C43" i="15"/>
  <c r="F43" i="15" s="1"/>
  <c r="C42" i="15"/>
  <c r="C93" i="15" s="1"/>
  <c r="F93" i="15" s="1"/>
  <c r="C41" i="15"/>
  <c r="C48" i="15"/>
  <c r="F48" i="15" s="1"/>
  <c r="C31" i="15"/>
  <c r="F31" i="15" s="1"/>
  <c r="C27" i="15"/>
  <c r="F27" i="15" s="1"/>
  <c r="C25" i="15"/>
  <c r="F25" i="15" s="1"/>
  <c r="C24" i="15"/>
  <c r="F24" i="15" s="1"/>
  <c r="C23" i="15"/>
  <c r="F23" i="15" s="1"/>
  <c r="C28" i="15"/>
  <c r="F28" i="15" s="1"/>
  <c r="F61" i="15" l="1"/>
  <c r="C110" i="15"/>
  <c r="F110" i="15" s="1"/>
  <c r="C94" i="15"/>
  <c r="F94" i="15" s="1"/>
  <c r="F44" i="15"/>
  <c r="C92" i="15"/>
  <c r="F92" i="15" s="1"/>
  <c r="F41" i="15"/>
  <c r="C95" i="15"/>
  <c r="F95" i="15" s="1"/>
  <c r="F45" i="15"/>
  <c r="F42" i="15"/>
  <c r="C107" i="15"/>
  <c r="F60" i="15"/>
  <c r="F35" i="15"/>
  <c r="C108" i="15" l="1"/>
  <c r="F108" i="15" s="1"/>
  <c r="F107" i="15"/>
  <c r="C98" i="15"/>
  <c r="F98" i="15" s="1"/>
  <c r="C96" i="15"/>
  <c r="F96" i="15" s="1"/>
  <c r="F86" i="15"/>
  <c r="F85" i="15"/>
  <c r="F84" i="15"/>
  <c r="F83" i="15"/>
  <c r="F82" i="15"/>
  <c r="F21" i="15"/>
  <c r="F118" i="15" l="1"/>
  <c r="F122" i="15" s="1"/>
  <c r="F78" i="15"/>
  <c r="F121" i="15" l="1"/>
  <c r="F123" i="15"/>
  <c r="F124" i="15" l="1"/>
  <c r="F125" i="15" s="1"/>
  <c r="F127" i="15" s="1"/>
  <c r="F126" i="15" l="1"/>
</calcChain>
</file>

<file path=xl/sharedStrings.xml><?xml version="1.0" encoding="utf-8"?>
<sst xmlns="http://schemas.openxmlformats.org/spreadsheetml/2006/main" count="423" uniqueCount="124">
  <si>
    <t>Одиниці виміру</t>
  </si>
  <si>
    <t>№</t>
  </si>
  <si>
    <t>Кількість</t>
  </si>
  <si>
    <t>Ціна без ПДВ</t>
  </si>
  <si>
    <t>Сума без ПДВ</t>
  </si>
  <si>
    <t>Разом, грн.</t>
  </si>
  <si>
    <t>Найменування матеріалів</t>
  </si>
  <si>
    <t>Найменування робіт</t>
  </si>
  <si>
    <t>Матеріали</t>
  </si>
  <si>
    <t>Всього прямих витрат, грн.</t>
  </si>
  <si>
    <t>Разом без ПДВ, грн.</t>
  </si>
  <si>
    <t>Податок на додану вартість (20%), грн.</t>
  </si>
  <si>
    <t>Всього з ПДВ, грн.</t>
  </si>
  <si>
    <t xml:space="preserve">Роботи </t>
  </si>
  <si>
    <t>м2</t>
  </si>
  <si>
    <t>шт</t>
  </si>
  <si>
    <t>Замовник</t>
  </si>
  <si>
    <t>ТОВ «УКРСТАРЧ»</t>
  </si>
  <si>
    <t xml:space="preserve">       (назва організації)</t>
  </si>
  <si>
    <t>Підрядник</t>
  </si>
  <si>
    <t>ТОВ «ЕРІДОН БУД»</t>
  </si>
  <si>
    <t>ремонт приміщення побутового корпусу площею 849,7 м2 на об’єкті - Побутовий корпус з належними будівлями та спорудами, що розташований за адресою: вулиця Садова, 15 (п’ятнадцять), в м. Яготині Київської області</t>
  </si>
  <si>
    <t>договір підряду 2020/01/28-Р</t>
  </si>
  <si>
    <t xml:space="preserve">         від «28» січня 2020 року</t>
  </si>
  <si>
    <t>с. Софіївська Борщагівка</t>
  </si>
  <si>
    <t>Директор ________________ Салига В.Г.</t>
  </si>
  <si>
    <t>Генеральний директор ____________Кукуруза В.В.</t>
  </si>
  <si>
    <t>Споруда: Побутовий корпус.</t>
  </si>
  <si>
    <t>м.п.</t>
  </si>
  <si>
    <t>Інженерний супровід (5%)</t>
  </si>
  <si>
    <t>Коліно, PROFIL 130, біла ПВХ</t>
  </si>
  <si>
    <t>Транспортні витрати (5%)</t>
  </si>
  <si>
    <t>Прибуток (5%)</t>
  </si>
  <si>
    <t>Комерційна пропозиція № 4</t>
  </si>
  <si>
    <t>Монтаж труб зовнішнього водостоку</t>
  </si>
  <si>
    <t>Зняття цементно-вапняного шару штукатурки на стінах</t>
  </si>
  <si>
    <t>Набвання армувальної сітки під штукатурку</t>
  </si>
  <si>
    <t>Штукатурка стін цементно-піщаним розчином</t>
  </si>
  <si>
    <t>Улаштування обмазувальної гідроізоляції підлоги</t>
  </si>
  <si>
    <t>Улаштування обмазувальної гідроізоляції стін</t>
  </si>
  <si>
    <t>Демонтаж дверних блоків в «ДВ-1» 2050х650мм</t>
  </si>
  <si>
    <t>Розширення дверного прорізу 2050х200 t=120мм в цегляних стінах</t>
  </si>
  <si>
    <t xml:space="preserve">Монтаж лиштви на дверні блоки </t>
  </si>
  <si>
    <t xml:space="preserve">Штукатурення окремих місць цементно-піщаним розчином </t>
  </si>
  <si>
    <t>Виготовлення цементно-піщаного розчину вручну</t>
  </si>
  <si>
    <t>м3</t>
  </si>
  <si>
    <t>Фарбування поштукатурених поверхонь масляними фарбами</t>
  </si>
  <si>
    <t>т</t>
  </si>
  <si>
    <t>Приберання будівельного сміття</t>
  </si>
  <si>
    <t>Улаштування цементно піщаної стяжки до 100мм, після укладки каналізаційних труб</t>
  </si>
  <si>
    <t>Заробляння штраби глибиною 250*250 мм цементно-піщаним розчином</t>
  </si>
  <si>
    <t xml:space="preserve">Монтаж металопластикових дверних блоків  «ДВ-1» 2050х650мм </t>
  </si>
  <si>
    <t>Монтаж металопластикових дверних блоків  «ДВ-3» 2050х850мм</t>
  </si>
  <si>
    <t>Зняття старої масляної фарби на декоративних панелях стін</t>
  </si>
  <si>
    <t>Фарбування декоративних панелей стін масляними фарбами</t>
  </si>
  <si>
    <t xml:space="preserve">Шпаклювання стін </t>
  </si>
  <si>
    <t>Демонтаж облицювальної плитки стін та підвіконь</t>
  </si>
  <si>
    <t xml:space="preserve">Пробивання отворів 200х200мм в перегородках тов. 120мм під вентиляційні короби </t>
  </si>
  <si>
    <t xml:space="preserve">Демонтаж перегородок  h=120мм </t>
  </si>
  <si>
    <t xml:space="preserve">Демонтаж дверних блоків в «ДВ-1» 2050х850мм </t>
  </si>
  <si>
    <t xml:space="preserve">Демонтаж дверних блоків в «ДВ-1» 2050х950мм </t>
  </si>
  <si>
    <t xml:space="preserve">Пробивання отворів 200х200мм в перегородках тов. 250мм під вентиляційні короби </t>
  </si>
  <si>
    <t xml:space="preserve">Пробивання отворів 150х150мм в перегородках тов. 510мм під вентиляційні короби </t>
  </si>
  <si>
    <t>Вибивання дверного прорізу в цегляній кладкі тов. 250 мм 2100*900 мм</t>
  </si>
  <si>
    <t xml:space="preserve">Пробивання отворів 200х200мм в перегородках тов. 510мм під вентиляційні короби </t>
  </si>
  <si>
    <t>Демонтажні роботи в сантехприміщеннях</t>
  </si>
  <si>
    <t>Ремонтні роботи в сантехприміщеннях</t>
  </si>
  <si>
    <t xml:space="preserve">Облицювання підлог керамічною плиткою 300х300мм </t>
  </si>
  <si>
    <t xml:space="preserve">Облицювання стін керамічною плиткою 600х300мм </t>
  </si>
  <si>
    <t>Монтаж металопластикових дверних блоків  «ДВ-3» 2050х950мм</t>
  </si>
  <si>
    <t>Штукатурення дверних відкосів цементно-піщаним розчином h=60-200мм</t>
  </si>
  <si>
    <t xml:space="preserve">Закладання дверних прорізів (цегляна кладка h=250мм) – 2100х900мм </t>
  </si>
  <si>
    <t xml:space="preserve">Закладання дверних прорізів (цегляна кладка h=250мм) – 2100х700мм </t>
  </si>
  <si>
    <t xml:space="preserve">Закладання дверних прорізів (цегляна кладка h=250мм) – 2100х1000мм </t>
  </si>
  <si>
    <t>Роботи поза сантехприміщеннями</t>
  </si>
  <si>
    <t>Мурування перегородок з газоблоку товщ. 100мм</t>
  </si>
  <si>
    <t>Грунтування стін перед фарбуванням</t>
  </si>
  <si>
    <t>Улаштування цементно піщаної стяжки до 100мм</t>
  </si>
  <si>
    <t>Фарбування стін та відкосів водоемульсійними фарбами в 2 шари</t>
  </si>
  <si>
    <t>Закладання отворів в стінах  200*200*120 цеглою повнотілою керамічною</t>
  </si>
  <si>
    <t>Труба водостічна 3м, PROFIL 130, біла ПВХ</t>
  </si>
  <si>
    <t xml:space="preserve">Кронштейн труби, PROFIL 130, </t>
  </si>
  <si>
    <t>Зєднувач труби, PROFIL 130, біла ПВХ</t>
  </si>
  <si>
    <t>Сітка штукатурна зварна 20*20мм</t>
  </si>
  <si>
    <t>Бітумна мастика BauGut</t>
  </si>
  <si>
    <t>Плитка керамічна 300*300мм</t>
  </si>
  <si>
    <t>Плитка керамічна стінова 600*300мм</t>
  </si>
  <si>
    <t>Стрічка гідроізоляційна CL 152</t>
  </si>
  <si>
    <t>Дюбель-цвях 6*40мм</t>
  </si>
  <si>
    <t>Клей для плитки Ceresit CМ117</t>
  </si>
  <si>
    <t>кг</t>
  </si>
  <si>
    <t>Клейова суміш для газобетону типу "Aeroc" 25 кг</t>
  </si>
  <si>
    <t>Газобетонні блоки типу "Aeroc" D400 100*200*600</t>
  </si>
  <si>
    <t>Фарба масляна МА-15</t>
  </si>
  <si>
    <t>Розчинник</t>
  </si>
  <si>
    <t>л</t>
  </si>
  <si>
    <t>Маяки штукатурні 3,м №10</t>
  </si>
  <si>
    <t>Саморіз по дереву 3,5*25</t>
  </si>
  <si>
    <t>Анкер рамний віконний під викрутку 10х152</t>
  </si>
  <si>
    <t>Піна монтажна SOUDAL 750 мл</t>
  </si>
  <si>
    <t>Оліфа Натуральна Блеск 5 л 3,8 кг</t>
  </si>
  <si>
    <t>Кутник з сіткою алюмінієвий перфорований 3 м</t>
  </si>
  <si>
    <t>Шпаклівка фінішна Knauf</t>
  </si>
  <si>
    <t>Грунт Ceresit CT17</t>
  </si>
  <si>
    <t>Влаштування гідроізоляційної стрічки по периметру підлоги</t>
  </si>
  <si>
    <t>Фарба водоемульсійна вологостійка</t>
  </si>
  <si>
    <t>Пісок</t>
  </si>
  <si>
    <t>Портландцемент М500, 25кг</t>
  </si>
  <si>
    <t>Хрестики для плитки 2 мм, уп. 100 шт</t>
  </si>
  <si>
    <t>Стрічка малярная 48мм 20м</t>
  </si>
  <si>
    <t>Затирка для швів (фуга) вологостійка Ceresit СЕ40</t>
  </si>
  <si>
    <t>Цегла керамічна повнотіла М-100</t>
  </si>
  <si>
    <t>Арматура Ф10</t>
  </si>
  <si>
    <t>Дріт Вр-1 1,2мм</t>
  </si>
  <si>
    <t>Щебінь фр.20-40</t>
  </si>
  <si>
    <t>Виготовлення арматурних каркасів підлоги</t>
  </si>
  <si>
    <t>Бетонування з/б підлоги 200 мм в санвузлах</t>
  </si>
  <si>
    <t>Виготовлення бетонної суміші вручну</t>
  </si>
  <si>
    <t>Металопластиковий дверний блок 2050х650мм REHAU глухий з лиштвою</t>
  </si>
  <si>
    <t>Металопластиковий дверний блок 2050х850мм REHAU глухий з лиштвою</t>
  </si>
  <si>
    <t>Металопластиковий дверний блок 2050х950мм REHAU глухий з лиштвою</t>
  </si>
  <si>
    <t xml:space="preserve">Пробивання отворів 200х200мм в стінах тов. 250мм під вентиляційні короби </t>
  </si>
  <si>
    <t xml:space="preserve">Пробивання отворів 200х200мм в стінах тов. 510мм під вентиляційні короби </t>
  </si>
  <si>
    <t xml:space="preserve">Пробивання отворів 150х150мм в стінах тов. 510мм під вентиляційні короби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</si>
</sst>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₴_-;\-* #,##0.00_₴_-;_-* &quot;-&quot;??_₴_-;_-@_-"/>
    <numFmt numFmtId="165" formatCode="0.000"/>
    <numFmt numFmtId="166" formatCode="#,##0.00_ ;\-#,##0.00\ "/>
  </numFmts>
  <fonts count="26" x14ac:knownFonts="1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name val="Arial"/>
      <family val="2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</font>
    <font>
      <sz val="12"/>
      <color theme="0"/>
      <name val="Arial"/>
      <family val="2"/>
      <charset val="204"/>
    </font>
    <font>
      <b/>
      <u/>
      <sz val="12"/>
      <color rgb="FF000000"/>
      <name val="Times New Roman"/>
      <family val="1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5" fillId="0" borderId="0"/>
    <xf numFmtId="164" fontId="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0" fontId="6" fillId="0" borderId="0" xfId="0" applyFont="1"/>
    <xf numFmtId="0" fontId="10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165" fontId="4" fillId="0" borderId="0" xfId="1" applyNumberFormat="1" applyFont="1" applyFill="1" applyBorder="1" applyAlignment="1">
      <alignment horizontal="right" vertical="top" wrapText="1"/>
    </xf>
    <xf numFmtId="165" fontId="18" fillId="0" borderId="0" xfId="1" applyNumberFormat="1" applyFont="1" applyFill="1" applyBorder="1" applyAlignment="1">
      <alignment horizontal="center" vertical="top" wrapText="1"/>
    </xf>
    <xf numFmtId="2" fontId="18" fillId="0" borderId="0" xfId="1" applyNumberFormat="1" applyFont="1" applyFill="1" applyBorder="1" applyAlignment="1">
      <alignment horizontal="right" vertical="top" wrapText="1"/>
    </xf>
    <xf numFmtId="0" fontId="4" fillId="0" borderId="0" xfId="0" applyFont="1" applyBorder="1" applyAlignment="1">
      <alignment horizontal="center" vertical="center"/>
    </xf>
    <xf numFmtId="164" fontId="3" fillId="0" borderId="0" xfId="3" applyFont="1" applyFill="1" applyBorder="1" applyAlignment="1">
      <alignment horizontal="right" vertical="top"/>
    </xf>
    <xf numFmtId="0" fontId="1" fillId="0" borderId="6" xfId="0" applyFont="1" applyBorder="1" applyAlignment="1">
      <alignment vertical="top"/>
    </xf>
    <xf numFmtId="0" fontId="3" fillId="0" borderId="0" xfId="0" applyFont="1" applyAlignment="1">
      <alignment horizontal="left"/>
    </xf>
    <xf numFmtId="0" fontId="7" fillId="3" borderId="0" xfId="0" applyFont="1" applyFill="1" applyBorder="1" applyAlignment="1">
      <alignment horizontal="left"/>
    </xf>
    <xf numFmtId="165" fontId="4" fillId="0" borderId="0" xfId="1" applyNumberFormat="1" applyFont="1" applyFill="1" applyBorder="1" applyAlignment="1">
      <alignment horizontal="center" vertical="top" wrapText="1"/>
    </xf>
    <xf numFmtId="2" fontId="4" fillId="0" borderId="0" xfId="1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2" fontId="12" fillId="0" borderId="7" xfId="0" applyNumberFormat="1" applyFont="1" applyFill="1" applyBorder="1" applyAlignment="1">
      <alignment horizontal="center" vertical="center" wrapText="1"/>
    </xf>
    <xf numFmtId="2" fontId="12" fillId="0" borderId="7" xfId="0" applyNumberFormat="1" applyFont="1" applyFill="1" applyBorder="1" applyAlignment="1">
      <alignment vertical="center" wrapText="1"/>
    </xf>
    <xf numFmtId="164" fontId="12" fillId="0" borderId="7" xfId="3" applyFont="1" applyFill="1" applyBorder="1" applyAlignment="1">
      <alignment vertical="center" wrapText="1"/>
    </xf>
    <xf numFmtId="166" fontId="12" fillId="0" borderId="8" xfId="3" applyNumberFormat="1" applyFont="1" applyBorder="1" applyAlignment="1">
      <alignment vertical="center"/>
    </xf>
    <xf numFmtId="0" fontId="12" fillId="0" borderId="5" xfId="0" applyFont="1" applyBorder="1" applyAlignment="1">
      <alignment horizontal="left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vertical="center" wrapText="1"/>
    </xf>
    <xf numFmtId="166" fontId="12" fillId="0" borderId="1" xfId="3" applyNumberFormat="1" applyFont="1" applyBorder="1" applyAlignment="1">
      <alignment vertical="center"/>
    </xf>
    <xf numFmtId="2" fontId="12" fillId="0" borderId="0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4" fontId="14" fillId="0" borderId="3" xfId="0" applyNumberFormat="1" applyFont="1" applyFill="1" applyBorder="1" applyAlignment="1">
      <alignment vertical="center"/>
    </xf>
    <xf numFmtId="164" fontId="11" fillId="0" borderId="3" xfId="3" applyFont="1" applyFill="1" applyBorder="1" applyAlignment="1">
      <alignment vertical="center"/>
    </xf>
    <xf numFmtId="166" fontId="13" fillId="0" borderId="1" xfId="3" applyNumberFormat="1" applyFont="1" applyBorder="1" applyAlignment="1">
      <alignment vertical="center"/>
    </xf>
    <xf numFmtId="0" fontId="13" fillId="0" borderId="4" xfId="0" applyFont="1" applyBorder="1" applyAlignment="1">
      <alignment vertical="center" wrapText="1"/>
    </xf>
    <xf numFmtId="4" fontId="14" fillId="0" borderId="0" xfId="0" applyNumberFormat="1" applyFont="1" applyFill="1" applyBorder="1" applyAlignment="1">
      <alignment vertical="center"/>
    </xf>
    <xf numFmtId="164" fontId="11" fillId="0" borderId="0" xfId="3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 wrapText="1"/>
    </xf>
    <xf numFmtId="166" fontId="3" fillId="3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top" wrapText="1"/>
    </xf>
    <xf numFmtId="166" fontId="12" fillId="0" borderId="2" xfId="3" applyNumberFormat="1" applyFont="1" applyBorder="1" applyAlignment="1">
      <alignment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4" fontId="14" fillId="0" borderId="6" xfId="0" applyNumberFormat="1" applyFont="1" applyFill="1" applyBorder="1" applyAlignment="1">
      <alignment vertical="center"/>
    </xf>
    <xf numFmtId="164" fontId="11" fillId="0" borderId="6" xfId="3" applyFont="1" applyFill="1" applyBorder="1" applyAlignment="1">
      <alignment vertical="center"/>
    </xf>
    <xf numFmtId="164" fontId="12" fillId="0" borderId="2" xfId="3" applyFont="1" applyFill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13" fillId="0" borderId="0" xfId="0" applyFont="1" applyBorder="1" applyAlignment="1">
      <alignment vertical="center" wrapText="1"/>
    </xf>
    <xf numFmtId="166" fontId="13" fillId="0" borderId="0" xfId="3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2" fontId="6" fillId="0" borderId="0" xfId="1" applyNumberFormat="1" applyFont="1" applyFill="1" applyBorder="1" applyAlignment="1">
      <alignment horizontal="right" vertical="top" wrapText="1"/>
    </xf>
    <xf numFmtId="0" fontId="16" fillId="0" borderId="0" xfId="0" applyFont="1" applyAlignment="1">
      <alignment horizontal="left" vertical="center" wrapText="1"/>
    </xf>
    <xf numFmtId="0" fontId="3" fillId="0" borderId="0" xfId="0" applyFont="1"/>
    <xf numFmtId="0" fontId="19" fillId="0" borderId="0" xfId="0" applyFont="1"/>
    <xf numFmtId="0" fontId="0" fillId="0" borderId="0" xfId="0" applyAlignment="1"/>
    <xf numFmtId="0" fontId="3" fillId="0" borderId="0" xfId="0" applyFont="1" applyAlignment="1"/>
    <xf numFmtId="0" fontId="22" fillId="0" borderId="0" xfId="0" applyFont="1" applyAlignment="1">
      <alignment horizontal="left" vertical="top"/>
    </xf>
    <xf numFmtId="0" fontId="10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165" fontId="10" fillId="2" borderId="9" xfId="0" applyNumberFormat="1" applyFont="1" applyFill="1" applyBorder="1" applyAlignment="1">
      <alignment horizontal="center" vertical="center" wrapText="1"/>
    </xf>
    <xf numFmtId="2" fontId="10" fillId="2" borderId="9" xfId="0" applyNumberFormat="1" applyFont="1" applyFill="1" applyBorder="1" applyAlignment="1">
      <alignment horizontal="center" vertical="center" wrapText="1"/>
    </xf>
    <xf numFmtId="4" fontId="10" fillId="2" borderId="9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 wrapText="1"/>
    </xf>
    <xf numFmtId="0" fontId="23" fillId="0" borderId="0" xfId="0" applyFont="1"/>
    <xf numFmtId="0" fontId="11" fillId="0" borderId="0" xfId="0" applyFont="1"/>
    <xf numFmtId="0" fontId="12" fillId="0" borderId="0" xfId="0" applyFont="1"/>
    <xf numFmtId="0" fontId="12" fillId="3" borderId="0" xfId="0" applyFont="1" applyFill="1"/>
    <xf numFmtId="0" fontId="24" fillId="0" borderId="0" xfId="0" applyFont="1"/>
    <xf numFmtId="0" fontId="24" fillId="0" borderId="0" xfId="0" applyFont="1" applyAlignment="1">
      <alignment vertical="center"/>
    </xf>
    <xf numFmtId="165" fontId="1" fillId="3" borderId="1" xfId="0" applyNumberFormat="1" applyFont="1" applyFill="1" applyBorder="1" applyAlignment="1">
      <alignment horizontal="right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0" fillId="0" borderId="5" xfId="0" applyNumberFormat="1" applyFont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0" fillId="0" borderId="10" xfId="0" applyNumberFormat="1" applyFont="1" applyBorder="1" applyAlignment="1">
      <alignment horizontal="right" vertical="center"/>
    </xf>
    <xf numFmtId="0" fontId="1" fillId="0" borderId="1" xfId="0" applyFont="1" applyFill="1" applyBorder="1" applyAlignment="1">
      <alignment horizontal="left" wrapText="1"/>
    </xf>
    <xf numFmtId="1" fontId="1" fillId="3" borderId="1" xfId="0" applyNumberFormat="1" applyFont="1" applyFill="1" applyBorder="1" applyAlignment="1">
      <alignment horizontal="right" vertical="center" wrapText="1"/>
    </xf>
    <xf numFmtId="4" fontId="1" fillId="3" borderId="5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/>
    </xf>
    <xf numFmtId="4" fontId="25" fillId="4" borderId="5" xfId="0" applyNumberFormat="1" applyFont="1" applyFill="1" applyBorder="1" applyAlignment="1">
      <alignment horizontal="right" vertical="center" wrapText="1"/>
    </xf>
    <xf numFmtId="4" fontId="25" fillId="4" borderId="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9" fillId="3" borderId="0" xfId="0" applyFont="1" applyFill="1" applyAlignment="1">
      <alignment horizontal="center"/>
    </xf>
    <xf numFmtId="4" fontId="0" fillId="0" borderId="4" xfId="0" applyNumberFormat="1" applyBorder="1"/>
    <xf numFmtId="0" fontId="0" fillId="0" borderId="4" xfId="0" applyBorder="1"/>
  </cellXfs>
  <cellStyles count="6">
    <cellStyle name="Звичайний 2" xfId="4"/>
    <cellStyle name="Обычный" xfId="0" builtinId="0"/>
    <cellStyle name="Обычный 2" xfId="1"/>
    <cellStyle name="Обычный 3" xfId="2"/>
    <cellStyle name="Финансовый" xfId="3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1381125</xdr:colOff>
      <xdr:row>3</xdr:row>
      <xdr:rowOff>282949</xdr:rowOff>
    </xdr:to>
    <xdr:pic>
      <xdr:nvPicPr>
        <xdr:cNvPr id="2" name="Рисунок 1" descr="бланк+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00975" cy="806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6</xdr:col>
      <xdr:colOff>9525</xdr:colOff>
      <xdr:row>139</xdr:row>
      <xdr:rowOff>11206</xdr:rowOff>
    </xdr:to>
    <xdr:pic>
      <xdr:nvPicPr>
        <xdr:cNvPr id="4" name="Рисунок 3" descr="23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07118"/>
          <a:ext cx="7820025" cy="560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1381125</xdr:colOff>
      <xdr:row>3</xdr:row>
      <xdr:rowOff>282949</xdr:rowOff>
    </xdr:to>
    <xdr:pic>
      <xdr:nvPicPr>
        <xdr:cNvPr id="2" name="Рисунок 1" descr="бланк+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34325" cy="806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6</xdr:col>
      <xdr:colOff>9525</xdr:colOff>
      <xdr:row>123</xdr:row>
      <xdr:rowOff>11206</xdr:rowOff>
    </xdr:to>
    <xdr:pic>
      <xdr:nvPicPr>
        <xdr:cNvPr id="3" name="Рисунок 2" descr="23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117925"/>
          <a:ext cx="7953375" cy="563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1"/>
  <sheetViews>
    <sheetView topLeftCell="A55" zoomScale="85" zoomScaleNormal="85" workbookViewId="0">
      <selection activeCell="B57" sqref="B57"/>
    </sheetView>
  </sheetViews>
  <sheetFormatPr defaultRowHeight="13.2" x14ac:dyDescent="0.25"/>
  <cols>
    <col min="2" max="2" width="46.88671875" customWidth="1"/>
    <col min="3" max="3" width="13.88671875" customWidth="1"/>
    <col min="4" max="4" width="12.44140625" customWidth="1"/>
    <col min="5" max="5" width="16" customWidth="1"/>
    <col min="6" max="6" width="20.88671875" customWidth="1"/>
    <col min="7" max="7" width="19.44140625" customWidth="1"/>
  </cols>
  <sheetData>
    <row r="1" spans="1:6" x14ac:dyDescent="0.25">
      <c r="A1" s="3"/>
      <c r="B1" s="5"/>
      <c r="C1" s="6"/>
      <c r="D1" s="2"/>
      <c r="E1" s="2"/>
      <c r="F1" s="2"/>
    </row>
    <row r="2" spans="1:6" ht="15.6" x14ac:dyDescent="0.25">
      <c r="A2" s="3"/>
      <c r="B2" s="45"/>
      <c r="C2" s="90"/>
      <c r="D2" s="90"/>
      <c r="E2" s="90"/>
      <c r="F2" s="90"/>
    </row>
    <row r="3" spans="1:6" x14ac:dyDescent="0.25">
      <c r="A3" s="3"/>
      <c r="B3" s="5"/>
      <c r="C3" s="90"/>
      <c r="D3" s="90"/>
      <c r="E3" s="90"/>
      <c r="F3" s="90"/>
    </row>
    <row r="4" spans="1:6" ht="25.5" customHeight="1" x14ac:dyDescent="0.25">
      <c r="A4" s="1"/>
      <c r="B4" s="7"/>
      <c r="C4" s="91"/>
      <c r="D4" s="91"/>
      <c r="E4" s="91"/>
      <c r="F4" s="91"/>
    </row>
    <row r="5" spans="1:6" ht="16.5" customHeight="1" x14ac:dyDescent="0.3">
      <c r="A5" s="1"/>
      <c r="B5" s="57" t="s">
        <v>16</v>
      </c>
      <c r="C5" s="58" t="s">
        <v>17</v>
      </c>
      <c r="D5" s="59"/>
      <c r="E5" s="59"/>
      <c r="F5" s="59"/>
    </row>
    <row r="6" spans="1:6" ht="16.5" customHeight="1" x14ac:dyDescent="0.25">
      <c r="A6" s="1"/>
      <c r="B6" s="59"/>
      <c r="C6" s="6" t="s">
        <v>18</v>
      </c>
      <c r="D6" s="59"/>
      <c r="E6" s="59"/>
      <c r="F6" s="59"/>
    </row>
    <row r="7" spans="1:6" ht="16.5" customHeight="1" x14ac:dyDescent="0.3">
      <c r="A7" s="1"/>
      <c r="B7" s="57" t="s">
        <v>19</v>
      </c>
      <c r="C7" s="58" t="s">
        <v>20</v>
      </c>
      <c r="D7" s="59"/>
      <c r="E7" s="59"/>
      <c r="F7" s="59"/>
    </row>
    <row r="8" spans="1:6" ht="16.5" customHeight="1" x14ac:dyDescent="0.25">
      <c r="A8" s="1"/>
      <c r="B8" s="59"/>
      <c r="C8" s="6" t="s">
        <v>18</v>
      </c>
      <c r="D8" s="59"/>
      <c r="E8" s="59"/>
      <c r="F8" s="59"/>
    </row>
    <row r="9" spans="1:6" ht="16.5" customHeight="1" x14ac:dyDescent="0.25">
      <c r="A9" s="1"/>
      <c r="B9" s="59"/>
      <c r="C9" s="59"/>
      <c r="D9" s="59"/>
      <c r="E9" s="59"/>
      <c r="F9" s="59"/>
    </row>
    <row r="10" spans="1:6" ht="16.5" customHeight="1" x14ac:dyDescent="0.4">
      <c r="A10" s="1"/>
      <c r="B10" s="94" t="s">
        <v>33</v>
      </c>
      <c r="C10" s="94"/>
      <c r="D10" s="94"/>
      <c r="E10" s="94"/>
      <c r="F10" s="94"/>
    </row>
    <row r="11" spans="1:6" ht="16.5" customHeight="1" x14ac:dyDescent="0.25">
      <c r="A11" s="1"/>
      <c r="B11" s="59"/>
      <c r="C11" s="59"/>
      <c r="D11" s="59"/>
      <c r="E11" s="59"/>
      <c r="F11" s="59"/>
    </row>
    <row r="12" spans="1:6" ht="48" customHeight="1" x14ac:dyDescent="0.25">
      <c r="A12" s="1"/>
      <c r="B12" s="92" t="s">
        <v>21</v>
      </c>
      <c r="C12" s="92"/>
      <c r="D12" s="92"/>
      <c r="E12" s="92"/>
      <c r="F12" s="92"/>
    </row>
    <row r="13" spans="1:6" ht="16.5" customHeight="1" x14ac:dyDescent="0.25">
      <c r="A13" s="1"/>
      <c r="B13" s="59"/>
      <c r="C13" s="93" t="s">
        <v>22</v>
      </c>
      <c r="D13" s="93"/>
      <c r="E13" s="93"/>
      <c r="F13" s="93"/>
    </row>
    <row r="14" spans="1:6" ht="16.5" customHeight="1" x14ac:dyDescent="0.25">
      <c r="A14" s="1"/>
      <c r="B14" s="59"/>
      <c r="C14" s="2"/>
      <c r="D14" s="93" t="s">
        <v>23</v>
      </c>
      <c r="E14" s="93"/>
      <c r="F14" s="93"/>
    </row>
    <row r="15" spans="1:6" ht="16.5" customHeight="1" x14ac:dyDescent="0.25">
      <c r="A15" s="1"/>
      <c r="B15" s="7"/>
      <c r="C15" s="56"/>
      <c r="D15" s="56"/>
      <c r="E15" s="56"/>
      <c r="F15" s="56"/>
    </row>
    <row r="16" spans="1:6" ht="16.5" customHeight="1" x14ac:dyDescent="0.25">
      <c r="A16" s="1"/>
      <c r="B16" s="7"/>
      <c r="C16" s="56"/>
      <c r="D16" s="56"/>
      <c r="E16" s="56"/>
      <c r="F16" s="56"/>
    </row>
    <row r="17" spans="1:6" ht="16.5" customHeight="1" x14ac:dyDescent="0.25">
      <c r="A17" s="1"/>
      <c r="B17" s="61" t="s">
        <v>27</v>
      </c>
      <c r="C17" s="56"/>
      <c r="D17" s="56"/>
      <c r="E17" s="56"/>
      <c r="F17" s="56"/>
    </row>
    <row r="18" spans="1:6" ht="26.25" customHeight="1" x14ac:dyDescent="0.3">
      <c r="B18" s="51" t="s">
        <v>13</v>
      </c>
      <c r="C18" s="51"/>
      <c r="D18" s="51"/>
      <c r="E18" s="51"/>
      <c r="F18" s="51"/>
    </row>
    <row r="19" spans="1:6" ht="12.75" customHeight="1" x14ac:dyDescent="0.25">
      <c r="A19" s="9" t="s">
        <v>1</v>
      </c>
      <c r="B19" s="9" t="s">
        <v>7</v>
      </c>
      <c r="C19" s="9" t="s">
        <v>2</v>
      </c>
      <c r="D19" s="9" t="s">
        <v>0</v>
      </c>
      <c r="E19" s="9" t="s">
        <v>3</v>
      </c>
      <c r="F19" s="9" t="s">
        <v>4</v>
      </c>
    </row>
    <row r="20" spans="1:6" x14ac:dyDescent="0.25">
      <c r="A20" s="62"/>
      <c r="B20" s="63" t="s">
        <v>65</v>
      </c>
      <c r="C20" s="64"/>
      <c r="D20" s="65"/>
      <c r="E20" s="66"/>
      <c r="F20" s="66"/>
    </row>
    <row r="21" spans="1:6" x14ac:dyDescent="0.25">
      <c r="A21" s="67">
        <v>1</v>
      </c>
      <c r="B21" s="68" t="s">
        <v>56</v>
      </c>
      <c r="C21" s="76">
        <f>9+1.36+1.6+1.6+0.4+7.4+1+1</f>
        <v>23.36</v>
      </c>
      <c r="D21" s="69" t="s">
        <v>14</v>
      </c>
      <c r="E21" s="79">
        <v>75</v>
      </c>
      <c r="F21" s="80">
        <f t="shared" ref="F21:F33" si="0">ROUND(C21*E21,2)</f>
        <v>1752</v>
      </c>
    </row>
    <row r="22" spans="1:6" ht="26.4" x14ac:dyDescent="0.25">
      <c r="A22" s="67">
        <v>2</v>
      </c>
      <c r="B22" s="68" t="s">
        <v>35</v>
      </c>
      <c r="C22" s="76">
        <v>14.64</v>
      </c>
      <c r="D22" s="69" t="s">
        <v>14</v>
      </c>
      <c r="E22" s="79">
        <v>70</v>
      </c>
      <c r="F22" s="80">
        <f t="shared" si="0"/>
        <v>1024.8</v>
      </c>
    </row>
    <row r="23" spans="1:6" ht="26.4" x14ac:dyDescent="0.25">
      <c r="A23" s="67">
        <v>3</v>
      </c>
      <c r="B23" s="68" t="s">
        <v>57</v>
      </c>
      <c r="C23" s="76">
        <f>3+1+2+3+1</f>
        <v>10</v>
      </c>
      <c r="D23" s="69" t="s">
        <v>15</v>
      </c>
      <c r="E23" s="79">
        <v>200</v>
      </c>
      <c r="F23" s="80">
        <f t="shared" si="0"/>
        <v>2000</v>
      </c>
    </row>
    <row r="24" spans="1:6" ht="26.4" x14ac:dyDescent="0.25">
      <c r="A24" s="67">
        <v>4</v>
      </c>
      <c r="B24" s="68" t="s">
        <v>61</v>
      </c>
      <c r="C24" s="76">
        <f>1+1+1</f>
        <v>3</v>
      </c>
      <c r="D24" s="69" t="s">
        <v>15</v>
      </c>
      <c r="E24" s="79">
        <v>300</v>
      </c>
      <c r="F24" s="80">
        <f t="shared" si="0"/>
        <v>900</v>
      </c>
    </row>
    <row r="25" spans="1:6" ht="26.4" x14ac:dyDescent="0.25">
      <c r="A25" s="67">
        <v>5</v>
      </c>
      <c r="B25" s="68" t="s">
        <v>64</v>
      </c>
      <c r="C25" s="76">
        <f>1+1</f>
        <v>2</v>
      </c>
      <c r="D25" s="69" t="s">
        <v>15</v>
      </c>
      <c r="E25" s="79">
        <v>600</v>
      </c>
      <c r="F25" s="80">
        <f t="shared" si="0"/>
        <v>1200</v>
      </c>
    </row>
    <row r="26" spans="1:6" ht="26.4" x14ac:dyDescent="0.25">
      <c r="A26" s="67">
        <v>6</v>
      </c>
      <c r="B26" s="68" t="s">
        <v>62</v>
      </c>
      <c r="C26" s="76">
        <v>1</v>
      </c>
      <c r="D26" s="69" t="s">
        <v>15</v>
      </c>
      <c r="E26" s="79">
        <v>550</v>
      </c>
      <c r="F26" s="80">
        <f t="shared" si="0"/>
        <v>550</v>
      </c>
    </row>
    <row r="27" spans="1:6" x14ac:dyDescent="0.25">
      <c r="A27" s="67">
        <v>7</v>
      </c>
      <c r="B27" s="68" t="s">
        <v>40</v>
      </c>
      <c r="C27" s="76">
        <f>5+3+2+3+2</f>
        <v>15</v>
      </c>
      <c r="D27" s="69" t="s">
        <v>15</v>
      </c>
      <c r="E27" s="79">
        <v>250</v>
      </c>
      <c r="F27" s="80">
        <f t="shared" si="0"/>
        <v>3750</v>
      </c>
    </row>
    <row r="28" spans="1:6" x14ac:dyDescent="0.25">
      <c r="A28" s="67">
        <v>8</v>
      </c>
      <c r="B28" s="68" t="s">
        <v>60</v>
      </c>
      <c r="C28" s="76">
        <f>1+1</f>
        <v>2</v>
      </c>
      <c r="D28" s="69" t="s">
        <v>15</v>
      </c>
      <c r="E28" s="79">
        <v>250</v>
      </c>
      <c r="F28" s="80">
        <f t="shared" si="0"/>
        <v>500</v>
      </c>
    </row>
    <row r="29" spans="1:6" x14ac:dyDescent="0.25">
      <c r="A29" s="67">
        <v>9</v>
      </c>
      <c r="B29" s="68" t="s">
        <v>59</v>
      </c>
      <c r="C29" s="76">
        <v>3</v>
      </c>
      <c r="D29" s="69" t="s">
        <v>15</v>
      </c>
      <c r="E29" s="79">
        <v>250</v>
      </c>
      <c r="F29" s="80">
        <f t="shared" si="0"/>
        <v>750</v>
      </c>
    </row>
    <row r="30" spans="1:6" ht="26.4" x14ac:dyDescent="0.25">
      <c r="A30" s="67">
        <v>10</v>
      </c>
      <c r="B30" s="68" t="s">
        <v>41</v>
      </c>
      <c r="C30" s="76">
        <v>1</v>
      </c>
      <c r="D30" s="69" t="s">
        <v>15</v>
      </c>
      <c r="E30" s="79">
        <v>1000</v>
      </c>
      <c r="F30" s="80">
        <f t="shared" si="0"/>
        <v>1000</v>
      </c>
    </row>
    <row r="31" spans="1:6" ht="26.4" x14ac:dyDescent="0.25">
      <c r="A31" s="67">
        <v>11</v>
      </c>
      <c r="B31" s="68" t="s">
        <v>63</v>
      </c>
      <c r="C31" s="76">
        <f>1+1+1</f>
        <v>3</v>
      </c>
      <c r="D31" s="69" t="s">
        <v>15</v>
      </c>
      <c r="E31" s="79">
        <v>2000</v>
      </c>
      <c r="F31" s="80">
        <f t="shared" si="0"/>
        <v>6000</v>
      </c>
    </row>
    <row r="32" spans="1:6" x14ac:dyDescent="0.25">
      <c r="A32" s="67">
        <v>12</v>
      </c>
      <c r="B32" s="68" t="s">
        <v>58</v>
      </c>
      <c r="C32" s="76">
        <v>6.8</v>
      </c>
      <c r="D32" s="69" t="s">
        <v>14</v>
      </c>
      <c r="E32" s="79">
        <v>90</v>
      </c>
      <c r="F32" s="80">
        <f t="shared" si="0"/>
        <v>612</v>
      </c>
    </row>
    <row r="33" spans="1:6" ht="26.4" x14ac:dyDescent="0.25">
      <c r="A33" s="67">
        <v>13</v>
      </c>
      <c r="B33" s="68" t="s">
        <v>53</v>
      </c>
      <c r="C33" s="76">
        <v>13.5</v>
      </c>
      <c r="D33" s="69" t="s">
        <v>14</v>
      </c>
      <c r="E33" s="79">
        <v>60</v>
      </c>
      <c r="F33" s="80">
        <f t="shared" si="0"/>
        <v>810</v>
      </c>
    </row>
    <row r="34" spans="1:6" x14ac:dyDescent="0.25">
      <c r="A34" s="62"/>
      <c r="B34" s="63" t="s">
        <v>66</v>
      </c>
      <c r="C34" s="64"/>
      <c r="D34" s="65"/>
      <c r="E34" s="66"/>
      <c r="F34" s="66"/>
    </row>
    <row r="35" spans="1:6" ht="14.25" customHeight="1" x14ac:dyDescent="0.25">
      <c r="A35" s="67">
        <v>14</v>
      </c>
      <c r="B35" s="68" t="s">
        <v>34</v>
      </c>
      <c r="C35" s="76">
        <v>36</v>
      </c>
      <c r="D35" s="77" t="s">
        <v>28</v>
      </c>
      <c r="E35" s="78">
        <v>175</v>
      </c>
      <c r="F35" s="80">
        <f>ROUND(C35*E35,2)</f>
        <v>6300</v>
      </c>
    </row>
    <row r="36" spans="1:6" ht="14.25" customHeight="1" x14ac:dyDescent="0.25">
      <c r="A36" s="67">
        <v>15</v>
      </c>
      <c r="B36" s="68" t="s">
        <v>115</v>
      </c>
      <c r="C36" s="76">
        <v>0.06</v>
      </c>
      <c r="D36" s="77" t="s">
        <v>47</v>
      </c>
      <c r="E36" s="84">
        <v>2500</v>
      </c>
      <c r="F36" s="80">
        <f>ROUND(C36*E36,2)</f>
        <v>150</v>
      </c>
    </row>
    <row r="37" spans="1:6" ht="14.25" customHeight="1" x14ac:dyDescent="0.25">
      <c r="A37" s="67">
        <v>16</v>
      </c>
      <c r="B37" s="68" t="s">
        <v>117</v>
      </c>
      <c r="C37" s="76">
        <v>1</v>
      </c>
      <c r="D37" s="77" t="s">
        <v>45</v>
      </c>
      <c r="E37" s="84">
        <v>2000</v>
      </c>
      <c r="F37" s="80">
        <f>ROUND(C37*E37,2)</f>
        <v>2000</v>
      </c>
    </row>
    <row r="38" spans="1:6" ht="14.25" customHeight="1" x14ac:dyDescent="0.25">
      <c r="A38" s="67">
        <v>17</v>
      </c>
      <c r="B38" s="68" t="s">
        <v>116</v>
      </c>
      <c r="C38" s="76">
        <v>5</v>
      </c>
      <c r="D38" s="77" t="s">
        <v>14</v>
      </c>
      <c r="E38" s="84">
        <v>250</v>
      </c>
      <c r="F38" s="80">
        <f>ROUND(C38*E38,2)</f>
        <v>1250</v>
      </c>
    </row>
    <row r="39" spans="1:6" x14ac:dyDescent="0.25">
      <c r="A39" s="67">
        <v>18</v>
      </c>
      <c r="B39" s="68" t="s">
        <v>36</v>
      </c>
      <c r="C39" s="76">
        <v>22</v>
      </c>
      <c r="D39" s="69" t="s">
        <v>14</v>
      </c>
      <c r="E39" s="79">
        <v>50</v>
      </c>
      <c r="F39" s="80">
        <f t="shared" ref="F39:F77" si="1">ROUND(C39*E39,2)</f>
        <v>1100</v>
      </c>
    </row>
    <row r="40" spans="1:6" x14ac:dyDescent="0.25">
      <c r="A40" s="67">
        <v>19</v>
      </c>
      <c r="B40" s="68" t="s">
        <v>37</v>
      </c>
      <c r="C40" s="76">
        <v>22</v>
      </c>
      <c r="D40" s="69" t="s">
        <v>14</v>
      </c>
      <c r="E40" s="79">
        <v>150</v>
      </c>
      <c r="F40" s="80">
        <f t="shared" si="1"/>
        <v>3300</v>
      </c>
    </row>
    <row r="41" spans="1:6" ht="26.4" x14ac:dyDescent="0.25">
      <c r="A41" s="67">
        <v>20</v>
      </c>
      <c r="B41" s="82" t="s">
        <v>104</v>
      </c>
      <c r="C41" s="76">
        <f>9.6+11.7+5.324</f>
        <v>26.623999999999995</v>
      </c>
      <c r="D41" s="69" t="s">
        <v>28</v>
      </c>
      <c r="E41" s="79">
        <v>15</v>
      </c>
      <c r="F41" s="80">
        <f t="shared" si="1"/>
        <v>399.36</v>
      </c>
    </row>
    <row r="42" spans="1:6" x14ac:dyDescent="0.25">
      <c r="A42" s="67">
        <v>21</v>
      </c>
      <c r="B42" s="68" t="s">
        <v>38</v>
      </c>
      <c r="C42" s="76">
        <f>5.5+9.3+2.2+17.63</f>
        <v>34.629999999999995</v>
      </c>
      <c r="D42" s="69" t="s">
        <v>14</v>
      </c>
      <c r="E42" s="79">
        <v>40</v>
      </c>
      <c r="F42" s="80">
        <f t="shared" si="1"/>
        <v>1385.2</v>
      </c>
    </row>
    <row r="43" spans="1:6" x14ac:dyDescent="0.25">
      <c r="A43" s="67">
        <v>22</v>
      </c>
      <c r="B43" s="68" t="s">
        <v>39</v>
      </c>
      <c r="C43" s="76">
        <f>22+3.5+7.4</f>
        <v>32.9</v>
      </c>
      <c r="D43" s="69" t="s">
        <v>14</v>
      </c>
      <c r="E43" s="79">
        <v>40</v>
      </c>
      <c r="F43" s="80">
        <f t="shared" si="1"/>
        <v>1316</v>
      </c>
    </row>
    <row r="44" spans="1:6" ht="14.25" customHeight="1" x14ac:dyDescent="0.25">
      <c r="A44" s="67">
        <v>23</v>
      </c>
      <c r="B44" s="68" t="s">
        <v>67</v>
      </c>
      <c r="C44" s="76">
        <f>5.5+1.6+2.2+11.7+2.2+17.63</f>
        <v>40.83</v>
      </c>
      <c r="D44" s="69" t="s">
        <v>14</v>
      </c>
      <c r="E44" s="79">
        <v>270</v>
      </c>
      <c r="F44" s="80">
        <f t="shared" si="1"/>
        <v>11024.1</v>
      </c>
    </row>
    <row r="45" spans="1:6" x14ac:dyDescent="0.25">
      <c r="A45" s="67">
        <v>24</v>
      </c>
      <c r="B45" s="68" t="s">
        <v>68</v>
      </c>
      <c r="C45" s="76">
        <f>2.2+1.6+3.5+1.6+1.6+7.4</f>
        <v>17.899999999999999</v>
      </c>
      <c r="D45" s="69" t="s">
        <v>14</v>
      </c>
      <c r="E45" s="79">
        <v>300</v>
      </c>
      <c r="F45" s="80">
        <f t="shared" si="1"/>
        <v>5370</v>
      </c>
    </row>
    <row r="46" spans="1:6" ht="26.4" x14ac:dyDescent="0.25">
      <c r="A46" s="67">
        <v>25</v>
      </c>
      <c r="B46" s="68" t="s">
        <v>51</v>
      </c>
      <c r="C46" s="76">
        <f>4+3+1+3+1</f>
        <v>12</v>
      </c>
      <c r="D46" s="69" t="s">
        <v>15</v>
      </c>
      <c r="E46" s="79">
        <v>450</v>
      </c>
      <c r="F46" s="80">
        <f t="shared" si="1"/>
        <v>5400</v>
      </c>
    </row>
    <row r="47" spans="1:6" ht="26.4" x14ac:dyDescent="0.25">
      <c r="A47" s="67">
        <v>26</v>
      </c>
      <c r="B47" s="68" t="s">
        <v>52</v>
      </c>
      <c r="C47" s="76">
        <f>1+2+1+1</f>
        <v>5</v>
      </c>
      <c r="D47" s="69" t="s">
        <v>15</v>
      </c>
      <c r="E47" s="79">
        <v>450</v>
      </c>
      <c r="F47" s="80">
        <f t="shared" si="1"/>
        <v>2250</v>
      </c>
    </row>
    <row r="48" spans="1:6" ht="26.4" x14ac:dyDescent="0.25">
      <c r="A48" s="67">
        <v>27</v>
      </c>
      <c r="B48" s="68" t="s">
        <v>69</v>
      </c>
      <c r="C48" s="76">
        <f>1+1</f>
        <v>2</v>
      </c>
      <c r="D48" s="69" t="s">
        <v>15</v>
      </c>
      <c r="E48" s="79">
        <v>450</v>
      </c>
      <c r="F48" s="80">
        <f t="shared" si="1"/>
        <v>900</v>
      </c>
    </row>
    <row r="49" spans="1:6" x14ac:dyDescent="0.25">
      <c r="A49" s="67">
        <v>28</v>
      </c>
      <c r="B49" s="68" t="s">
        <v>42</v>
      </c>
      <c r="C49" s="76">
        <f>25+20+10+10+20+10</f>
        <v>95</v>
      </c>
      <c r="D49" s="69" t="s">
        <v>28</v>
      </c>
      <c r="E49" s="79">
        <v>25</v>
      </c>
      <c r="F49" s="80">
        <f t="shared" si="1"/>
        <v>2375</v>
      </c>
    </row>
    <row r="50" spans="1:6" ht="26.4" x14ac:dyDescent="0.25">
      <c r="A50" s="67">
        <v>29</v>
      </c>
      <c r="B50" s="68" t="s">
        <v>70</v>
      </c>
      <c r="C50" s="76">
        <f>25+20+10+10+20+10</f>
        <v>95</v>
      </c>
      <c r="D50" s="69" t="s">
        <v>28</v>
      </c>
      <c r="E50" s="79">
        <v>120</v>
      </c>
      <c r="F50" s="80">
        <f t="shared" si="1"/>
        <v>11400</v>
      </c>
    </row>
    <row r="51" spans="1:6" ht="26.4" x14ac:dyDescent="0.25">
      <c r="A51" s="67">
        <v>30</v>
      </c>
      <c r="B51" s="82" t="s">
        <v>79</v>
      </c>
      <c r="C51" s="76">
        <f>8+8+4+6+8+8</f>
        <v>42</v>
      </c>
      <c r="D51" s="69" t="s">
        <v>15</v>
      </c>
      <c r="E51" s="79">
        <v>200</v>
      </c>
      <c r="F51" s="80">
        <f t="shared" si="1"/>
        <v>8400</v>
      </c>
    </row>
    <row r="52" spans="1:6" ht="26.4" x14ac:dyDescent="0.25">
      <c r="A52" s="67">
        <v>31</v>
      </c>
      <c r="B52" s="82" t="s">
        <v>72</v>
      </c>
      <c r="C52" s="76">
        <v>1</v>
      </c>
      <c r="D52" s="69" t="s">
        <v>15</v>
      </c>
      <c r="E52" s="79">
        <v>700</v>
      </c>
      <c r="F52" s="80">
        <f t="shared" si="1"/>
        <v>700</v>
      </c>
    </row>
    <row r="53" spans="1:6" ht="26.4" x14ac:dyDescent="0.25">
      <c r="A53" s="67">
        <v>32</v>
      </c>
      <c r="B53" s="82" t="s">
        <v>71</v>
      </c>
      <c r="C53" s="76">
        <v>2</v>
      </c>
      <c r="D53" s="69" t="s">
        <v>15</v>
      </c>
      <c r="E53" s="79">
        <v>900</v>
      </c>
      <c r="F53" s="80">
        <f t="shared" si="1"/>
        <v>1800</v>
      </c>
    </row>
    <row r="54" spans="1:6" ht="26.4" x14ac:dyDescent="0.25">
      <c r="A54" s="67">
        <v>33</v>
      </c>
      <c r="B54" s="82" t="s">
        <v>73</v>
      </c>
      <c r="C54" s="76">
        <v>1</v>
      </c>
      <c r="D54" s="69" t="s">
        <v>15</v>
      </c>
      <c r="E54" s="79">
        <v>1000</v>
      </c>
      <c r="F54" s="80">
        <f t="shared" si="1"/>
        <v>1000</v>
      </c>
    </row>
    <row r="55" spans="1:6" ht="26.4" x14ac:dyDescent="0.25">
      <c r="A55" s="67">
        <v>34</v>
      </c>
      <c r="B55" s="82" t="s">
        <v>50</v>
      </c>
      <c r="C55" s="76">
        <v>30</v>
      </c>
      <c r="D55" s="69" t="s">
        <v>28</v>
      </c>
      <c r="E55" s="79">
        <v>50</v>
      </c>
      <c r="F55" s="80">
        <f t="shared" si="1"/>
        <v>1500</v>
      </c>
    </row>
    <row r="56" spans="1:6" ht="26.4" x14ac:dyDescent="0.25">
      <c r="A56" s="67">
        <v>35</v>
      </c>
      <c r="B56" s="82" t="s">
        <v>49</v>
      </c>
      <c r="C56" s="76">
        <f>9.1+4+2.5+4+6</f>
        <v>25.6</v>
      </c>
      <c r="D56" s="69" t="s">
        <v>14</v>
      </c>
      <c r="E56" s="79">
        <v>140</v>
      </c>
      <c r="F56" s="80">
        <f t="shared" si="1"/>
        <v>3584</v>
      </c>
    </row>
    <row r="57" spans="1:6" ht="26.4" x14ac:dyDescent="0.25">
      <c r="A57" s="67">
        <v>36</v>
      </c>
      <c r="B57" s="68" t="s">
        <v>43</v>
      </c>
      <c r="C57" s="76">
        <f>3+2+10+6+3+6</f>
        <v>30</v>
      </c>
      <c r="D57" s="69" t="s">
        <v>14</v>
      </c>
      <c r="E57" s="79">
        <v>180</v>
      </c>
      <c r="F57" s="80">
        <f t="shared" si="1"/>
        <v>5400</v>
      </c>
    </row>
    <row r="58" spans="1:6" x14ac:dyDescent="0.25">
      <c r="A58" s="67">
        <v>37</v>
      </c>
      <c r="B58" s="68" t="s">
        <v>44</v>
      </c>
      <c r="C58" s="76">
        <f>1+0.5+0.6+1+0.5+1</f>
        <v>4.5999999999999996</v>
      </c>
      <c r="D58" s="69" t="s">
        <v>45</v>
      </c>
      <c r="E58" s="79">
        <v>2000</v>
      </c>
      <c r="F58" s="80">
        <f t="shared" si="1"/>
        <v>9200</v>
      </c>
    </row>
    <row r="59" spans="1:6" ht="26.4" x14ac:dyDescent="0.25">
      <c r="A59" s="67">
        <v>38</v>
      </c>
      <c r="B59" s="82" t="s">
        <v>54</v>
      </c>
      <c r="C59" s="76">
        <v>15</v>
      </c>
      <c r="D59" s="69" t="s">
        <v>14</v>
      </c>
      <c r="E59" s="79">
        <v>35</v>
      </c>
      <c r="F59" s="80">
        <f t="shared" si="1"/>
        <v>525</v>
      </c>
    </row>
    <row r="60" spans="1:6" ht="26.4" x14ac:dyDescent="0.25">
      <c r="A60" s="67">
        <v>39</v>
      </c>
      <c r="B60" s="68" t="s">
        <v>46</v>
      </c>
      <c r="C60" s="76">
        <f>3+2+6+6+3+6</f>
        <v>26</v>
      </c>
      <c r="D60" s="69" t="s">
        <v>14</v>
      </c>
      <c r="E60" s="79">
        <v>35</v>
      </c>
      <c r="F60" s="80">
        <f t="shared" si="1"/>
        <v>910</v>
      </c>
    </row>
    <row r="61" spans="1:6" x14ac:dyDescent="0.25">
      <c r="A61" s="67">
        <v>40</v>
      </c>
      <c r="B61" s="68" t="s">
        <v>55</v>
      </c>
      <c r="C61" s="76">
        <f>3+2+6+53+6</f>
        <v>70</v>
      </c>
      <c r="D61" s="69" t="s">
        <v>14</v>
      </c>
      <c r="E61" s="79">
        <v>140</v>
      </c>
      <c r="F61" s="80">
        <f t="shared" si="1"/>
        <v>9800</v>
      </c>
    </row>
    <row r="62" spans="1:6" x14ac:dyDescent="0.25">
      <c r="A62" s="67">
        <v>41</v>
      </c>
      <c r="B62" s="68" t="s">
        <v>76</v>
      </c>
      <c r="C62" s="76">
        <v>70</v>
      </c>
      <c r="D62" s="69" t="s">
        <v>14</v>
      </c>
      <c r="E62" s="79">
        <v>15</v>
      </c>
      <c r="F62" s="80">
        <f t="shared" si="1"/>
        <v>1050</v>
      </c>
    </row>
    <row r="63" spans="1:6" ht="26.4" x14ac:dyDescent="0.25">
      <c r="A63" s="67">
        <v>42</v>
      </c>
      <c r="B63" s="68" t="s">
        <v>78</v>
      </c>
      <c r="C63" s="76">
        <v>70</v>
      </c>
      <c r="D63" s="69" t="s">
        <v>14</v>
      </c>
      <c r="E63" s="79">
        <v>60</v>
      </c>
      <c r="F63" s="80">
        <f t="shared" si="1"/>
        <v>4200</v>
      </c>
    </row>
    <row r="64" spans="1:6" x14ac:dyDescent="0.25">
      <c r="A64" s="67">
        <v>43</v>
      </c>
      <c r="B64" s="68" t="s">
        <v>48</v>
      </c>
      <c r="C64" s="76">
        <f>0.5+0.3+1.5+0.5+0.3+0.5</f>
        <v>3.5999999999999996</v>
      </c>
      <c r="D64" s="69" t="s">
        <v>47</v>
      </c>
      <c r="E64" s="79">
        <v>600</v>
      </c>
      <c r="F64" s="80">
        <f t="shared" si="1"/>
        <v>2160</v>
      </c>
    </row>
    <row r="65" spans="1:6" x14ac:dyDescent="0.25">
      <c r="A65" s="62"/>
      <c r="B65" s="63" t="s">
        <v>74</v>
      </c>
      <c r="C65" s="64"/>
      <c r="D65" s="65"/>
      <c r="E65" s="66"/>
      <c r="F65" s="66"/>
    </row>
    <row r="66" spans="1:6" ht="26.4" x14ac:dyDescent="0.25">
      <c r="A66" s="67">
        <v>44</v>
      </c>
      <c r="B66" s="68" t="s">
        <v>63</v>
      </c>
      <c r="C66" s="76">
        <f>3</f>
        <v>3</v>
      </c>
      <c r="D66" s="69" t="s">
        <v>15</v>
      </c>
      <c r="E66" s="79">
        <v>2000</v>
      </c>
      <c r="F66" s="80">
        <f t="shared" si="1"/>
        <v>6000</v>
      </c>
    </row>
    <row r="67" spans="1:6" ht="26.4" x14ac:dyDescent="0.25">
      <c r="A67" s="67">
        <v>45</v>
      </c>
      <c r="B67" s="68" t="s">
        <v>52</v>
      </c>
      <c r="C67" s="76">
        <f>3</f>
        <v>3</v>
      </c>
      <c r="D67" s="69" t="s">
        <v>15</v>
      </c>
      <c r="E67" s="79">
        <v>450</v>
      </c>
      <c r="F67" s="80">
        <f t="shared" si="1"/>
        <v>1350</v>
      </c>
    </row>
    <row r="68" spans="1:6" x14ac:dyDescent="0.25">
      <c r="A68" s="67">
        <v>46</v>
      </c>
      <c r="B68" s="68" t="s">
        <v>42</v>
      </c>
      <c r="C68" s="76">
        <f>15</f>
        <v>15</v>
      </c>
      <c r="D68" s="69" t="s">
        <v>28</v>
      </c>
      <c r="E68" s="79">
        <v>25</v>
      </c>
      <c r="F68" s="80">
        <f t="shared" si="1"/>
        <v>375</v>
      </c>
    </row>
    <row r="69" spans="1:6" ht="26.4" x14ac:dyDescent="0.25">
      <c r="A69" s="67">
        <v>47</v>
      </c>
      <c r="B69" s="68" t="s">
        <v>70</v>
      </c>
      <c r="C69" s="76">
        <v>15</v>
      </c>
      <c r="D69" s="69" t="s">
        <v>28</v>
      </c>
      <c r="E69" s="79">
        <v>120</v>
      </c>
      <c r="F69" s="80">
        <f t="shared" si="1"/>
        <v>1800</v>
      </c>
    </row>
    <row r="70" spans="1:6" x14ac:dyDescent="0.25">
      <c r="A70" s="67">
        <v>48</v>
      </c>
      <c r="B70" s="68" t="s">
        <v>75</v>
      </c>
      <c r="C70" s="76">
        <v>36.479999999999997</v>
      </c>
      <c r="D70" s="69" t="s">
        <v>14</v>
      </c>
      <c r="E70" s="79">
        <v>120</v>
      </c>
      <c r="F70" s="80">
        <f t="shared" si="1"/>
        <v>4377.6000000000004</v>
      </c>
    </row>
    <row r="71" spans="1:6" x14ac:dyDescent="0.25">
      <c r="A71" s="67">
        <v>49</v>
      </c>
      <c r="B71" s="68" t="s">
        <v>37</v>
      </c>
      <c r="C71" s="76">
        <v>73</v>
      </c>
      <c r="D71" s="69" t="s">
        <v>14</v>
      </c>
      <c r="E71" s="79">
        <v>150</v>
      </c>
      <c r="F71" s="80">
        <f t="shared" si="1"/>
        <v>10950</v>
      </c>
    </row>
    <row r="72" spans="1:6" x14ac:dyDescent="0.25">
      <c r="A72" s="67">
        <v>50</v>
      </c>
      <c r="B72" s="68" t="s">
        <v>55</v>
      </c>
      <c r="C72" s="76">
        <v>73</v>
      </c>
      <c r="D72" s="69" t="s">
        <v>14</v>
      </c>
      <c r="E72" s="79">
        <v>140</v>
      </c>
      <c r="F72" s="80">
        <f t="shared" si="1"/>
        <v>10220</v>
      </c>
    </row>
    <row r="73" spans="1:6" x14ac:dyDescent="0.25">
      <c r="A73" s="67">
        <v>51</v>
      </c>
      <c r="B73" s="68" t="s">
        <v>76</v>
      </c>
      <c r="C73" s="76">
        <v>73</v>
      </c>
      <c r="D73" s="69" t="s">
        <v>14</v>
      </c>
      <c r="E73" s="79">
        <v>15</v>
      </c>
      <c r="F73" s="80">
        <f t="shared" si="1"/>
        <v>1095</v>
      </c>
    </row>
    <row r="74" spans="1:6" ht="26.4" x14ac:dyDescent="0.25">
      <c r="A74" s="67">
        <v>52</v>
      </c>
      <c r="B74" s="68" t="s">
        <v>78</v>
      </c>
      <c r="C74" s="76">
        <f>73+3</f>
        <v>76</v>
      </c>
      <c r="D74" s="69" t="s">
        <v>14</v>
      </c>
      <c r="E74" s="79">
        <v>60</v>
      </c>
      <c r="F74" s="80">
        <f t="shared" si="1"/>
        <v>4560</v>
      </c>
    </row>
    <row r="75" spans="1:6" x14ac:dyDescent="0.25">
      <c r="A75" s="67">
        <v>53</v>
      </c>
      <c r="B75" s="82" t="s">
        <v>77</v>
      </c>
      <c r="C75" s="76">
        <v>0.51</v>
      </c>
      <c r="D75" s="69" t="s">
        <v>14</v>
      </c>
      <c r="E75" s="79">
        <v>140</v>
      </c>
      <c r="F75" s="80">
        <f t="shared" si="1"/>
        <v>71.400000000000006</v>
      </c>
    </row>
    <row r="76" spans="1:6" x14ac:dyDescent="0.25">
      <c r="A76" s="67">
        <v>54</v>
      </c>
      <c r="B76" s="68" t="s">
        <v>44</v>
      </c>
      <c r="C76" s="76">
        <v>1.5</v>
      </c>
      <c r="D76" s="69" t="s">
        <v>45</v>
      </c>
      <c r="E76" s="79">
        <v>2000</v>
      </c>
      <c r="F76" s="80">
        <f t="shared" si="1"/>
        <v>3000</v>
      </c>
    </row>
    <row r="77" spans="1:6" x14ac:dyDescent="0.25">
      <c r="A77" s="67">
        <v>55</v>
      </c>
      <c r="B77" s="68" t="s">
        <v>48</v>
      </c>
      <c r="C77" s="76">
        <v>1.5</v>
      </c>
      <c r="D77" s="69" t="s">
        <v>47</v>
      </c>
      <c r="E77" s="79">
        <v>600</v>
      </c>
      <c r="F77" s="80">
        <f t="shared" si="1"/>
        <v>900</v>
      </c>
    </row>
    <row r="78" spans="1:6" ht="15.6" x14ac:dyDescent="0.25">
      <c r="A78" s="10"/>
      <c r="B78" s="11" t="s">
        <v>5</v>
      </c>
      <c r="C78" s="12"/>
      <c r="D78" s="13"/>
      <c r="E78" s="55"/>
      <c r="F78" s="22">
        <f>SUM(F21:F77)</f>
        <v>171696.46</v>
      </c>
    </row>
    <row r="79" spans="1:6" ht="15.6" x14ac:dyDescent="0.25">
      <c r="A79" s="15"/>
      <c r="B79" s="11"/>
      <c r="C79" s="12"/>
      <c r="D79" s="13"/>
      <c r="E79" s="14"/>
      <c r="F79" s="16"/>
    </row>
    <row r="80" spans="1:6" ht="15.6" x14ac:dyDescent="0.3">
      <c r="A80" s="17"/>
      <c r="B80" s="18" t="s">
        <v>8</v>
      </c>
      <c r="C80" s="8"/>
      <c r="D80" s="8"/>
      <c r="E80" s="8"/>
      <c r="F80" s="8"/>
    </row>
    <row r="81" spans="1:6" ht="26.4" x14ac:dyDescent="0.25">
      <c r="A81" s="9" t="s">
        <v>1</v>
      </c>
      <c r="B81" s="9" t="s">
        <v>6</v>
      </c>
      <c r="C81" s="9" t="s">
        <v>2</v>
      </c>
      <c r="D81" s="9" t="s">
        <v>0</v>
      </c>
      <c r="E81" s="9" t="s">
        <v>3</v>
      </c>
      <c r="F81" s="9" t="s">
        <v>4</v>
      </c>
    </row>
    <row r="82" spans="1:6" x14ac:dyDescent="0.25">
      <c r="A82" s="67">
        <v>1</v>
      </c>
      <c r="B82" s="68" t="s">
        <v>80</v>
      </c>
      <c r="C82" s="76">
        <v>12</v>
      </c>
      <c r="D82" s="69" t="s">
        <v>15</v>
      </c>
      <c r="E82" s="78">
        <v>270</v>
      </c>
      <c r="F82" s="80">
        <f t="shared" ref="F82:F117" si="2">ROUND(C82*E82,2)</f>
        <v>3240</v>
      </c>
    </row>
    <row r="83" spans="1:6" x14ac:dyDescent="0.25">
      <c r="A83" s="67">
        <v>2</v>
      </c>
      <c r="B83" s="68" t="s">
        <v>81</v>
      </c>
      <c r="C83" s="76">
        <v>30</v>
      </c>
      <c r="D83" s="69" t="s">
        <v>15</v>
      </c>
      <c r="E83" s="78">
        <v>90</v>
      </c>
      <c r="F83" s="80">
        <f t="shared" si="2"/>
        <v>2700</v>
      </c>
    </row>
    <row r="84" spans="1:6" x14ac:dyDescent="0.25">
      <c r="A84" s="67">
        <v>3</v>
      </c>
      <c r="B84" s="68" t="s">
        <v>82</v>
      </c>
      <c r="C84" s="76">
        <v>18</v>
      </c>
      <c r="D84" s="69" t="s">
        <v>15</v>
      </c>
      <c r="E84" s="81">
        <v>60</v>
      </c>
      <c r="F84" s="80">
        <f t="shared" si="2"/>
        <v>1080</v>
      </c>
    </row>
    <row r="85" spans="1:6" x14ac:dyDescent="0.25">
      <c r="A85" s="67">
        <v>4</v>
      </c>
      <c r="B85" s="68" t="s">
        <v>30</v>
      </c>
      <c r="C85" s="76">
        <v>12</v>
      </c>
      <c r="D85" s="69" t="s">
        <v>15</v>
      </c>
      <c r="E85" s="79">
        <v>70</v>
      </c>
      <c r="F85" s="80">
        <f t="shared" si="2"/>
        <v>840</v>
      </c>
    </row>
    <row r="86" spans="1:6" x14ac:dyDescent="0.25">
      <c r="A86" s="67">
        <v>5</v>
      </c>
      <c r="B86" s="68" t="s">
        <v>83</v>
      </c>
      <c r="C86" s="76">
        <f>C39*1.05</f>
        <v>23.1</v>
      </c>
      <c r="D86" s="69" t="s">
        <v>14</v>
      </c>
      <c r="E86" s="78">
        <v>20</v>
      </c>
      <c r="F86" s="80">
        <f t="shared" si="2"/>
        <v>462</v>
      </c>
    </row>
    <row r="87" spans="1:6" x14ac:dyDescent="0.25">
      <c r="A87" s="67">
        <v>6</v>
      </c>
      <c r="B87" s="68" t="s">
        <v>96</v>
      </c>
      <c r="C87" s="76">
        <v>16</v>
      </c>
      <c r="D87" s="69" t="s">
        <v>15</v>
      </c>
      <c r="E87" s="78">
        <v>9.18</v>
      </c>
      <c r="F87" s="80">
        <f t="shared" si="2"/>
        <v>146.88</v>
      </c>
    </row>
    <row r="88" spans="1:6" x14ac:dyDescent="0.25">
      <c r="A88" s="67">
        <v>7</v>
      </c>
      <c r="B88" s="68" t="s">
        <v>109</v>
      </c>
      <c r="C88" s="76">
        <v>3</v>
      </c>
      <c r="D88" s="69" t="s">
        <v>15</v>
      </c>
      <c r="E88" s="78">
        <v>18.86</v>
      </c>
      <c r="F88" s="80">
        <f t="shared" si="2"/>
        <v>56.58</v>
      </c>
    </row>
    <row r="89" spans="1:6" x14ac:dyDescent="0.25">
      <c r="A89" s="67">
        <v>8</v>
      </c>
      <c r="B89" s="68" t="s">
        <v>101</v>
      </c>
      <c r="C89" s="76">
        <v>108</v>
      </c>
      <c r="D89" s="69" t="s">
        <v>28</v>
      </c>
      <c r="E89" s="78">
        <v>5.68</v>
      </c>
      <c r="F89" s="80">
        <f t="shared" si="2"/>
        <v>613.44000000000005</v>
      </c>
    </row>
    <row r="90" spans="1:6" x14ac:dyDescent="0.25">
      <c r="A90" s="67">
        <v>9</v>
      </c>
      <c r="B90" s="68" t="s">
        <v>88</v>
      </c>
      <c r="C90" s="83">
        <f>C86*8</f>
        <v>184.8</v>
      </c>
      <c r="D90" s="69" t="s">
        <v>15</v>
      </c>
      <c r="E90" s="78">
        <v>0.9</v>
      </c>
      <c r="F90" s="80">
        <f t="shared" si="2"/>
        <v>166.32</v>
      </c>
    </row>
    <row r="91" spans="1:6" x14ac:dyDescent="0.25">
      <c r="A91" s="67">
        <v>10</v>
      </c>
      <c r="B91" s="68" t="s">
        <v>97</v>
      </c>
      <c r="C91" s="83">
        <v>200</v>
      </c>
      <c r="D91" s="69" t="s">
        <v>15</v>
      </c>
      <c r="E91" s="78">
        <v>0.11</v>
      </c>
      <c r="F91" s="80">
        <f t="shared" si="2"/>
        <v>22</v>
      </c>
    </row>
    <row r="92" spans="1:6" x14ac:dyDescent="0.25">
      <c r="A92" s="67">
        <v>11</v>
      </c>
      <c r="B92" s="68" t="s">
        <v>87</v>
      </c>
      <c r="C92" s="76">
        <f>C41</f>
        <v>26.623999999999995</v>
      </c>
      <c r="D92" s="69" t="s">
        <v>28</v>
      </c>
      <c r="E92" s="78">
        <v>56.5</v>
      </c>
      <c r="F92" s="80">
        <f t="shared" si="2"/>
        <v>1504.26</v>
      </c>
    </row>
    <row r="93" spans="1:6" x14ac:dyDescent="0.25">
      <c r="A93" s="67">
        <v>12</v>
      </c>
      <c r="B93" s="68" t="s">
        <v>84</v>
      </c>
      <c r="C93" s="76">
        <f>(C42+C43)*2.4</f>
        <v>162.072</v>
      </c>
      <c r="D93" s="69" t="s">
        <v>90</v>
      </c>
      <c r="E93" s="78">
        <v>26.81</v>
      </c>
      <c r="F93" s="80">
        <f t="shared" si="2"/>
        <v>4345.1499999999996</v>
      </c>
    </row>
    <row r="94" spans="1:6" x14ac:dyDescent="0.25">
      <c r="A94" s="67">
        <v>13</v>
      </c>
      <c r="B94" s="68" t="s">
        <v>85</v>
      </c>
      <c r="C94" s="76">
        <f>C44</f>
        <v>40.83</v>
      </c>
      <c r="D94" s="69" t="s">
        <v>14</v>
      </c>
      <c r="E94" s="78">
        <v>99.5</v>
      </c>
      <c r="F94" s="80">
        <f t="shared" si="2"/>
        <v>4062.59</v>
      </c>
    </row>
    <row r="95" spans="1:6" x14ac:dyDescent="0.25">
      <c r="A95" s="67">
        <v>14</v>
      </c>
      <c r="B95" s="68" t="s">
        <v>86</v>
      </c>
      <c r="C95" s="76">
        <f>C45</f>
        <v>17.899999999999999</v>
      </c>
      <c r="D95" s="69" t="s">
        <v>14</v>
      </c>
      <c r="E95" s="78">
        <v>167.3</v>
      </c>
      <c r="F95" s="80">
        <f t="shared" si="2"/>
        <v>2994.67</v>
      </c>
    </row>
    <row r="96" spans="1:6" x14ac:dyDescent="0.25">
      <c r="A96" s="67">
        <v>15</v>
      </c>
      <c r="B96" s="68" t="s">
        <v>89</v>
      </c>
      <c r="C96" s="76">
        <f>(C94+C95)*6</f>
        <v>352.38</v>
      </c>
      <c r="D96" s="69" t="s">
        <v>90</v>
      </c>
      <c r="E96" s="78">
        <v>11.32</v>
      </c>
      <c r="F96" s="80">
        <f t="shared" si="2"/>
        <v>3988.94</v>
      </c>
    </row>
    <row r="97" spans="1:6" x14ac:dyDescent="0.25">
      <c r="A97" s="67">
        <v>16</v>
      </c>
      <c r="B97" s="68" t="s">
        <v>108</v>
      </c>
      <c r="C97" s="76">
        <v>2</v>
      </c>
      <c r="D97" s="69" t="s">
        <v>15</v>
      </c>
      <c r="E97" s="78">
        <v>12</v>
      </c>
      <c r="F97" s="80">
        <f t="shared" si="2"/>
        <v>24</v>
      </c>
    </row>
    <row r="98" spans="1:6" x14ac:dyDescent="0.25">
      <c r="A98" s="67">
        <v>17</v>
      </c>
      <c r="B98" s="68" t="s">
        <v>110</v>
      </c>
      <c r="C98" s="76">
        <f>(C94+C95)*0.35</f>
        <v>20.555499999999999</v>
      </c>
      <c r="D98" s="69" t="s">
        <v>90</v>
      </c>
      <c r="E98" s="78">
        <v>67.88</v>
      </c>
      <c r="F98" s="80">
        <f t="shared" si="2"/>
        <v>1395.31</v>
      </c>
    </row>
    <row r="99" spans="1:6" ht="26.4" x14ac:dyDescent="0.25">
      <c r="A99" s="67">
        <v>18</v>
      </c>
      <c r="B99" s="68" t="s">
        <v>118</v>
      </c>
      <c r="C99" s="76">
        <v>12</v>
      </c>
      <c r="D99" s="69" t="s">
        <v>15</v>
      </c>
      <c r="E99" s="78">
        <v>7692</v>
      </c>
      <c r="F99" s="80">
        <f t="shared" si="2"/>
        <v>92304</v>
      </c>
    </row>
    <row r="100" spans="1:6" ht="26.4" x14ac:dyDescent="0.25">
      <c r="A100" s="67">
        <v>19</v>
      </c>
      <c r="B100" s="68" t="s">
        <v>119</v>
      </c>
      <c r="C100" s="76">
        <f>5+3</f>
        <v>8</v>
      </c>
      <c r="D100" s="69" t="s">
        <v>15</v>
      </c>
      <c r="E100" s="78">
        <v>8116</v>
      </c>
      <c r="F100" s="80">
        <f t="shared" si="2"/>
        <v>64928</v>
      </c>
    </row>
    <row r="101" spans="1:6" ht="26.4" x14ac:dyDescent="0.25">
      <c r="A101" s="67">
        <v>20</v>
      </c>
      <c r="B101" s="68" t="s">
        <v>120</v>
      </c>
      <c r="C101" s="76">
        <v>2</v>
      </c>
      <c r="D101" s="69" t="s">
        <v>15</v>
      </c>
      <c r="E101" s="78">
        <v>9208</v>
      </c>
      <c r="F101" s="80">
        <f t="shared" si="2"/>
        <v>18416</v>
      </c>
    </row>
    <row r="102" spans="1:6" x14ac:dyDescent="0.25">
      <c r="A102" s="67">
        <v>21</v>
      </c>
      <c r="B102" s="68" t="s">
        <v>98</v>
      </c>
      <c r="C102" s="76">
        <f>(C99+C100+C101)*4</f>
        <v>88</v>
      </c>
      <c r="D102" s="69" t="s">
        <v>15</v>
      </c>
      <c r="E102" s="78">
        <v>5.12</v>
      </c>
      <c r="F102" s="80">
        <f t="shared" si="2"/>
        <v>450.56</v>
      </c>
    </row>
    <row r="103" spans="1:6" x14ac:dyDescent="0.25">
      <c r="A103" s="67">
        <v>22</v>
      </c>
      <c r="B103" s="68" t="s">
        <v>99</v>
      </c>
      <c r="C103" s="76">
        <f>120/6</f>
        <v>20</v>
      </c>
      <c r="D103" s="69" t="s">
        <v>15</v>
      </c>
      <c r="E103" s="78">
        <v>104.16</v>
      </c>
      <c r="F103" s="80">
        <f t="shared" si="2"/>
        <v>2083.1999999999998</v>
      </c>
    </row>
    <row r="104" spans="1:6" x14ac:dyDescent="0.25">
      <c r="A104" s="67">
        <v>23</v>
      </c>
      <c r="B104" s="68" t="s">
        <v>111</v>
      </c>
      <c r="C104" s="76">
        <v>2.04</v>
      </c>
      <c r="D104" s="69" t="s">
        <v>45</v>
      </c>
      <c r="E104" s="78">
        <v>1835</v>
      </c>
      <c r="F104" s="80">
        <f t="shared" si="2"/>
        <v>3743.4</v>
      </c>
    </row>
    <row r="105" spans="1:6" x14ac:dyDescent="0.25">
      <c r="A105" s="67">
        <v>24</v>
      </c>
      <c r="B105" s="68" t="s">
        <v>92</v>
      </c>
      <c r="C105" s="76">
        <f>C70*0.1</f>
        <v>3.6479999999999997</v>
      </c>
      <c r="D105" s="69" t="s">
        <v>45</v>
      </c>
      <c r="E105" s="78">
        <v>1185</v>
      </c>
      <c r="F105" s="80">
        <f t="shared" si="2"/>
        <v>4322.88</v>
      </c>
    </row>
    <row r="106" spans="1:6" x14ac:dyDescent="0.25">
      <c r="A106" s="67">
        <v>25</v>
      </c>
      <c r="B106" s="68" t="s">
        <v>91</v>
      </c>
      <c r="C106" s="76">
        <f>C105*25</f>
        <v>91.199999999999989</v>
      </c>
      <c r="D106" s="69" t="s">
        <v>90</v>
      </c>
      <c r="E106" s="78">
        <v>3.75</v>
      </c>
      <c r="F106" s="80">
        <f t="shared" si="2"/>
        <v>342</v>
      </c>
    </row>
    <row r="107" spans="1:6" x14ac:dyDescent="0.25">
      <c r="A107" s="67">
        <v>26</v>
      </c>
      <c r="B107" s="68" t="s">
        <v>93</v>
      </c>
      <c r="C107" s="76">
        <f>(C59+C60)*0.25</f>
        <v>10.25</v>
      </c>
      <c r="D107" s="69" t="s">
        <v>90</v>
      </c>
      <c r="E107" s="78">
        <v>43</v>
      </c>
      <c r="F107" s="80">
        <f t="shared" si="2"/>
        <v>440.75</v>
      </c>
    </row>
    <row r="108" spans="1:6" x14ac:dyDescent="0.25">
      <c r="A108" s="67">
        <v>27</v>
      </c>
      <c r="B108" s="68" t="s">
        <v>94</v>
      </c>
      <c r="C108" s="76">
        <f>C107*0.1</f>
        <v>1.0250000000000001</v>
      </c>
      <c r="D108" s="69" t="s">
        <v>95</v>
      </c>
      <c r="E108" s="78">
        <v>44</v>
      </c>
      <c r="F108" s="80">
        <f t="shared" si="2"/>
        <v>45.1</v>
      </c>
    </row>
    <row r="109" spans="1:6" x14ac:dyDescent="0.25">
      <c r="A109" s="67">
        <v>28</v>
      </c>
      <c r="B109" s="68" t="s">
        <v>100</v>
      </c>
      <c r="C109" s="76">
        <f>(C59+C60)*0.15</f>
        <v>6.1499999999999995</v>
      </c>
      <c r="D109" s="69" t="s">
        <v>90</v>
      </c>
      <c r="E109" s="78">
        <v>50.83</v>
      </c>
      <c r="F109" s="80">
        <f t="shared" si="2"/>
        <v>312.60000000000002</v>
      </c>
    </row>
    <row r="110" spans="1:6" x14ac:dyDescent="0.25">
      <c r="A110" s="67">
        <v>29</v>
      </c>
      <c r="B110" s="68" t="s">
        <v>102</v>
      </c>
      <c r="C110" s="76">
        <f>(C61+C72)*1.5</f>
        <v>214.5</v>
      </c>
      <c r="D110" s="69" t="s">
        <v>90</v>
      </c>
      <c r="E110" s="78">
        <v>4.12</v>
      </c>
      <c r="F110" s="80">
        <f t="shared" si="2"/>
        <v>883.74</v>
      </c>
    </row>
    <row r="111" spans="1:6" x14ac:dyDescent="0.25">
      <c r="A111" s="67">
        <v>30</v>
      </c>
      <c r="B111" s="68" t="s">
        <v>103</v>
      </c>
      <c r="C111" s="76">
        <f>(C62+C73)*0.2</f>
        <v>28.6</v>
      </c>
      <c r="D111" s="69" t="s">
        <v>95</v>
      </c>
      <c r="E111" s="78">
        <v>21.1</v>
      </c>
      <c r="F111" s="80">
        <f t="shared" si="2"/>
        <v>603.46</v>
      </c>
    </row>
    <row r="112" spans="1:6" x14ac:dyDescent="0.25">
      <c r="A112" s="67">
        <v>31</v>
      </c>
      <c r="B112" s="68" t="s">
        <v>105</v>
      </c>
      <c r="C112" s="76">
        <f>(C63+C74)/5*2</f>
        <v>58.4</v>
      </c>
      <c r="D112" s="69" t="s">
        <v>90</v>
      </c>
      <c r="E112" s="78">
        <v>84</v>
      </c>
      <c r="F112" s="80">
        <f t="shared" si="2"/>
        <v>4905.6000000000004</v>
      </c>
    </row>
    <row r="113" spans="1:6" x14ac:dyDescent="0.25">
      <c r="A113" s="67">
        <v>32</v>
      </c>
      <c r="B113" s="68" t="s">
        <v>106</v>
      </c>
      <c r="C113" s="76">
        <f>7.55+0.45</f>
        <v>8</v>
      </c>
      <c r="D113" s="69" t="s">
        <v>47</v>
      </c>
      <c r="E113" s="78">
        <v>385</v>
      </c>
      <c r="F113" s="80">
        <f t="shared" si="2"/>
        <v>3080</v>
      </c>
    </row>
    <row r="114" spans="1:6" x14ac:dyDescent="0.25">
      <c r="A114" s="67">
        <v>33</v>
      </c>
      <c r="B114" s="68" t="s">
        <v>112</v>
      </c>
      <c r="C114" s="76">
        <v>0.06</v>
      </c>
      <c r="D114" s="69" t="s">
        <v>47</v>
      </c>
      <c r="E114" s="78">
        <v>12790</v>
      </c>
      <c r="F114" s="80">
        <f t="shared" si="2"/>
        <v>767.4</v>
      </c>
    </row>
    <row r="115" spans="1:6" x14ac:dyDescent="0.25">
      <c r="A115" s="67">
        <v>34</v>
      </c>
      <c r="B115" s="68" t="s">
        <v>113</v>
      </c>
      <c r="C115" s="76">
        <v>1</v>
      </c>
      <c r="D115" s="69" t="s">
        <v>90</v>
      </c>
      <c r="E115" s="78">
        <v>19.100000000000001</v>
      </c>
      <c r="F115" s="80">
        <f t="shared" si="2"/>
        <v>19.100000000000001</v>
      </c>
    </row>
    <row r="116" spans="1:6" x14ac:dyDescent="0.25">
      <c r="A116" s="67">
        <v>35</v>
      </c>
      <c r="B116" s="68" t="s">
        <v>114</v>
      </c>
      <c r="C116" s="76">
        <v>0.74</v>
      </c>
      <c r="D116" s="69" t="s">
        <v>47</v>
      </c>
      <c r="E116" s="78">
        <v>250</v>
      </c>
      <c r="F116" s="80">
        <f t="shared" si="2"/>
        <v>185</v>
      </c>
    </row>
    <row r="117" spans="1:6" x14ac:dyDescent="0.25">
      <c r="A117" s="67">
        <v>36</v>
      </c>
      <c r="B117" s="68" t="s">
        <v>107</v>
      </c>
      <c r="C117" s="76">
        <f>1.83+0.21</f>
        <v>2.04</v>
      </c>
      <c r="D117" s="69" t="s">
        <v>47</v>
      </c>
      <c r="E117" s="78">
        <v>2900</v>
      </c>
      <c r="F117" s="80">
        <f t="shared" si="2"/>
        <v>5916</v>
      </c>
    </row>
    <row r="118" spans="1:6" ht="15.6" x14ac:dyDescent="0.3">
      <c r="A118" s="3"/>
      <c r="B118" s="19" t="s">
        <v>5</v>
      </c>
      <c r="C118" s="12"/>
      <c r="D118" s="20"/>
      <c r="E118" s="21"/>
      <c r="F118" s="22">
        <f>SUM(F82:F117)</f>
        <v>231390.93000000002</v>
      </c>
    </row>
    <row r="119" spans="1:6" ht="15.6" x14ac:dyDescent="0.3">
      <c r="A119" s="3"/>
      <c r="B119" s="19"/>
      <c r="C119" s="12"/>
      <c r="D119" s="20"/>
      <c r="E119" s="21"/>
      <c r="F119" s="22"/>
    </row>
    <row r="120" spans="1:6" ht="15.6" x14ac:dyDescent="0.25">
      <c r="A120" s="3"/>
      <c r="B120" s="11"/>
      <c r="C120" s="12"/>
      <c r="D120" s="20"/>
      <c r="E120" s="21"/>
      <c r="F120" s="23"/>
    </row>
    <row r="121" spans="1:6" ht="13.8" x14ac:dyDescent="0.25">
      <c r="A121" s="54"/>
      <c r="B121" s="29" t="s">
        <v>9</v>
      </c>
      <c r="C121" s="25"/>
      <c r="D121" s="26"/>
      <c r="E121" s="27"/>
      <c r="F121" s="28">
        <f>F78+F118</f>
        <v>403087.39</v>
      </c>
    </row>
    <row r="122" spans="1:6" ht="13.8" x14ac:dyDescent="0.25">
      <c r="A122" s="54"/>
      <c r="B122" s="29" t="s">
        <v>31</v>
      </c>
      <c r="C122" s="30"/>
      <c r="D122" s="31"/>
      <c r="E122" s="50"/>
      <c r="F122" s="46">
        <f>F118*5%</f>
        <v>11569.546500000002</v>
      </c>
    </row>
    <row r="123" spans="1:6" ht="13.8" x14ac:dyDescent="0.25">
      <c r="A123" s="54"/>
      <c r="B123" s="29" t="s">
        <v>32</v>
      </c>
      <c r="C123" s="30"/>
      <c r="D123" s="31"/>
      <c r="E123" s="50"/>
      <c r="F123" s="46">
        <f>F78*5%</f>
        <v>8584.8230000000003</v>
      </c>
    </row>
    <row r="124" spans="1:6" ht="13.8" x14ac:dyDescent="0.25">
      <c r="A124" s="54"/>
      <c r="B124" s="29" t="s">
        <v>29</v>
      </c>
      <c r="C124" s="30"/>
      <c r="D124" s="31"/>
      <c r="E124" s="50"/>
      <c r="F124" s="46">
        <f>(F121+F122+F123)*5%</f>
        <v>21162.087975000002</v>
      </c>
    </row>
    <row r="125" spans="1:6" ht="13.8" x14ac:dyDescent="0.25">
      <c r="A125" s="54"/>
      <c r="B125" s="34" t="s">
        <v>10</v>
      </c>
      <c r="C125" s="47"/>
      <c r="D125" s="48"/>
      <c r="E125" s="49"/>
      <c r="F125" s="37">
        <f>F121+F122+F124</f>
        <v>435819.02447499998</v>
      </c>
    </row>
    <row r="126" spans="1:6" ht="13.8" x14ac:dyDescent="0.25">
      <c r="A126" s="54"/>
      <c r="B126" s="38" t="s">
        <v>11</v>
      </c>
      <c r="C126" s="33"/>
      <c r="D126" s="39"/>
      <c r="E126" s="40"/>
      <c r="F126" s="32">
        <f>F125*20%</f>
        <v>87163.804895000008</v>
      </c>
    </row>
    <row r="127" spans="1:6" ht="13.8" x14ac:dyDescent="0.25">
      <c r="A127" s="54"/>
      <c r="B127" s="34" t="s">
        <v>12</v>
      </c>
      <c r="C127" s="30"/>
      <c r="D127" s="35"/>
      <c r="E127" s="36"/>
      <c r="F127" s="32">
        <f>ROUNDUP(F125*1.2,2)</f>
        <v>522982.83</v>
      </c>
    </row>
    <row r="128" spans="1:6" ht="13.8" x14ac:dyDescent="0.25">
      <c r="A128" s="24"/>
      <c r="B128" s="52"/>
      <c r="C128" s="33"/>
      <c r="D128" s="39"/>
      <c r="E128" s="40"/>
      <c r="F128" s="53"/>
    </row>
    <row r="129" spans="1:7" ht="15.75" customHeight="1" x14ac:dyDescent="0.25">
      <c r="A129" s="89"/>
      <c r="B129" s="89"/>
      <c r="C129" s="89"/>
      <c r="D129" s="89"/>
      <c r="E129" s="89"/>
      <c r="F129" s="89"/>
    </row>
    <row r="130" spans="1:7" ht="12.75" customHeight="1" x14ac:dyDescent="0.25">
      <c r="A130" s="70" t="s">
        <v>24</v>
      </c>
      <c r="B130" s="71"/>
      <c r="C130" s="71"/>
      <c r="D130" s="70" t="s">
        <v>24</v>
      </c>
      <c r="E130" s="71"/>
      <c r="F130" s="71"/>
    </row>
    <row r="131" spans="1:7" ht="12.75" customHeight="1" x14ac:dyDescent="0.25">
      <c r="A131" s="72"/>
      <c r="B131" s="72"/>
      <c r="C131" s="71"/>
      <c r="D131" s="73"/>
      <c r="E131" s="73"/>
      <c r="F131" s="73"/>
    </row>
    <row r="132" spans="1:7" ht="12.75" customHeight="1" x14ac:dyDescent="0.25">
      <c r="A132" s="72" t="s">
        <v>16</v>
      </c>
      <c r="B132" s="72"/>
      <c r="C132" s="71"/>
      <c r="D132" s="72" t="s">
        <v>19</v>
      </c>
      <c r="E132" s="73"/>
      <c r="F132" s="73"/>
    </row>
    <row r="133" spans="1:7" ht="12.75" customHeight="1" x14ac:dyDescent="0.25">
      <c r="A133" s="72" t="s">
        <v>17</v>
      </c>
      <c r="B133" s="72"/>
      <c r="C133" s="71"/>
      <c r="D133" s="74" t="s">
        <v>20</v>
      </c>
      <c r="E133" s="72"/>
      <c r="F133" s="72"/>
    </row>
    <row r="134" spans="1:7" ht="12.75" customHeight="1" x14ac:dyDescent="0.25">
      <c r="A134" s="72"/>
      <c r="B134" s="72"/>
      <c r="C134" s="71"/>
      <c r="D134" s="72"/>
      <c r="E134" s="72"/>
      <c r="F134" s="72"/>
    </row>
    <row r="135" spans="1:7" ht="20.25" customHeight="1" x14ac:dyDescent="0.25">
      <c r="A135" s="75" t="s">
        <v>25</v>
      </c>
      <c r="B135" s="72"/>
      <c r="C135" s="71"/>
      <c r="D135" s="75" t="s">
        <v>26</v>
      </c>
      <c r="E135" s="72"/>
      <c r="F135" s="72"/>
    </row>
    <row r="136" spans="1:7" ht="12.75" customHeight="1" x14ac:dyDescent="0.3">
      <c r="A136" s="60"/>
      <c r="B136" s="60"/>
      <c r="C136" s="60"/>
      <c r="D136" s="60"/>
      <c r="E136" s="60"/>
      <c r="F136" s="60"/>
    </row>
    <row r="137" spans="1:7" ht="15" customHeight="1" x14ac:dyDescent="0.25">
      <c r="A137" s="1"/>
      <c r="B137" s="4"/>
      <c r="C137" s="4"/>
      <c r="D137" s="4"/>
      <c r="E137" s="4"/>
      <c r="F137" s="4"/>
      <c r="G137" s="4"/>
    </row>
    <row r="138" spans="1:7" ht="15.6" x14ac:dyDescent="0.25">
      <c r="A138" s="3"/>
      <c r="B138" s="41"/>
      <c r="C138" s="41"/>
      <c r="D138" s="41"/>
      <c r="E138" s="41"/>
      <c r="F138" s="42"/>
    </row>
    <row r="141" spans="1:7" x14ac:dyDescent="0.25">
      <c r="A141" s="44"/>
      <c r="B141" s="44"/>
      <c r="C141" s="44"/>
      <c r="D141" s="44"/>
      <c r="E141" s="44"/>
      <c r="F141" s="43"/>
    </row>
  </sheetData>
  <mergeCells count="8">
    <mergeCell ref="A129:F129"/>
    <mergeCell ref="C2:F2"/>
    <mergeCell ref="C3:F3"/>
    <mergeCell ref="C4:F4"/>
    <mergeCell ref="B12:F12"/>
    <mergeCell ref="C13:F13"/>
    <mergeCell ref="D14:F14"/>
    <mergeCell ref="B10:F1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tabSelected="1" topLeftCell="A94" zoomScale="80" zoomScaleNormal="80" workbookViewId="0">
      <selection activeCell="F116" sqref="F116"/>
    </sheetView>
  </sheetViews>
  <sheetFormatPr defaultRowHeight="13.2" x14ac:dyDescent="0.25"/>
  <cols>
    <col min="2" max="2" width="46.88671875" customWidth="1"/>
    <col min="3" max="3" width="13.88671875" customWidth="1"/>
    <col min="4" max="4" width="12.44140625" customWidth="1"/>
    <col min="5" max="5" width="16" customWidth="1"/>
    <col min="6" max="6" width="20.88671875" customWidth="1"/>
    <col min="7" max="7" width="19.44140625" customWidth="1"/>
  </cols>
  <sheetData>
    <row r="1" spans="1:6" x14ac:dyDescent="0.25">
      <c r="A1" s="3"/>
      <c r="B1" s="5"/>
      <c r="C1" s="6"/>
      <c r="D1" s="2"/>
      <c r="E1" s="2"/>
      <c r="F1" s="2"/>
    </row>
    <row r="2" spans="1:6" ht="15.6" x14ac:dyDescent="0.25">
      <c r="A2" s="3"/>
      <c r="B2" s="45"/>
      <c r="C2" s="90"/>
      <c r="D2" s="90"/>
      <c r="E2" s="90"/>
      <c r="F2" s="90"/>
    </row>
    <row r="3" spans="1:6" x14ac:dyDescent="0.25">
      <c r="A3" s="3"/>
      <c r="B3" s="5"/>
      <c r="C3" s="90"/>
      <c r="D3" s="90"/>
      <c r="E3" s="90"/>
      <c r="F3" s="90"/>
    </row>
    <row r="4" spans="1:6" ht="25.5" customHeight="1" x14ac:dyDescent="0.25">
      <c r="A4" s="1"/>
      <c r="B4" s="7"/>
      <c r="C4" s="91"/>
      <c r="D4" s="91"/>
      <c r="E4" s="91"/>
      <c r="F4" s="91"/>
    </row>
    <row r="5" spans="1:6" ht="16.5" customHeight="1" x14ac:dyDescent="0.3">
      <c r="A5" s="1"/>
      <c r="B5" s="57" t="s">
        <v>16</v>
      </c>
      <c r="C5" s="58" t="s">
        <v>17</v>
      </c>
      <c r="D5" s="59"/>
      <c r="E5" s="59"/>
      <c r="F5" s="59"/>
    </row>
    <row r="6" spans="1:6" ht="16.5" customHeight="1" x14ac:dyDescent="0.25">
      <c r="A6" s="1"/>
      <c r="B6" s="59"/>
      <c r="C6" s="6" t="s">
        <v>18</v>
      </c>
      <c r="D6" s="59"/>
      <c r="E6" s="59"/>
      <c r="F6" s="59"/>
    </row>
    <row r="7" spans="1:6" ht="16.5" customHeight="1" x14ac:dyDescent="0.3">
      <c r="A7" s="1"/>
      <c r="B7" s="57" t="s">
        <v>19</v>
      </c>
      <c r="C7" s="58" t="s">
        <v>20</v>
      </c>
      <c r="D7" s="59"/>
      <c r="E7" s="59"/>
      <c r="F7" s="59"/>
    </row>
    <row r="8" spans="1:6" ht="16.5" customHeight="1" x14ac:dyDescent="0.25">
      <c r="A8" s="1"/>
      <c r="B8" s="59"/>
      <c r="C8" s="6" t="s">
        <v>18</v>
      </c>
      <c r="D8" s="59"/>
      <c r="E8" s="59"/>
      <c r="F8" s="59"/>
    </row>
    <row r="9" spans="1:6" ht="16.5" customHeight="1" x14ac:dyDescent="0.25">
      <c r="A9" s="1"/>
      <c r="B9" s="59"/>
      <c r="C9" s="59"/>
      <c r="D9" s="59"/>
      <c r="E9" s="59"/>
      <c r="F9" s="59"/>
    </row>
    <row r="10" spans="1:6" ht="16.5" customHeight="1" x14ac:dyDescent="0.4">
      <c r="A10" s="1"/>
      <c r="B10" s="94" t="s">
        <v>33</v>
      </c>
      <c r="C10" s="94"/>
      <c r="D10" s="94"/>
      <c r="E10" s="94"/>
      <c r="F10" s="94"/>
    </row>
    <row r="11" spans="1:6" ht="16.5" customHeight="1" x14ac:dyDescent="0.25">
      <c r="A11" s="1"/>
      <c r="B11" s="59"/>
      <c r="C11" s="59"/>
      <c r="D11" s="59"/>
      <c r="E11" s="59"/>
      <c r="F11" s="59"/>
    </row>
    <row r="12" spans="1:6" ht="48" customHeight="1" x14ac:dyDescent="0.25">
      <c r="A12" s="1"/>
      <c r="B12" s="92" t="s">
        <v>21</v>
      </c>
      <c r="C12" s="92"/>
      <c r="D12" s="92"/>
      <c r="E12" s="92"/>
      <c r="F12" s="92"/>
    </row>
    <row r="13" spans="1:6" ht="16.5" customHeight="1" x14ac:dyDescent="0.25">
      <c r="A13" s="1"/>
      <c r="B13" s="59"/>
      <c r="C13" s="93" t="s">
        <v>22</v>
      </c>
      <c r="D13" s="93"/>
      <c r="E13" s="93"/>
      <c r="F13" s="93"/>
    </row>
    <row r="14" spans="1:6" ht="16.5" customHeight="1" x14ac:dyDescent="0.25">
      <c r="A14" s="1"/>
      <c r="B14" s="59"/>
      <c r="C14" s="2"/>
      <c r="D14" s="93" t="s">
        <v>23</v>
      </c>
      <c r="E14" s="93"/>
      <c r="F14" s="93"/>
    </row>
    <row r="15" spans="1:6" ht="16.5" customHeight="1" x14ac:dyDescent="0.25">
      <c r="A15" s="1"/>
      <c r="B15" s="7"/>
      <c r="C15" s="85"/>
      <c r="D15" s="85"/>
      <c r="E15" s="85"/>
      <c r="F15" s="85"/>
    </row>
    <row r="16" spans="1:6" ht="16.5" customHeight="1" x14ac:dyDescent="0.25">
      <c r="A16" s="1"/>
      <c r="B16" s="7"/>
      <c r="C16" s="85"/>
      <c r="D16" s="85"/>
      <c r="E16" s="85"/>
      <c r="F16" s="85"/>
    </row>
    <row r="17" spans="1:6" ht="16.5" customHeight="1" x14ac:dyDescent="0.25">
      <c r="A17" s="1"/>
      <c r="B17" s="61" t="s">
        <v>27</v>
      </c>
      <c r="C17" s="85"/>
      <c r="D17" s="85"/>
      <c r="E17" s="85"/>
      <c r="F17" s="85"/>
    </row>
    <row r="18" spans="1:6" ht="26.25" customHeight="1" x14ac:dyDescent="0.3">
      <c r="B18" s="51" t="s">
        <v>13</v>
      </c>
      <c r="C18" s="51"/>
      <c r="D18" s="51"/>
      <c r="E18" s="51"/>
      <c r="F18" s="51"/>
    </row>
    <row r="19" spans="1:6" ht="12.75" customHeight="1" x14ac:dyDescent="0.25">
      <c r="A19" s="9" t="s">
        <v>1</v>
      </c>
      <c r="B19" s="9" t="s">
        <v>7</v>
      </c>
      <c r="C19" s="9" t="s">
        <v>2</v>
      </c>
      <c r="D19" s="9" t="s">
        <v>0</v>
      </c>
      <c r="E19" s="9" t="s">
        <v>3</v>
      </c>
      <c r="F19" s="9" t="s">
        <v>4</v>
      </c>
    </row>
    <row r="20" spans="1:6" x14ac:dyDescent="0.25">
      <c r="A20" s="62"/>
      <c r="B20" s="63" t="s">
        <v>65</v>
      </c>
      <c r="C20" s="64"/>
      <c r="D20" s="65"/>
      <c r="E20" s="66"/>
      <c r="F20" s="66"/>
    </row>
    <row r="21" spans="1:6" x14ac:dyDescent="0.25">
      <c r="A21" s="67">
        <v>1</v>
      </c>
      <c r="B21" s="68" t="s">
        <v>56</v>
      </c>
      <c r="C21" s="76">
        <f>9+1.36+1.6+1.6+0.4+7.4+1+1</f>
        <v>23.36</v>
      </c>
      <c r="D21" s="69" t="s">
        <v>14</v>
      </c>
      <c r="E21" s="79">
        <v>75</v>
      </c>
      <c r="F21" s="80">
        <f t="shared" ref="F21:F30" si="0">ROUND(C21*E21,2)</f>
        <v>1752</v>
      </c>
    </row>
    <row r="22" spans="1:6" ht="26.4" x14ac:dyDescent="0.25">
      <c r="A22" s="67">
        <v>2</v>
      </c>
      <c r="B22" s="68" t="s">
        <v>35</v>
      </c>
      <c r="C22" s="76">
        <v>14.64</v>
      </c>
      <c r="D22" s="69" t="s">
        <v>14</v>
      </c>
      <c r="E22" s="86">
        <v>50</v>
      </c>
      <c r="F22" s="80">
        <f t="shared" si="0"/>
        <v>732</v>
      </c>
    </row>
    <row r="23" spans="1:6" ht="26.4" x14ac:dyDescent="0.25">
      <c r="A23" s="67">
        <v>3</v>
      </c>
      <c r="B23" s="68" t="s">
        <v>57</v>
      </c>
      <c r="C23" s="76">
        <f>3+1+2+3+1</f>
        <v>10</v>
      </c>
      <c r="D23" s="69" t="s">
        <v>15</v>
      </c>
      <c r="E23" s="86">
        <v>100</v>
      </c>
      <c r="F23" s="80">
        <f t="shared" si="0"/>
        <v>1000</v>
      </c>
    </row>
    <row r="24" spans="1:6" ht="26.4" x14ac:dyDescent="0.25">
      <c r="A24" s="67">
        <v>4</v>
      </c>
      <c r="B24" s="68" t="s">
        <v>121</v>
      </c>
      <c r="C24" s="76">
        <f>1+1+1</f>
        <v>3</v>
      </c>
      <c r="D24" s="69" t="s">
        <v>15</v>
      </c>
      <c r="E24" s="86">
        <v>250</v>
      </c>
      <c r="F24" s="80">
        <f t="shared" si="0"/>
        <v>750</v>
      </c>
    </row>
    <row r="25" spans="1:6" ht="26.4" x14ac:dyDescent="0.25">
      <c r="A25" s="67">
        <v>5</v>
      </c>
      <c r="B25" s="68" t="s">
        <v>122</v>
      </c>
      <c r="C25" s="76">
        <f>1+1</f>
        <v>2</v>
      </c>
      <c r="D25" s="69" t="s">
        <v>15</v>
      </c>
      <c r="E25" s="86">
        <v>500</v>
      </c>
      <c r="F25" s="80">
        <f t="shared" si="0"/>
        <v>1000</v>
      </c>
    </row>
    <row r="26" spans="1:6" ht="26.4" x14ac:dyDescent="0.25">
      <c r="A26" s="67">
        <v>6</v>
      </c>
      <c r="B26" s="68" t="s">
        <v>123</v>
      </c>
      <c r="C26" s="76">
        <v>1</v>
      </c>
      <c r="D26" s="69" t="s">
        <v>15</v>
      </c>
      <c r="E26" s="86">
        <v>450</v>
      </c>
      <c r="F26" s="80">
        <f t="shared" si="0"/>
        <v>450</v>
      </c>
    </row>
    <row r="27" spans="1:6" x14ac:dyDescent="0.25">
      <c r="A27" s="67">
        <v>7</v>
      </c>
      <c r="B27" s="68" t="s">
        <v>40</v>
      </c>
      <c r="C27" s="76">
        <f>5+3+2+3+2</f>
        <v>15</v>
      </c>
      <c r="D27" s="69" t="s">
        <v>15</v>
      </c>
      <c r="E27" s="79">
        <v>250</v>
      </c>
      <c r="F27" s="80">
        <f t="shared" si="0"/>
        <v>3750</v>
      </c>
    </row>
    <row r="28" spans="1:6" x14ac:dyDescent="0.25">
      <c r="A28" s="67">
        <v>8</v>
      </c>
      <c r="B28" s="68" t="s">
        <v>60</v>
      </c>
      <c r="C28" s="76">
        <f>1+1</f>
        <v>2</v>
      </c>
      <c r="D28" s="69" t="s">
        <v>15</v>
      </c>
      <c r="E28" s="79">
        <v>250</v>
      </c>
      <c r="F28" s="80">
        <f t="shared" si="0"/>
        <v>500</v>
      </c>
    </row>
    <row r="29" spans="1:6" x14ac:dyDescent="0.25">
      <c r="A29" s="67">
        <v>9</v>
      </c>
      <c r="B29" s="68" t="s">
        <v>59</v>
      </c>
      <c r="C29" s="76">
        <v>3</v>
      </c>
      <c r="D29" s="69" t="s">
        <v>15</v>
      </c>
      <c r="E29" s="79">
        <v>250</v>
      </c>
      <c r="F29" s="80">
        <f t="shared" si="0"/>
        <v>750</v>
      </c>
    </row>
    <row r="30" spans="1:6" ht="26.4" x14ac:dyDescent="0.25">
      <c r="A30" s="67">
        <v>10</v>
      </c>
      <c r="B30" s="68" t="s">
        <v>53</v>
      </c>
      <c r="C30" s="76">
        <v>13.5</v>
      </c>
      <c r="D30" s="69" t="s">
        <v>14</v>
      </c>
      <c r="E30" s="79">
        <v>60</v>
      </c>
      <c r="F30" s="80">
        <f t="shared" si="0"/>
        <v>810</v>
      </c>
    </row>
    <row r="31" spans="1:6" x14ac:dyDescent="0.25">
      <c r="A31" s="62"/>
      <c r="B31" s="63" t="s">
        <v>66</v>
      </c>
      <c r="C31" s="64"/>
      <c r="D31" s="65"/>
      <c r="E31" s="66"/>
      <c r="F31" s="66"/>
    </row>
    <row r="32" spans="1:6" ht="14.25" customHeight="1" x14ac:dyDescent="0.25">
      <c r="A32" s="67">
        <v>11</v>
      </c>
      <c r="B32" s="68" t="s">
        <v>34</v>
      </c>
      <c r="C32" s="76">
        <v>36</v>
      </c>
      <c r="D32" s="77" t="s">
        <v>28</v>
      </c>
      <c r="E32" s="78">
        <v>175</v>
      </c>
      <c r="F32" s="80">
        <f>ROUND(C32*E32,2)</f>
        <v>6300</v>
      </c>
    </row>
    <row r="33" spans="1:7" ht="14.25" customHeight="1" x14ac:dyDescent="0.25">
      <c r="A33" s="67">
        <v>12</v>
      </c>
      <c r="B33" s="68" t="s">
        <v>115</v>
      </c>
      <c r="C33" s="76">
        <v>0.06</v>
      </c>
      <c r="D33" s="77" t="s">
        <v>47</v>
      </c>
      <c r="E33" s="84">
        <v>2500</v>
      </c>
      <c r="F33" s="80">
        <f>ROUND(C33*E33,2)</f>
        <v>150</v>
      </c>
    </row>
    <row r="34" spans="1:7" ht="14.25" customHeight="1" x14ac:dyDescent="0.25">
      <c r="A34" s="67">
        <v>13</v>
      </c>
      <c r="B34" s="68" t="s">
        <v>117</v>
      </c>
      <c r="C34" s="76">
        <v>1</v>
      </c>
      <c r="D34" s="77" t="s">
        <v>45</v>
      </c>
      <c r="E34" s="87">
        <v>645</v>
      </c>
      <c r="F34" s="80">
        <f>ROUND(C34*E34,2)</f>
        <v>645</v>
      </c>
      <c r="G34" s="2"/>
    </row>
    <row r="35" spans="1:7" ht="14.25" customHeight="1" x14ac:dyDescent="0.25">
      <c r="A35" s="67">
        <v>14</v>
      </c>
      <c r="B35" s="68" t="s">
        <v>116</v>
      </c>
      <c r="C35" s="76">
        <v>5</v>
      </c>
      <c r="D35" s="77" t="s">
        <v>14</v>
      </c>
      <c r="E35" s="84">
        <v>250</v>
      </c>
      <c r="F35" s="80">
        <f>ROUND(C35*E35,2)</f>
        <v>1250</v>
      </c>
    </row>
    <row r="36" spans="1:7" x14ac:dyDescent="0.25">
      <c r="A36" s="67">
        <v>15</v>
      </c>
      <c r="B36" s="68" t="s">
        <v>36</v>
      </c>
      <c r="C36" s="76">
        <v>22</v>
      </c>
      <c r="D36" s="69" t="s">
        <v>14</v>
      </c>
      <c r="E36" s="79">
        <v>50</v>
      </c>
      <c r="F36" s="80">
        <f t="shared" ref="F36:F64" si="1">ROUND(C36*E36,2)</f>
        <v>1100</v>
      </c>
    </row>
    <row r="37" spans="1:7" x14ac:dyDescent="0.25">
      <c r="A37" s="67">
        <v>16</v>
      </c>
      <c r="B37" s="68" t="s">
        <v>37</v>
      </c>
      <c r="C37" s="76">
        <v>22</v>
      </c>
      <c r="D37" s="69" t="s">
        <v>14</v>
      </c>
      <c r="E37" s="79">
        <v>150</v>
      </c>
      <c r="F37" s="80">
        <f t="shared" si="1"/>
        <v>3300</v>
      </c>
    </row>
    <row r="38" spans="1:7" ht="26.4" x14ac:dyDescent="0.25">
      <c r="A38" s="67">
        <v>17</v>
      </c>
      <c r="B38" s="82" t="s">
        <v>104</v>
      </c>
      <c r="C38" s="76">
        <f>9.6+11.7+5.324</f>
        <v>26.623999999999995</v>
      </c>
      <c r="D38" s="69" t="s">
        <v>28</v>
      </c>
      <c r="E38" s="79">
        <v>15</v>
      </c>
      <c r="F38" s="80">
        <f t="shared" si="1"/>
        <v>399.36</v>
      </c>
    </row>
    <row r="39" spans="1:7" x14ac:dyDescent="0.25">
      <c r="A39" s="67">
        <v>18</v>
      </c>
      <c r="B39" s="68" t="s">
        <v>38</v>
      </c>
      <c r="C39" s="76">
        <f>5.5+9.3+2.2+17.63</f>
        <v>34.629999999999995</v>
      </c>
      <c r="D39" s="69" t="s">
        <v>14</v>
      </c>
      <c r="E39" s="79">
        <v>40</v>
      </c>
      <c r="F39" s="80">
        <f t="shared" si="1"/>
        <v>1385.2</v>
      </c>
    </row>
    <row r="40" spans="1:7" x14ac:dyDescent="0.25">
      <c r="A40" s="67">
        <v>19</v>
      </c>
      <c r="B40" s="68" t="s">
        <v>39</v>
      </c>
      <c r="C40" s="76">
        <f>22+3.5+7.4</f>
        <v>32.9</v>
      </c>
      <c r="D40" s="69" t="s">
        <v>14</v>
      </c>
      <c r="E40" s="79">
        <v>40</v>
      </c>
      <c r="F40" s="80">
        <f t="shared" si="1"/>
        <v>1316</v>
      </c>
    </row>
    <row r="41" spans="1:7" ht="14.25" customHeight="1" x14ac:dyDescent="0.25">
      <c r="A41" s="67">
        <v>20</v>
      </c>
      <c r="B41" s="68" t="s">
        <v>67</v>
      </c>
      <c r="C41" s="76">
        <f>5.5+1.6+2.2+11.7+2.2+17.63</f>
        <v>40.83</v>
      </c>
      <c r="D41" s="69" t="s">
        <v>14</v>
      </c>
      <c r="E41" s="79">
        <v>270</v>
      </c>
      <c r="F41" s="80">
        <f t="shared" si="1"/>
        <v>11024.1</v>
      </c>
    </row>
    <row r="42" spans="1:7" x14ac:dyDescent="0.25">
      <c r="A42" s="67">
        <v>21</v>
      </c>
      <c r="B42" s="68" t="s">
        <v>68</v>
      </c>
      <c r="C42" s="76">
        <f>2.2+1.6+3.5+1.6+1.6+7.4</f>
        <v>17.899999999999999</v>
      </c>
      <c r="D42" s="69" t="s">
        <v>14</v>
      </c>
      <c r="E42" s="79">
        <v>300</v>
      </c>
      <c r="F42" s="80">
        <f t="shared" si="1"/>
        <v>5370</v>
      </c>
    </row>
    <row r="43" spans="1:7" ht="26.4" x14ac:dyDescent="0.25">
      <c r="A43" s="67">
        <v>22</v>
      </c>
      <c r="B43" s="68" t="s">
        <v>51</v>
      </c>
      <c r="C43" s="76">
        <f>4+3+1+3+1</f>
        <v>12</v>
      </c>
      <c r="D43" s="69" t="s">
        <v>15</v>
      </c>
      <c r="E43" s="79">
        <v>450</v>
      </c>
      <c r="F43" s="80">
        <f t="shared" si="1"/>
        <v>5400</v>
      </c>
    </row>
    <row r="44" spans="1:7" ht="26.4" x14ac:dyDescent="0.25">
      <c r="A44" s="67">
        <v>23</v>
      </c>
      <c r="B44" s="68" t="s">
        <v>52</v>
      </c>
      <c r="C44" s="76">
        <f>1+2+1+1</f>
        <v>5</v>
      </c>
      <c r="D44" s="69" t="s">
        <v>15</v>
      </c>
      <c r="E44" s="79">
        <v>450</v>
      </c>
      <c r="F44" s="80">
        <f t="shared" si="1"/>
        <v>2250</v>
      </c>
    </row>
    <row r="45" spans="1:7" ht="26.4" x14ac:dyDescent="0.25">
      <c r="A45" s="67">
        <v>24</v>
      </c>
      <c r="B45" s="68" t="s">
        <v>69</v>
      </c>
      <c r="C45" s="76">
        <f>1+1</f>
        <v>2</v>
      </c>
      <c r="D45" s="69" t="s">
        <v>15</v>
      </c>
      <c r="E45" s="79">
        <v>450</v>
      </c>
      <c r="F45" s="80">
        <f t="shared" si="1"/>
        <v>900</v>
      </c>
    </row>
    <row r="46" spans="1:7" x14ac:dyDescent="0.25">
      <c r="A46" s="67">
        <v>25</v>
      </c>
      <c r="B46" s="68" t="s">
        <v>42</v>
      </c>
      <c r="C46" s="76">
        <f>25+20+10+10+20+10</f>
        <v>95</v>
      </c>
      <c r="D46" s="69" t="s">
        <v>28</v>
      </c>
      <c r="E46" s="79">
        <v>25</v>
      </c>
      <c r="F46" s="80">
        <f t="shared" si="1"/>
        <v>2375</v>
      </c>
    </row>
    <row r="47" spans="1:7" ht="26.4" x14ac:dyDescent="0.25">
      <c r="A47" s="67">
        <v>26</v>
      </c>
      <c r="B47" s="68" t="s">
        <v>70</v>
      </c>
      <c r="C47" s="76">
        <f>25+20+10+10+20+10</f>
        <v>95</v>
      </c>
      <c r="D47" s="69" t="s">
        <v>28</v>
      </c>
      <c r="E47" s="79">
        <v>120</v>
      </c>
      <c r="F47" s="80">
        <f t="shared" si="1"/>
        <v>11400</v>
      </c>
    </row>
    <row r="48" spans="1:7" ht="26.4" x14ac:dyDescent="0.25">
      <c r="A48" s="67">
        <v>27</v>
      </c>
      <c r="B48" s="82" t="s">
        <v>79</v>
      </c>
      <c r="C48" s="76">
        <f>8+8+4+6+8+8</f>
        <v>42</v>
      </c>
      <c r="D48" s="69" t="s">
        <v>15</v>
      </c>
      <c r="E48" s="86">
        <v>50</v>
      </c>
      <c r="F48" s="80">
        <f t="shared" si="1"/>
        <v>2100</v>
      </c>
      <c r="G48" s="2"/>
    </row>
    <row r="49" spans="1:11" ht="26.4" x14ac:dyDescent="0.25">
      <c r="A49" s="67">
        <v>28</v>
      </c>
      <c r="B49" s="82" t="s">
        <v>72</v>
      </c>
      <c r="C49" s="76">
        <v>1</v>
      </c>
      <c r="D49" s="69" t="s">
        <v>15</v>
      </c>
      <c r="E49" s="86">
        <v>515</v>
      </c>
      <c r="F49" s="80">
        <f t="shared" si="1"/>
        <v>515</v>
      </c>
      <c r="G49" s="2"/>
    </row>
    <row r="50" spans="1:11" ht="26.4" x14ac:dyDescent="0.25">
      <c r="A50" s="67">
        <v>29</v>
      </c>
      <c r="B50" s="82" t="s">
        <v>71</v>
      </c>
      <c r="C50" s="76">
        <v>2</v>
      </c>
      <c r="D50" s="69" t="s">
        <v>15</v>
      </c>
      <c r="E50" s="86">
        <v>660</v>
      </c>
      <c r="F50" s="80">
        <f t="shared" si="1"/>
        <v>1320</v>
      </c>
      <c r="G50" s="2"/>
    </row>
    <row r="51" spans="1:11" ht="26.4" x14ac:dyDescent="0.25">
      <c r="A51" s="67">
        <v>30</v>
      </c>
      <c r="B51" s="82" t="s">
        <v>73</v>
      </c>
      <c r="C51" s="76">
        <v>1</v>
      </c>
      <c r="D51" s="69" t="s">
        <v>15</v>
      </c>
      <c r="E51" s="86">
        <v>735</v>
      </c>
      <c r="F51" s="80">
        <f t="shared" si="1"/>
        <v>735</v>
      </c>
      <c r="K51" s="2"/>
    </row>
    <row r="52" spans="1:11" ht="26.4" x14ac:dyDescent="0.25">
      <c r="A52" s="67">
        <v>31</v>
      </c>
      <c r="B52" s="82" t="s">
        <v>50</v>
      </c>
      <c r="C52" s="76">
        <v>30</v>
      </c>
      <c r="D52" s="69" t="s">
        <v>28</v>
      </c>
      <c r="E52" s="79">
        <v>50</v>
      </c>
      <c r="F52" s="80">
        <f t="shared" si="1"/>
        <v>1500</v>
      </c>
    </row>
    <row r="53" spans="1:11" ht="26.4" x14ac:dyDescent="0.25">
      <c r="A53" s="67">
        <v>32</v>
      </c>
      <c r="B53" s="82" t="s">
        <v>49</v>
      </c>
      <c r="C53" s="76">
        <f>9.1+4+2.5+4+6</f>
        <v>25.6</v>
      </c>
      <c r="D53" s="69" t="s">
        <v>14</v>
      </c>
      <c r="E53" s="79">
        <v>140</v>
      </c>
      <c r="F53" s="80">
        <f t="shared" si="1"/>
        <v>3584</v>
      </c>
    </row>
    <row r="54" spans="1:11" ht="26.4" x14ac:dyDescent="0.25">
      <c r="A54" s="67">
        <v>33</v>
      </c>
      <c r="B54" s="68" t="s">
        <v>43</v>
      </c>
      <c r="C54" s="76">
        <f>3+2+10+6+3+6</f>
        <v>30</v>
      </c>
      <c r="D54" s="69" t="s">
        <v>14</v>
      </c>
      <c r="E54" s="79">
        <v>180</v>
      </c>
      <c r="F54" s="80">
        <f t="shared" si="1"/>
        <v>5400</v>
      </c>
    </row>
    <row r="55" spans="1:11" x14ac:dyDescent="0.25">
      <c r="A55" s="67">
        <v>34</v>
      </c>
      <c r="B55" s="68" t="s">
        <v>44</v>
      </c>
      <c r="C55" s="76">
        <f>1+0.5+0.6+1+0.5+1</f>
        <v>4.5999999999999996</v>
      </c>
      <c r="D55" s="69" t="s">
        <v>45</v>
      </c>
      <c r="E55" s="88">
        <v>567</v>
      </c>
      <c r="F55" s="80">
        <f t="shared" si="1"/>
        <v>2608.1999999999998</v>
      </c>
      <c r="G55" s="2"/>
    </row>
    <row r="56" spans="1:11" ht="26.4" x14ac:dyDescent="0.25">
      <c r="A56" s="67">
        <v>35</v>
      </c>
      <c r="B56" s="82" t="s">
        <v>54</v>
      </c>
      <c r="C56" s="76">
        <v>15</v>
      </c>
      <c r="D56" s="69" t="s">
        <v>14</v>
      </c>
      <c r="E56" s="79">
        <v>35</v>
      </c>
      <c r="F56" s="80">
        <f t="shared" si="1"/>
        <v>525</v>
      </c>
    </row>
    <row r="57" spans="1:11" ht="26.4" x14ac:dyDescent="0.25">
      <c r="A57" s="67">
        <v>36</v>
      </c>
      <c r="B57" s="68" t="s">
        <v>46</v>
      </c>
      <c r="C57" s="76">
        <f>3+2+6+6+3+6</f>
        <v>26</v>
      </c>
      <c r="D57" s="69" t="s">
        <v>14</v>
      </c>
      <c r="E57" s="79">
        <v>35</v>
      </c>
      <c r="F57" s="80">
        <f t="shared" si="1"/>
        <v>910</v>
      </c>
    </row>
    <row r="58" spans="1:11" x14ac:dyDescent="0.25">
      <c r="A58" s="67">
        <v>37</v>
      </c>
      <c r="B58" s="68" t="s">
        <v>55</v>
      </c>
      <c r="C58" s="76">
        <f>3+2+6+53+6</f>
        <v>70</v>
      </c>
      <c r="D58" s="69" t="s">
        <v>14</v>
      </c>
      <c r="E58" s="86">
        <v>125</v>
      </c>
      <c r="F58" s="80">
        <f t="shared" si="1"/>
        <v>8750</v>
      </c>
      <c r="G58" s="95"/>
    </row>
    <row r="59" spans="1:11" x14ac:dyDescent="0.25">
      <c r="A59" s="67">
        <v>38</v>
      </c>
      <c r="B59" s="68" t="s">
        <v>76</v>
      </c>
      <c r="C59" s="76">
        <v>70</v>
      </c>
      <c r="D59" s="69" t="s">
        <v>14</v>
      </c>
      <c r="E59" s="79">
        <v>15</v>
      </c>
      <c r="F59" s="80">
        <f t="shared" si="1"/>
        <v>1050</v>
      </c>
      <c r="G59" s="96"/>
    </row>
    <row r="60" spans="1:11" ht="26.4" x14ac:dyDescent="0.25">
      <c r="A60" s="67">
        <v>39</v>
      </c>
      <c r="B60" s="68" t="s">
        <v>78</v>
      </c>
      <c r="C60" s="76">
        <v>70</v>
      </c>
      <c r="D60" s="69" t="s">
        <v>14</v>
      </c>
      <c r="E60" s="86">
        <v>50</v>
      </c>
      <c r="F60" s="80">
        <f t="shared" si="1"/>
        <v>3500</v>
      </c>
      <c r="G60" s="96"/>
    </row>
    <row r="61" spans="1:11" x14ac:dyDescent="0.25">
      <c r="A61" s="67">
        <v>40</v>
      </c>
      <c r="B61" s="68" t="s">
        <v>48</v>
      </c>
      <c r="C61" s="76">
        <f>0.5+0.3+1.5+0.5+0.3+0.5</f>
        <v>3.5999999999999996</v>
      </c>
      <c r="D61" s="69" t="s">
        <v>47</v>
      </c>
      <c r="E61" s="86">
        <v>500</v>
      </c>
      <c r="F61" s="80">
        <f t="shared" si="1"/>
        <v>1800</v>
      </c>
      <c r="G61" s="2"/>
    </row>
    <row r="62" spans="1:11" x14ac:dyDescent="0.25">
      <c r="A62" s="62"/>
      <c r="B62" s="63" t="s">
        <v>74</v>
      </c>
      <c r="C62" s="64"/>
      <c r="D62" s="65"/>
      <c r="E62" s="66"/>
      <c r="F62" s="66"/>
    </row>
    <row r="63" spans="1:11" ht="26.4" x14ac:dyDescent="0.25">
      <c r="A63" s="67">
        <v>41</v>
      </c>
      <c r="B63" s="68" t="s">
        <v>52</v>
      </c>
      <c r="C63" s="76">
        <f>3</f>
        <v>3</v>
      </c>
      <c r="D63" s="69" t="s">
        <v>15</v>
      </c>
      <c r="E63" s="79">
        <v>450</v>
      </c>
      <c r="F63" s="80">
        <f t="shared" si="1"/>
        <v>1350</v>
      </c>
    </row>
    <row r="64" spans="1:11" x14ac:dyDescent="0.25">
      <c r="A64" s="67">
        <v>42</v>
      </c>
      <c r="B64" s="68" t="s">
        <v>42</v>
      </c>
      <c r="C64" s="76">
        <f>15</f>
        <v>15</v>
      </c>
      <c r="D64" s="69" t="s">
        <v>28</v>
      </c>
      <c r="E64" s="79">
        <v>25</v>
      </c>
      <c r="F64" s="80">
        <f t="shared" si="1"/>
        <v>375</v>
      </c>
      <c r="H64" s="2"/>
    </row>
    <row r="65" spans="1:6" ht="15.6" x14ac:dyDescent="0.25">
      <c r="A65" s="10"/>
      <c r="B65" s="11" t="s">
        <v>5</v>
      </c>
      <c r="C65" s="12"/>
      <c r="D65" s="13"/>
      <c r="E65" s="55"/>
      <c r="F65" s="22">
        <f>SUM(F21:F64)</f>
        <v>102080.86</v>
      </c>
    </row>
    <row r="66" spans="1:6" ht="15.6" x14ac:dyDescent="0.25">
      <c r="A66" s="15"/>
      <c r="B66" s="11"/>
      <c r="C66" s="12"/>
      <c r="D66" s="13"/>
      <c r="E66" s="14"/>
      <c r="F66" s="16"/>
    </row>
    <row r="67" spans="1:6" ht="15.6" x14ac:dyDescent="0.3">
      <c r="A67" s="17"/>
      <c r="B67" s="18" t="s">
        <v>8</v>
      </c>
      <c r="C67" s="8"/>
      <c r="D67" s="8"/>
      <c r="E67" s="8"/>
      <c r="F67" s="8"/>
    </row>
    <row r="68" spans="1:6" ht="26.4" x14ac:dyDescent="0.25">
      <c r="A68" s="9" t="s">
        <v>1</v>
      </c>
      <c r="B68" s="9" t="s">
        <v>6</v>
      </c>
      <c r="C68" s="9" t="s">
        <v>2</v>
      </c>
      <c r="D68" s="9" t="s">
        <v>0</v>
      </c>
      <c r="E68" s="9" t="s">
        <v>3</v>
      </c>
      <c r="F68" s="9" t="s">
        <v>4</v>
      </c>
    </row>
    <row r="69" spans="1:6" x14ac:dyDescent="0.25">
      <c r="A69" s="67">
        <v>1</v>
      </c>
      <c r="B69" s="68" t="s">
        <v>80</v>
      </c>
      <c r="C69" s="76">
        <v>12</v>
      </c>
      <c r="D69" s="69" t="s">
        <v>15</v>
      </c>
      <c r="E69" s="78">
        <v>270</v>
      </c>
      <c r="F69" s="80">
        <f t="shared" ref="F69:F102" si="2">ROUND(C69*E69,2)</f>
        <v>3240</v>
      </c>
    </row>
    <row r="70" spans="1:6" x14ac:dyDescent="0.25">
      <c r="A70" s="67">
        <v>2</v>
      </c>
      <c r="B70" s="68" t="s">
        <v>81</v>
      </c>
      <c r="C70" s="76">
        <v>30</v>
      </c>
      <c r="D70" s="69" t="s">
        <v>15</v>
      </c>
      <c r="E70" s="78">
        <v>90</v>
      </c>
      <c r="F70" s="80">
        <f t="shared" si="2"/>
        <v>2700</v>
      </c>
    </row>
    <row r="71" spans="1:6" x14ac:dyDescent="0.25">
      <c r="A71" s="67">
        <v>3</v>
      </c>
      <c r="B71" s="68" t="s">
        <v>82</v>
      </c>
      <c r="C71" s="76">
        <v>18</v>
      </c>
      <c r="D71" s="69" t="s">
        <v>15</v>
      </c>
      <c r="E71" s="81">
        <v>60</v>
      </c>
      <c r="F71" s="80">
        <f t="shared" si="2"/>
        <v>1080</v>
      </c>
    </row>
    <row r="72" spans="1:6" x14ac:dyDescent="0.25">
      <c r="A72" s="67">
        <v>4</v>
      </c>
      <c r="B72" s="68" t="s">
        <v>30</v>
      </c>
      <c r="C72" s="76">
        <v>12</v>
      </c>
      <c r="D72" s="69" t="s">
        <v>15</v>
      </c>
      <c r="E72" s="79">
        <v>70</v>
      </c>
      <c r="F72" s="80">
        <f t="shared" si="2"/>
        <v>840</v>
      </c>
    </row>
    <row r="73" spans="1:6" x14ac:dyDescent="0.25">
      <c r="A73" s="67">
        <v>5</v>
      </c>
      <c r="B73" s="68" t="s">
        <v>83</v>
      </c>
      <c r="C73" s="76">
        <f>C36*1.05</f>
        <v>23.1</v>
      </c>
      <c r="D73" s="69" t="s">
        <v>14</v>
      </c>
      <c r="E73" s="78">
        <v>20</v>
      </c>
      <c r="F73" s="80">
        <f t="shared" si="2"/>
        <v>462</v>
      </c>
    </row>
    <row r="74" spans="1:6" x14ac:dyDescent="0.25">
      <c r="A74" s="67">
        <v>6</v>
      </c>
      <c r="B74" s="68" t="s">
        <v>96</v>
      </c>
      <c r="C74" s="76">
        <v>16</v>
      </c>
      <c r="D74" s="69" t="s">
        <v>15</v>
      </c>
      <c r="E74" s="78">
        <v>9.18</v>
      </c>
      <c r="F74" s="80">
        <f t="shared" si="2"/>
        <v>146.88</v>
      </c>
    </row>
    <row r="75" spans="1:6" x14ac:dyDescent="0.25">
      <c r="A75" s="67">
        <v>7</v>
      </c>
      <c r="B75" s="68" t="s">
        <v>109</v>
      </c>
      <c r="C75" s="76">
        <v>3</v>
      </c>
      <c r="D75" s="69" t="s">
        <v>15</v>
      </c>
      <c r="E75" s="78">
        <v>18.86</v>
      </c>
      <c r="F75" s="80">
        <f t="shared" si="2"/>
        <v>56.58</v>
      </c>
    </row>
    <row r="76" spans="1:6" x14ac:dyDescent="0.25">
      <c r="A76" s="67">
        <v>8</v>
      </c>
      <c r="B76" s="68" t="s">
        <v>101</v>
      </c>
      <c r="C76" s="76">
        <v>108</v>
      </c>
      <c r="D76" s="69" t="s">
        <v>28</v>
      </c>
      <c r="E76" s="78">
        <v>5.68</v>
      </c>
      <c r="F76" s="80">
        <f t="shared" si="2"/>
        <v>613.44000000000005</v>
      </c>
    </row>
    <row r="77" spans="1:6" x14ac:dyDescent="0.25">
      <c r="A77" s="67">
        <v>9</v>
      </c>
      <c r="B77" s="68" t="s">
        <v>88</v>
      </c>
      <c r="C77" s="83">
        <f>C73*8</f>
        <v>184.8</v>
      </c>
      <c r="D77" s="69" t="s">
        <v>15</v>
      </c>
      <c r="E77" s="78">
        <v>0.9</v>
      </c>
      <c r="F77" s="80">
        <f t="shared" si="2"/>
        <v>166.32</v>
      </c>
    </row>
    <row r="78" spans="1:6" x14ac:dyDescent="0.25">
      <c r="A78" s="67">
        <v>10</v>
      </c>
      <c r="B78" s="68" t="s">
        <v>97</v>
      </c>
      <c r="C78" s="83">
        <v>200</v>
      </c>
      <c r="D78" s="69" t="s">
        <v>15</v>
      </c>
      <c r="E78" s="78">
        <v>0.11</v>
      </c>
      <c r="F78" s="80">
        <f t="shared" si="2"/>
        <v>22</v>
      </c>
    </row>
    <row r="79" spans="1:6" x14ac:dyDescent="0.25">
      <c r="A79" s="67">
        <v>11</v>
      </c>
      <c r="B79" s="68" t="s">
        <v>87</v>
      </c>
      <c r="C79" s="76">
        <f>C38</f>
        <v>26.623999999999995</v>
      </c>
      <c r="D79" s="69" t="s">
        <v>28</v>
      </c>
      <c r="E79" s="78">
        <v>56.5</v>
      </c>
      <c r="F79" s="80">
        <f t="shared" si="2"/>
        <v>1504.26</v>
      </c>
    </row>
    <row r="80" spans="1:6" x14ac:dyDescent="0.25">
      <c r="A80" s="67">
        <v>12</v>
      </c>
      <c r="B80" s="68" t="s">
        <v>84</v>
      </c>
      <c r="C80" s="76">
        <f>(C39+C40)*2.4</f>
        <v>162.072</v>
      </c>
      <c r="D80" s="69" t="s">
        <v>90</v>
      </c>
      <c r="E80" s="78">
        <v>26.81</v>
      </c>
      <c r="F80" s="80">
        <f t="shared" si="2"/>
        <v>4345.1499999999996</v>
      </c>
    </row>
    <row r="81" spans="1:6" x14ac:dyDescent="0.25">
      <c r="A81" s="67">
        <v>13</v>
      </c>
      <c r="B81" s="68" t="s">
        <v>85</v>
      </c>
      <c r="C81" s="76">
        <f>C41</f>
        <v>40.83</v>
      </c>
      <c r="D81" s="69" t="s">
        <v>14</v>
      </c>
      <c r="E81" s="78">
        <v>99.5</v>
      </c>
      <c r="F81" s="80">
        <f t="shared" si="2"/>
        <v>4062.59</v>
      </c>
    </row>
    <row r="82" spans="1:6" x14ac:dyDescent="0.25">
      <c r="A82" s="67">
        <v>14</v>
      </c>
      <c r="B82" s="68" t="s">
        <v>86</v>
      </c>
      <c r="C82" s="76">
        <f>C42</f>
        <v>17.899999999999999</v>
      </c>
      <c r="D82" s="69" t="s">
        <v>14</v>
      </c>
      <c r="E82" s="78">
        <v>167.3</v>
      </c>
      <c r="F82" s="80">
        <f t="shared" si="2"/>
        <v>2994.67</v>
      </c>
    </row>
    <row r="83" spans="1:6" x14ac:dyDescent="0.25">
      <c r="A83" s="67">
        <v>15</v>
      </c>
      <c r="B83" s="68" t="s">
        <v>89</v>
      </c>
      <c r="C83" s="76">
        <f>(C81+C82)*6</f>
        <v>352.38</v>
      </c>
      <c r="D83" s="69" t="s">
        <v>90</v>
      </c>
      <c r="E83" s="78">
        <v>11.32</v>
      </c>
      <c r="F83" s="80">
        <f t="shared" si="2"/>
        <v>3988.94</v>
      </c>
    </row>
    <row r="84" spans="1:6" x14ac:dyDescent="0.25">
      <c r="A84" s="67">
        <v>16</v>
      </c>
      <c r="B84" s="68" t="s">
        <v>108</v>
      </c>
      <c r="C84" s="76">
        <v>2</v>
      </c>
      <c r="D84" s="69" t="s">
        <v>15</v>
      </c>
      <c r="E84" s="78">
        <v>12</v>
      </c>
      <c r="F84" s="80">
        <f t="shared" si="2"/>
        <v>24</v>
      </c>
    </row>
    <row r="85" spans="1:6" x14ac:dyDescent="0.25">
      <c r="A85" s="67">
        <v>17</v>
      </c>
      <c r="B85" s="68" t="s">
        <v>110</v>
      </c>
      <c r="C85" s="76">
        <f>(C81+C82)*0.35</f>
        <v>20.555499999999999</v>
      </c>
      <c r="D85" s="69" t="s">
        <v>90</v>
      </c>
      <c r="E85" s="78">
        <v>67.88</v>
      </c>
      <c r="F85" s="80">
        <f t="shared" si="2"/>
        <v>1395.31</v>
      </c>
    </row>
    <row r="86" spans="1:6" ht="26.4" x14ac:dyDescent="0.25">
      <c r="A86" s="67">
        <v>18</v>
      </c>
      <c r="B86" s="68" t="s">
        <v>118</v>
      </c>
      <c r="C86" s="76">
        <v>12</v>
      </c>
      <c r="D86" s="69" t="s">
        <v>15</v>
      </c>
      <c r="E86" s="78">
        <v>7692</v>
      </c>
      <c r="F86" s="80">
        <f t="shared" si="2"/>
        <v>92304</v>
      </c>
    </row>
    <row r="87" spans="1:6" ht="26.4" x14ac:dyDescent="0.25">
      <c r="A87" s="67">
        <v>19</v>
      </c>
      <c r="B87" s="68" t="s">
        <v>119</v>
      </c>
      <c r="C87" s="76">
        <f>5+3</f>
        <v>8</v>
      </c>
      <c r="D87" s="69" t="s">
        <v>15</v>
      </c>
      <c r="E87" s="78">
        <v>8116</v>
      </c>
      <c r="F87" s="80">
        <f t="shared" si="2"/>
        <v>64928</v>
      </c>
    </row>
    <row r="88" spans="1:6" ht="26.4" x14ac:dyDescent="0.25">
      <c r="A88" s="67">
        <v>20</v>
      </c>
      <c r="B88" s="68" t="s">
        <v>120</v>
      </c>
      <c r="C88" s="76">
        <v>2</v>
      </c>
      <c r="D88" s="69" t="s">
        <v>15</v>
      </c>
      <c r="E88" s="78">
        <v>9208</v>
      </c>
      <c r="F88" s="80">
        <f t="shared" si="2"/>
        <v>18416</v>
      </c>
    </row>
    <row r="89" spans="1:6" x14ac:dyDescent="0.25">
      <c r="A89" s="67">
        <v>21</v>
      </c>
      <c r="B89" s="68" t="s">
        <v>98</v>
      </c>
      <c r="C89" s="76">
        <f>(C86+C87+C88)*4</f>
        <v>88</v>
      </c>
      <c r="D89" s="69" t="s">
        <v>15</v>
      </c>
      <c r="E89" s="78">
        <v>5.12</v>
      </c>
      <c r="F89" s="80">
        <f t="shared" si="2"/>
        <v>450.56</v>
      </c>
    </row>
    <row r="90" spans="1:6" x14ac:dyDescent="0.25">
      <c r="A90" s="67">
        <v>22</v>
      </c>
      <c r="B90" s="68" t="s">
        <v>99</v>
      </c>
      <c r="C90" s="76">
        <f>120/6</f>
        <v>20</v>
      </c>
      <c r="D90" s="69" t="s">
        <v>15</v>
      </c>
      <c r="E90" s="78">
        <v>104.16</v>
      </c>
      <c r="F90" s="80">
        <f t="shared" si="2"/>
        <v>2083.1999999999998</v>
      </c>
    </row>
    <row r="91" spans="1:6" x14ac:dyDescent="0.25">
      <c r="A91" s="67">
        <v>23</v>
      </c>
      <c r="B91" s="68" t="s">
        <v>111</v>
      </c>
      <c r="C91" s="76">
        <v>2.04</v>
      </c>
      <c r="D91" s="69" t="s">
        <v>45</v>
      </c>
      <c r="E91" s="78">
        <v>1835</v>
      </c>
      <c r="F91" s="80">
        <f t="shared" si="2"/>
        <v>3743.4</v>
      </c>
    </row>
    <row r="92" spans="1:6" x14ac:dyDescent="0.25">
      <c r="A92" s="67">
        <v>24</v>
      </c>
      <c r="B92" s="68" t="s">
        <v>93</v>
      </c>
      <c r="C92" s="76">
        <f>(C56+C57)*0.25</f>
        <v>10.25</v>
      </c>
      <c r="D92" s="69" t="s">
        <v>90</v>
      </c>
      <c r="E92" s="78">
        <v>43</v>
      </c>
      <c r="F92" s="80">
        <f t="shared" si="2"/>
        <v>440.75</v>
      </c>
    </row>
    <row r="93" spans="1:6" x14ac:dyDescent="0.25">
      <c r="A93" s="67">
        <v>25</v>
      </c>
      <c r="B93" s="68" t="s">
        <v>94</v>
      </c>
      <c r="C93" s="76">
        <f>C92*0.1</f>
        <v>1.0250000000000001</v>
      </c>
      <c r="D93" s="69" t="s">
        <v>95</v>
      </c>
      <c r="E93" s="78">
        <v>44</v>
      </c>
      <c r="F93" s="80">
        <f t="shared" si="2"/>
        <v>45.1</v>
      </c>
    </row>
    <row r="94" spans="1:6" x14ac:dyDescent="0.25">
      <c r="A94" s="67">
        <v>26</v>
      </c>
      <c r="B94" s="68" t="s">
        <v>100</v>
      </c>
      <c r="C94" s="76">
        <f>(C56+C57)*0.15</f>
        <v>6.1499999999999995</v>
      </c>
      <c r="D94" s="69" t="s">
        <v>90</v>
      </c>
      <c r="E94" s="78">
        <v>50.83</v>
      </c>
      <c r="F94" s="80">
        <f t="shared" si="2"/>
        <v>312.60000000000002</v>
      </c>
    </row>
    <row r="95" spans="1:6" x14ac:dyDescent="0.25">
      <c r="A95" s="67">
        <v>27</v>
      </c>
      <c r="B95" s="68" t="s">
        <v>102</v>
      </c>
      <c r="C95" s="76">
        <f>(C58)*1.5</f>
        <v>105</v>
      </c>
      <c r="D95" s="69" t="s">
        <v>90</v>
      </c>
      <c r="E95" s="78">
        <v>4.12</v>
      </c>
      <c r="F95" s="80">
        <f t="shared" si="2"/>
        <v>432.6</v>
      </c>
    </row>
    <row r="96" spans="1:6" x14ac:dyDescent="0.25">
      <c r="A96" s="67">
        <v>28</v>
      </c>
      <c r="B96" s="68" t="s">
        <v>103</v>
      </c>
      <c r="C96" s="76">
        <f>(C59)*0.2</f>
        <v>14</v>
      </c>
      <c r="D96" s="69" t="s">
        <v>95</v>
      </c>
      <c r="E96" s="78">
        <v>21.1</v>
      </c>
      <c r="F96" s="80">
        <f t="shared" si="2"/>
        <v>295.39999999999998</v>
      </c>
    </row>
    <row r="97" spans="1:6" x14ac:dyDescent="0.25">
      <c r="A97" s="67">
        <v>29</v>
      </c>
      <c r="B97" s="68" t="s">
        <v>105</v>
      </c>
      <c r="C97" s="76">
        <f>(C60)/5*2</f>
        <v>28</v>
      </c>
      <c r="D97" s="69" t="s">
        <v>90</v>
      </c>
      <c r="E97" s="78">
        <v>84</v>
      </c>
      <c r="F97" s="80">
        <f t="shared" si="2"/>
        <v>2352</v>
      </c>
    </row>
    <row r="98" spans="1:6" x14ac:dyDescent="0.25">
      <c r="A98" s="67">
        <v>30</v>
      </c>
      <c r="B98" s="68" t="s">
        <v>106</v>
      </c>
      <c r="C98" s="76">
        <f>7.55+0.45</f>
        <v>8</v>
      </c>
      <c r="D98" s="69" t="s">
        <v>47</v>
      </c>
      <c r="E98" s="78">
        <v>385</v>
      </c>
      <c r="F98" s="80">
        <f t="shared" si="2"/>
        <v>3080</v>
      </c>
    </row>
    <row r="99" spans="1:6" x14ac:dyDescent="0.25">
      <c r="A99" s="67">
        <v>31</v>
      </c>
      <c r="B99" s="68" t="s">
        <v>112</v>
      </c>
      <c r="C99" s="76">
        <v>0.06</v>
      </c>
      <c r="D99" s="69" t="s">
        <v>47</v>
      </c>
      <c r="E99" s="78">
        <v>12790</v>
      </c>
      <c r="F99" s="80">
        <f t="shared" si="2"/>
        <v>767.4</v>
      </c>
    </row>
    <row r="100" spans="1:6" x14ac:dyDescent="0.25">
      <c r="A100" s="67">
        <v>32</v>
      </c>
      <c r="B100" s="68" t="s">
        <v>113</v>
      </c>
      <c r="C100" s="76">
        <v>1</v>
      </c>
      <c r="D100" s="69" t="s">
        <v>90</v>
      </c>
      <c r="E100" s="78">
        <v>19.100000000000001</v>
      </c>
      <c r="F100" s="80">
        <f t="shared" si="2"/>
        <v>19.100000000000001</v>
      </c>
    </row>
    <row r="101" spans="1:6" x14ac:dyDescent="0.25">
      <c r="A101" s="67">
        <v>33</v>
      </c>
      <c r="B101" s="68" t="s">
        <v>114</v>
      </c>
      <c r="C101" s="76">
        <v>0.74</v>
      </c>
      <c r="D101" s="69" t="s">
        <v>47</v>
      </c>
      <c r="E101" s="78">
        <v>250</v>
      </c>
      <c r="F101" s="80">
        <f t="shared" si="2"/>
        <v>185</v>
      </c>
    </row>
    <row r="102" spans="1:6" x14ac:dyDescent="0.25">
      <c r="A102" s="67">
        <v>34</v>
      </c>
      <c r="B102" s="68" t="s">
        <v>107</v>
      </c>
      <c r="C102" s="76">
        <f>1.83+0.21</f>
        <v>2.04</v>
      </c>
      <c r="D102" s="69" t="s">
        <v>47</v>
      </c>
      <c r="E102" s="78">
        <v>2900</v>
      </c>
      <c r="F102" s="80">
        <f t="shared" si="2"/>
        <v>5916</v>
      </c>
    </row>
    <row r="103" spans="1:6" ht="15.6" x14ac:dyDescent="0.3">
      <c r="A103" s="3"/>
      <c r="B103" s="19" t="s">
        <v>5</v>
      </c>
      <c r="C103" s="12"/>
      <c r="D103" s="20"/>
      <c r="E103" s="21"/>
      <c r="F103" s="22">
        <f>SUM(F69:F102)</f>
        <v>223413.25000000003</v>
      </c>
    </row>
    <row r="104" spans="1:6" ht="15.6" x14ac:dyDescent="0.3">
      <c r="A104" s="3"/>
      <c r="B104" s="19"/>
      <c r="C104" s="12"/>
      <c r="D104" s="20"/>
      <c r="E104" s="21"/>
      <c r="F104" s="22"/>
    </row>
    <row r="105" spans="1:6" ht="15.6" x14ac:dyDescent="0.25">
      <c r="A105" s="3"/>
      <c r="B105" s="11"/>
      <c r="C105" s="12"/>
      <c r="D105" s="20"/>
      <c r="E105" s="21"/>
      <c r="F105" s="23"/>
    </row>
    <row r="106" spans="1:6" ht="13.8" x14ac:dyDescent="0.25">
      <c r="A106" s="54"/>
      <c r="B106" s="29" t="s">
        <v>9</v>
      </c>
      <c r="C106" s="25"/>
      <c r="D106" s="26"/>
      <c r="E106" s="27"/>
      <c r="F106" s="28">
        <f>F65+F103</f>
        <v>325494.11000000004</v>
      </c>
    </row>
    <row r="107" spans="1:6" ht="13.8" x14ac:dyDescent="0.25">
      <c r="A107" s="54"/>
      <c r="B107" s="29" t="s">
        <v>31</v>
      </c>
      <c r="C107" s="30"/>
      <c r="D107" s="31"/>
      <c r="E107" s="50"/>
      <c r="F107" s="46">
        <f>F103*5%</f>
        <v>11170.662500000002</v>
      </c>
    </row>
    <row r="108" spans="1:6" ht="13.8" x14ac:dyDescent="0.25">
      <c r="A108" s="54"/>
      <c r="B108" s="29" t="s">
        <v>32</v>
      </c>
      <c r="C108" s="30"/>
      <c r="D108" s="31"/>
      <c r="E108" s="50"/>
      <c r="F108" s="46">
        <f>F65*5%</f>
        <v>5104.0430000000006</v>
      </c>
    </row>
    <row r="109" spans="1:6" ht="13.8" x14ac:dyDescent="0.25">
      <c r="A109" s="54"/>
      <c r="B109" s="34" t="s">
        <v>10</v>
      </c>
      <c r="C109" s="47"/>
      <c r="D109" s="48"/>
      <c r="E109" s="49"/>
      <c r="F109" s="37">
        <f>F106+F107</f>
        <v>336664.77250000002</v>
      </c>
    </row>
    <row r="110" spans="1:6" ht="13.8" x14ac:dyDescent="0.25">
      <c r="A110" s="54"/>
      <c r="B110" s="38" t="s">
        <v>11</v>
      </c>
      <c r="C110" s="33"/>
      <c r="D110" s="39"/>
      <c r="E110" s="40"/>
      <c r="F110" s="32">
        <f>F109*20%</f>
        <v>67332.954500000007</v>
      </c>
    </row>
    <row r="111" spans="1:6" ht="13.8" x14ac:dyDescent="0.25">
      <c r="A111" s="54"/>
      <c r="B111" s="34" t="s">
        <v>12</v>
      </c>
      <c r="C111" s="30"/>
      <c r="D111" s="35"/>
      <c r="E111" s="36"/>
      <c r="F111" s="32">
        <f>ROUNDUP(F109*1.2,2)</f>
        <v>403997.73</v>
      </c>
    </row>
    <row r="112" spans="1:6" ht="13.8" x14ac:dyDescent="0.25">
      <c r="A112" s="24"/>
      <c r="B112" s="52"/>
      <c r="C112" s="33"/>
      <c r="D112" s="39"/>
      <c r="E112" s="40"/>
      <c r="F112" s="53"/>
    </row>
    <row r="113" spans="1:7" ht="15.75" customHeight="1" x14ac:dyDescent="0.25">
      <c r="A113" s="89"/>
      <c r="B113" s="89"/>
      <c r="C113" s="89"/>
      <c r="D113" s="89"/>
      <c r="E113" s="89"/>
      <c r="F113" s="89"/>
    </row>
    <row r="114" spans="1:7" ht="12.75" customHeight="1" x14ac:dyDescent="0.25">
      <c r="A114" s="70" t="s">
        <v>24</v>
      </c>
      <c r="B114" s="71"/>
      <c r="C114" s="71"/>
      <c r="D114" s="70" t="s">
        <v>24</v>
      </c>
      <c r="E114" s="71"/>
      <c r="F114" s="71"/>
    </row>
    <row r="115" spans="1:7" ht="12.75" customHeight="1" x14ac:dyDescent="0.25">
      <c r="A115" s="72"/>
      <c r="B115" s="72"/>
      <c r="C115" s="71"/>
      <c r="D115" s="73"/>
      <c r="E115" s="73"/>
      <c r="F115" s="73"/>
    </row>
    <row r="116" spans="1:7" ht="12.75" customHeight="1" x14ac:dyDescent="0.25">
      <c r="A116" s="72" t="s">
        <v>16</v>
      </c>
      <c r="B116" s="72"/>
      <c r="C116" s="71"/>
      <c r="D116" s="72" t="s">
        <v>19</v>
      </c>
      <c r="E116" s="73"/>
      <c r="F116" s="73"/>
    </row>
    <row r="117" spans="1:7" ht="12.75" customHeight="1" x14ac:dyDescent="0.25">
      <c r="A117" s="72" t="s">
        <v>17</v>
      </c>
      <c r="B117" s="72"/>
      <c r="C117" s="71"/>
      <c r="D117" s="74" t="s">
        <v>20</v>
      </c>
      <c r="E117" s="72"/>
      <c r="F117" s="72"/>
    </row>
    <row r="118" spans="1:7" ht="12.75" customHeight="1" x14ac:dyDescent="0.25">
      <c r="A118" s="72"/>
      <c r="B118" s="72"/>
      <c r="C118" s="71"/>
      <c r="D118" s="72"/>
      <c r="E118" s="72"/>
      <c r="F118" s="72"/>
    </row>
    <row r="119" spans="1:7" ht="20.25" customHeight="1" x14ac:dyDescent="0.25">
      <c r="A119" s="75" t="s">
        <v>25</v>
      </c>
      <c r="B119" s="72"/>
      <c r="C119" s="71"/>
      <c r="D119" s="75" t="s">
        <v>26</v>
      </c>
      <c r="E119" s="72"/>
      <c r="F119" s="72"/>
    </row>
    <row r="120" spans="1:7" ht="12.75" customHeight="1" x14ac:dyDescent="0.3">
      <c r="A120" s="60"/>
      <c r="B120" s="60"/>
      <c r="C120" s="60"/>
      <c r="D120" s="60"/>
      <c r="E120" s="60"/>
      <c r="F120" s="60"/>
    </row>
    <row r="121" spans="1:7" ht="15" customHeight="1" x14ac:dyDescent="0.25">
      <c r="A121" s="1"/>
      <c r="B121" s="4"/>
      <c r="C121" s="4"/>
      <c r="D121" s="4"/>
      <c r="E121" s="4"/>
      <c r="F121" s="4"/>
      <c r="G121" s="4"/>
    </row>
    <row r="122" spans="1:7" ht="15.6" x14ac:dyDescent="0.25">
      <c r="A122" s="3"/>
      <c r="B122" s="41"/>
      <c r="C122" s="41"/>
      <c r="D122" s="41"/>
      <c r="E122" s="41"/>
      <c r="F122" s="42"/>
    </row>
    <row r="125" spans="1:7" x14ac:dyDescent="0.25">
      <c r="A125" s="44"/>
      <c r="B125" s="44"/>
      <c r="C125" s="44"/>
      <c r="D125" s="44"/>
      <c r="E125" s="44"/>
      <c r="F125" s="43"/>
    </row>
  </sheetData>
  <mergeCells count="9">
    <mergeCell ref="D14:F14"/>
    <mergeCell ref="A113:F113"/>
    <mergeCell ref="G58:G60"/>
    <mergeCell ref="C2:F2"/>
    <mergeCell ref="C3:F3"/>
    <mergeCell ref="C4:F4"/>
    <mergeCell ref="B10:F10"/>
    <mergeCell ref="B12:F12"/>
    <mergeCell ref="C13:F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Адмінбудівля (демонтажні)</vt:lpstr>
      <vt:lpstr>Перевірка</vt:lpstr>
      <vt:lpstr>'Адмінбудівля (демонтажні)'!Область_печати</vt:lpstr>
    </vt:vector>
  </TitlesOfParts>
  <Company>Raytheon Technical Services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RTSCUser</dc:creator>
  <cp:lastModifiedBy>Volodymyr Salyga (SALYGAV - Salyha.Volodymyr)</cp:lastModifiedBy>
  <cp:lastPrinted>2020-02-27T08:11:34Z</cp:lastPrinted>
  <dcterms:created xsi:type="dcterms:W3CDTF">2003-10-21T07:43:05Z</dcterms:created>
  <dcterms:modified xsi:type="dcterms:W3CDTF">2020-05-06T07:48:57Z</dcterms:modified>
</cp:coreProperties>
</file>