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649"/>
  </bookViews>
  <sheets>
    <sheet name="7. КМ 227+026" sheetId="7" r:id="rId1"/>
    <sheet name="Лист8" sheetId="8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7" l="1"/>
  <c r="P52" i="7" s="1"/>
  <c r="P54" i="7" l="1"/>
  <c r="N87" i="7"/>
  <c r="J87" i="7"/>
  <c r="P20" i="7"/>
  <c r="N20" i="7"/>
  <c r="L20" i="7"/>
  <c r="J20" i="7"/>
  <c r="H20" i="7"/>
  <c r="F20" i="7"/>
  <c r="D20" i="7"/>
  <c r="P9" i="7"/>
  <c r="N9" i="7"/>
  <c r="L9" i="7"/>
  <c r="J9" i="7"/>
  <c r="H9" i="7"/>
  <c r="H55" i="7" s="1"/>
  <c r="H56" i="7" s="1"/>
  <c r="H57" i="7" s="1"/>
  <c r="H58" i="7" s="1"/>
  <c r="F9" i="7"/>
  <c r="D9" i="7"/>
  <c r="D55" i="7" s="1"/>
  <c r="D56" i="7" s="1"/>
  <c r="D59" i="7" s="1"/>
  <c r="P4" i="7"/>
  <c r="N4" i="7"/>
  <c r="N74" i="7" s="1"/>
  <c r="N75" i="7" s="1"/>
  <c r="L4" i="7"/>
  <c r="J4" i="7"/>
  <c r="H4" i="7"/>
  <c r="H73" i="7" s="1"/>
  <c r="F4" i="7"/>
  <c r="D4" i="7"/>
  <c r="D74" i="7" s="1"/>
  <c r="D75" i="7" s="1"/>
  <c r="P5" i="7" l="1"/>
  <c r="P96" i="7" s="1"/>
  <c r="P97" i="7" s="1"/>
  <c r="P74" i="7"/>
  <c r="P75" i="7" s="1"/>
  <c r="J5" i="7"/>
  <c r="D45" i="7"/>
  <c r="L45" i="7"/>
  <c r="D11" i="7"/>
  <c r="D69" i="7" s="1"/>
  <c r="H5" i="7"/>
  <c r="H95" i="7" s="1"/>
  <c r="D51" i="7"/>
  <c r="D52" i="7" s="1"/>
  <c r="L55" i="7"/>
  <c r="L56" i="7" s="1"/>
  <c r="L57" i="7" s="1"/>
  <c r="L58" i="7" s="1"/>
  <c r="L16" i="7"/>
  <c r="N45" i="7"/>
  <c r="L51" i="7"/>
  <c r="L52" i="7" s="1"/>
  <c r="D5" i="7"/>
  <c r="D96" i="7" s="1"/>
  <c r="D97" i="7" s="1"/>
  <c r="L11" i="7"/>
  <c r="L69" i="7" s="1"/>
  <c r="N16" i="7"/>
  <c r="J44" i="7"/>
  <c r="N51" i="7"/>
  <c r="N54" i="7" s="1"/>
  <c r="H84" i="7"/>
  <c r="H85" i="7" s="1"/>
  <c r="H86" i="7" s="1"/>
  <c r="H87" i="7" s="1"/>
  <c r="N12" i="7"/>
  <c r="N14" i="7"/>
  <c r="F46" i="7"/>
  <c r="F47" i="7" s="1"/>
  <c r="N46" i="7"/>
  <c r="N47" i="7" s="1"/>
  <c r="F51" i="7"/>
  <c r="F53" i="7" s="1"/>
  <c r="D57" i="7"/>
  <c r="D58" i="7" s="1"/>
  <c r="J55" i="7"/>
  <c r="J56" i="7" s="1"/>
  <c r="J11" i="7"/>
  <c r="J51" i="7"/>
  <c r="J45" i="7"/>
  <c r="J16" i="7"/>
  <c r="P45" i="7"/>
  <c r="P46" i="7"/>
  <c r="F84" i="7"/>
  <c r="F85" i="7" s="1"/>
  <c r="F86" i="7" s="1"/>
  <c r="F87" i="7" s="1"/>
  <c r="F5" i="7"/>
  <c r="F73" i="7"/>
  <c r="F11" i="7"/>
  <c r="F74" i="7"/>
  <c r="F75" i="7" s="1"/>
  <c r="J96" i="7"/>
  <c r="J97" i="7" s="1"/>
  <c r="H44" i="7"/>
  <c r="H59" i="7"/>
  <c r="P44" i="7"/>
  <c r="N5" i="7"/>
  <c r="N11" i="7"/>
  <c r="P95" i="7"/>
  <c r="H46" i="7"/>
  <c r="H47" i="7" s="1"/>
  <c r="H45" i="7"/>
  <c r="J46" i="7"/>
  <c r="J47" i="7" s="1"/>
  <c r="H16" i="7"/>
  <c r="F45" i="7"/>
  <c r="L46" i="7"/>
  <c r="L47" i="7" s="1"/>
  <c r="N55" i="7"/>
  <c r="N56" i="7" s="1"/>
  <c r="L84" i="7"/>
  <c r="L85" i="7" s="1"/>
  <c r="L86" i="7" s="1"/>
  <c r="L87" i="7" s="1"/>
  <c r="J74" i="7"/>
  <c r="J75" i="7" s="1"/>
  <c r="L5" i="7"/>
  <c r="P11" i="7"/>
  <c r="D44" i="7"/>
  <c r="P55" i="7"/>
  <c r="P56" i="7" s="1"/>
  <c r="H74" i="7"/>
  <c r="H75" i="7" s="1"/>
  <c r="L12" i="7"/>
  <c r="F44" i="7"/>
  <c r="L74" i="7"/>
  <c r="L75" i="7" s="1"/>
  <c r="P84" i="7"/>
  <c r="P85" i="7" s="1"/>
  <c r="P86" i="7" s="1"/>
  <c r="P73" i="7"/>
  <c r="P12" i="7"/>
  <c r="P16" i="7"/>
  <c r="H51" i="7"/>
  <c r="H11" i="7"/>
  <c r="J14" i="7"/>
  <c r="L44" i="7"/>
  <c r="D46" i="7"/>
  <c r="D47" i="7" s="1"/>
  <c r="F55" i="7"/>
  <c r="F56" i="7" s="1"/>
  <c r="D73" i="7"/>
  <c r="D84" i="7"/>
  <c r="D85" i="7" s="1"/>
  <c r="D86" i="7" s="1"/>
  <c r="L14" i="7"/>
  <c r="N44" i="7"/>
  <c r="L73" i="7"/>
  <c r="L59" i="7" l="1"/>
  <c r="L53" i="7"/>
  <c r="J95" i="7"/>
  <c r="H96" i="7"/>
  <c r="H97" i="7" s="1"/>
  <c r="H98" i="7" s="1"/>
  <c r="H100" i="7" s="1"/>
  <c r="L54" i="7"/>
  <c r="D53" i="7"/>
  <c r="D70" i="7"/>
  <c r="D71" i="7" s="1"/>
  <c r="D72" i="7" s="1"/>
  <c r="N53" i="7"/>
  <c r="F54" i="7"/>
  <c r="D76" i="7"/>
  <c r="D95" i="7"/>
  <c r="D54" i="7"/>
  <c r="F52" i="7"/>
  <c r="L76" i="7"/>
  <c r="L70" i="7"/>
  <c r="L71" i="7" s="1"/>
  <c r="L72" i="7" s="1"/>
  <c r="N52" i="7"/>
  <c r="J59" i="7"/>
  <c r="J57" i="7"/>
  <c r="J58" i="7" s="1"/>
  <c r="H54" i="7"/>
  <c r="H52" i="7"/>
  <c r="H53" i="7"/>
  <c r="P76" i="7"/>
  <c r="P77" i="7" s="1"/>
  <c r="P70" i="7"/>
  <c r="P71" i="7" s="1"/>
  <c r="P69" i="7"/>
  <c r="H70" i="7"/>
  <c r="H71" i="7" s="1"/>
  <c r="H72" i="7" s="1"/>
  <c r="H69" i="7"/>
  <c r="H76" i="7"/>
  <c r="L96" i="7"/>
  <c r="L97" i="7" s="1"/>
  <c r="L95" i="7"/>
  <c r="N95" i="7"/>
  <c r="N96" i="7"/>
  <c r="N97" i="7" s="1"/>
  <c r="P53" i="7"/>
  <c r="N76" i="7"/>
  <c r="N70" i="7"/>
  <c r="N71" i="7" s="1"/>
  <c r="N72" i="7" s="1"/>
  <c r="N69" i="7"/>
  <c r="J99" i="7"/>
  <c r="J98" i="7"/>
  <c r="J100" i="7" s="1"/>
  <c r="F76" i="7"/>
  <c r="F70" i="7"/>
  <c r="F71" i="7" s="1"/>
  <c r="F72" i="7" s="1"/>
  <c r="F69" i="7"/>
  <c r="J53" i="7"/>
  <c r="J54" i="7"/>
  <c r="J52" i="7"/>
  <c r="H99" i="7"/>
  <c r="F57" i="7"/>
  <c r="F58" i="7" s="1"/>
  <c r="F59" i="7"/>
  <c r="J70" i="7"/>
  <c r="J71" i="7" s="1"/>
  <c r="J72" i="7" s="1"/>
  <c r="J76" i="7"/>
  <c r="J69" i="7"/>
  <c r="P59" i="7"/>
  <c r="P57" i="7"/>
  <c r="P58" i="7" s="1"/>
  <c r="N57" i="7"/>
  <c r="N58" i="7" s="1"/>
  <c r="N59" i="7"/>
  <c r="P98" i="7"/>
  <c r="P100" i="7" s="1"/>
  <c r="P99" i="7"/>
  <c r="D99" i="7"/>
  <c r="D98" i="7"/>
  <c r="D100" i="7" s="1"/>
  <c r="F96" i="7"/>
  <c r="F97" i="7" s="1"/>
  <c r="F95" i="7"/>
  <c r="J77" i="7" l="1"/>
  <c r="J78" i="7"/>
  <c r="J80" i="7"/>
  <c r="J79" i="7"/>
  <c r="J81" i="7"/>
  <c r="F77" i="7"/>
  <c r="F78" i="7"/>
  <c r="F80" i="7"/>
  <c r="F79" i="7"/>
  <c r="F81" i="7"/>
  <c r="N77" i="7"/>
  <c r="N78" i="7"/>
  <c r="N80" i="7"/>
  <c r="N79" i="7"/>
  <c r="N81" i="7"/>
  <c r="P79" i="7"/>
  <c r="P81" i="7"/>
  <c r="P78" i="7"/>
  <c r="P80" i="7"/>
  <c r="D79" i="7"/>
  <c r="D81" i="7"/>
  <c r="D77" i="7"/>
  <c r="D78" i="7"/>
  <c r="D80" i="7"/>
  <c r="H79" i="7"/>
  <c r="H81" i="7"/>
  <c r="H77" i="7"/>
  <c r="H78" i="7"/>
  <c r="H80" i="7"/>
  <c r="L79" i="7"/>
  <c r="L81" i="7"/>
  <c r="L77" i="7"/>
  <c r="L78" i="7"/>
  <c r="L80" i="7"/>
  <c r="L98" i="7"/>
  <c r="L100" i="7" s="1"/>
  <c r="L99" i="7"/>
  <c r="N98" i="7"/>
  <c r="N100" i="7" s="1"/>
  <c r="N99" i="7"/>
  <c r="F98" i="7"/>
  <c r="F100" i="7" s="1"/>
  <c r="F99" i="7"/>
</calcChain>
</file>

<file path=xl/sharedStrings.xml><?xml version="1.0" encoding="utf-8"?>
<sst xmlns="http://schemas.openxmlformats.org/spreadsheetml/2006/main" count="166" uniqueCount="125">
  <si>
    <t>100 м2</t>
  </si>
  <si>
    <t>м2</t>
  </si>
  <si>
    <t>кг</t>
  </si>
  <si>
    <t>100м3</t>
  </si>
  <si>
    <t>м3</t>
  </si>
  <si>
    <t>Гарячекатана арматурна сталь
перiодичного профiлю, клас А-III, дiаметр 10
мм</t>
  </si>
  <si>
    <t>т</t>
  </si>
  <si>
    <t>Гарячекатана арматурна сталь
перiодичного профiлю, клас А-III, дiаметр 16-
18 мм</t>
  </si>
  <si>
    <t>Найменування робіт</t>
  </si>
  <si>
    <t>од.Вим</t>
  </si>
  <si>
    <t xml:space="preserve">Габарит (м) = </t>
  </si>
  <si>
    <t>20.5+22.5+22.5+22.5+20.5</t>
  </si>
  <si>
    <t>Схема споруди (м) =</t>
  </si>
  <si>
    <t xml:space="preserve">Довжина прог.буд L (м) = </t>
  </si>
  <si>
    <t>Підмостовий габарит (м) =</t>
  </si>
  <si>
    <t>5. КМ 222+385  М04 р.Кільчень</t>
  </si>
  <si>
    <t>4. КМ 221+603  М04 (трубоміст)</t>
  </si>
  <si>
    <t>6. КМ 222+385 не М04 р.Кільчень (клепаний міст)</t>
  </si>
  <si>
    <t>1. КМ 217+692 не М04</t>
  </si>
  <si>
    <t xml:space="preserve">Водовідведення (трубки) шт. </t>
  </si>
  <si>
    <t xml:space="preserve">Ширина розділової смуги (м) = </t>
  </si>
  <si>
    <t>24+24+24+24</t>
  </si>
  <si>
    <t>Розмив Укосів Так/Ні Стоян 1</t>
  </si>
  <si>
    <t>Розмив Укосів Так/Ні Стоян 2</t>
  </si>
  <si>
    <t xml:space="preserve">Довжина з пер. плитами (м) = </t>
  </si>
  <si>
    <t xml:space="preserve">Косина мосту в плані, град = </t>
  </si>
  <si>
    <t>Кількість швів (шт) =</t>
  </si>
  <si>
    <t xml:space="preserve">Тротуарні блоки 3м (L 2990 мм), шт </t>
  </si>
  <si>
    <t>Довжина укосів пряма, м =</t>
  </si>
  <si>
    <t>Монолітні тротуари (пандуси), м =</t>
  </si>
  <si>
    <t>Перехідні плити , довж, (м)</t>
  </si>
  <si>
    <t>Балки серія, (м)=</t>
  </si>
  <si>
    <t>П18</t>
  </si>
  <si>
    <t>Просадка плит, (так /ні)Стоян1</t>
  </si>
  <si>
    <t>Просадка плит, (так /ні)Стоян2</t>
  </si>
  <si>
    <t>Лотки Б6/інші, м =</t>
  </si>
  <si>
    <t>Водостоки, м стоян 2, м =</t>
  </si>
  <si>
    <t>Водостоки, м стоян 1, м =</t>
  </si>
  <si>
    <t>П800.98,40</t>
  </si>
  <si>
    <t>тип пер плит, прямокутний переріз/г-подібні</t>
  </si>
  <si>
    <t>3.503.1-81</t>
  </si>
  <si>
    <t xml:space="preserve">Перильне огородження, м.п </t>
  </si>
  <si>
    <t xml:space="preserve">Барєрне мет огородження, м.п. </t>
  </si>
  <si>
    <t>Монолітні тротуари (пандуси), м3 =</t>
  </si>
  <si>
    <t>Укріплення Бетонне/Кості/Відсутнє</t>
  </si>
  <si>
    <t>Кількість пер плит</t>
  </si>
  <si>
    <t>Збірно-Монолітн</t>
  </si>
  <si>
    <t>ремонт опор, м2=</t>
  </si>
  <si>
    <t>ремонт ригелів, м2=</t>
  </si>
  <si>
    <t>ремонт балок, м2=</t>
  </si>
  <si>
    <t>площа фарбування, м2=</t>
  </si>
  <si>
    <t>Площа Гідроїзоляції , м2 =</t>
  </si>
  <si>
    <t>1,5+12+6+12+1,5</t>
  </si>
  <si>
    <t>21+21</t>
  </si>
  <si>
    <t>1,5+11,5+1,5</t>
  </si>
  <si>
    <t>33+33</t>
  </si>
  <si>
    <t>1,0+11,5+1,0</t>
  </si>
  <si>
    <t>12,5+3+12,5</t>
  </si>
  <si>
    <t>1,0+8+1,0</t>
  </si>
  <si>
    <t>1,0+41+1,0</t>
  </si>
  <si>
    <t>шт</t>
  </si>
  <si>
    <t>Обмазувальна гiдроiзоляцiя бiтумною
 мастикою двошарова</t>
  </si>
  <si>
    <t>Гарячекатана арматурна сталь гладка, клас
А-1, дiаметр 8 мм</t>
  </si>
  <si>
    <t>Гарячекатана арматурна сталь
перiодичного профiлю, клас А-III, дiаметр 12
мм</t>
  </si>
  <si>
    <t>Підходи до мосту</t>
  </si>
  <si>
    <t>100м2</t>
  </si>
  <si>
    <t>Ущiльнення грунту пневматичними
трамбiвками, група грунтiв 1, 2</t>
  </si>
  <si>
    <t>Укрiплення укосiв земляного полотна
монолiтними бетонними плитами товщиною
до 10 см</t>
  </si>
  <si>
    <t>Блоки упорів У-1</t>
  </si>
  <si>
    <t>Укладення арматурної сітки в бетонне
покриття</t>
  </si>
  <si>
    <t>Гарячекатана арматурна сталь гладка, клас
А-1, дiаметр 6 мм</t>
  </si>
  <si>
    <t>Відсипання дренуруючим грунтом конусів та
сполучення шляхопроводу з насипом
підходів</t>
  </si>
  <si>
    <t>1000м3</t>
  </si>
  <si>
    <t>1000м2</t>
  </si>
  <si>
    <t>100м</t>
  </si>
  <si>
    <t>Планування полотна виїмок
ручним способом, група грунтiв 2</t>
  </si>
  <si>
    <t xml:space="preserve">Блоки розділ смуги 3м (L 2990 мм)  м.пог = </t>
  </si>
  <si>
    <t xml:space="preserve">Блоки тротуарів 3м (L 2990 мм)  м.пог = </t>
  </si>
  <si>
    <t xml:space="preserve">Ширина дор полотна  (м) = </t>
  </si>
  <si>
    <t>3*18</t>
  </si>
  <si>
    <t>Ширина тротуарів л+п, м=</t>
  </si>
  <si>
    <t>2. КМ 221+226 М04</t>
  </si>
  <si>
    <t>3. КМ 221+603  М04</t>
  </si>
  <si>
    <t>Довжина деф шва, м.п. =</t>
  </si>
  <si>
    <t>Метал-бетон</t>
  </si>
  <si>
    <t>Кількість балок в поп перерезі, шт</t>
  </si>
  <si>
    <t>Локальне відсипання дренуючим грунтом підходів</t>
  </si>
  <si>
    <t>Улаштування щебеневих подушок пiд
перехідні плити</t>
  </si>
  <si>
    <t xml:space="preserve">Улаштування упорiв
кількість: </t>
  </si>
  <si>
    <t>Ширина по низу балок , м =</t>
  </si>
  <si>
    <t>Важкий бетон B20 F200 w6</t>
  </si>
  <si>
    <t>Влаштування деревяних планок оброблених захистом</t>
  </si>
  <si>
    <t>М2</t>
  </si>
  <si>
    <t>Гідроструменеве очищення бетонних
поверхонь за допомогою причіпної
установки для очищення поверхонь під
тиском типу "Торбокар АС-52"</t>
  </si>
  <si>
    <t>Нанесення ремонтного розчину товщиною
шару 3 мм (зароблення швів опор)
кількість: 16,8*0,05</t>
  </si>
  <si>
    <t>Додавати на кожний наступний 1 мм
збiльшення шару ремонтного розчину до
товщини 2 см (зароблення швів опор)
кількість: 16,8*0,05</t>
  </si>
  <si>
    <t>Ремонт опор</t>
  </si>
  <si>
    <t>Прогонова будова та мостове полотно</t>
  </si>
  <si>
    <t>Свердлiння кiльцевими алмазними
свердлами з застосуванням
охолоджувальної рiдини /води/ в
залiзобетонних конструкцiях вертикальних
отворiв глибиною 200 мм, дiаметром 20 мм</t>
  </si>
  <si>
    <t>Оброблення поверхнi балок
пiскоструменевим апаратом</t>
  </si>
  <si>
    <t>Знепилювання поверхні балок</t>
  </si>
  <si>
    <t>Нанесення адгезійного складу матеріалом
Sika Mono Top -910 N на поверхнi балок
перед укладенням монолітного бетону</t>
  </si>
  <si>
    <t>Монолітна плита проїзної частини, бетон В35</t>
  </si>
  <si>
    <t>Сумiшi бетоннi готовi важкi, клас бетону В35
[М450], W8, F200, крупнiсть заповнювача
бiльше 10 до 20 мм
кількість: 260,4х1,04</t>
  </si>
  <si>
    <t xml:space="preserve"> м2</t>
  </si>
  <si>
    <t>ЗП 300+3.503.1-81</t>
  </si>
  <si>
    <t>Установлення в готовi гнiзда iз
заробленням клеєстержневих анкерних болтiв довжиною до
1 м
(L=250мм)</t>
  </si>
  <si>
    <t>Підготовка бетонних поверхонь прогонових будов для ремонту</t>
  </si>
  <si>
    <t>Піскоструменеве очищення бетонних поверхонь прогонових будов на локальних ділянках</t>
  </si>
  <si>
    <t>Ремонт нижньої частини прогоновоі будови</t>
  </si>
  <si>
    <t>М/к робочих трубчатих риштувань</t>
  </si>
  <si>
    <t>Монтаж трубчатих риштувань
кількість: 4,605х2</t>
  </si>
  <si>
    <t>Розбирання робочих трубчатих риштувань</t>
  </si>
  <si>
    <t>Металоконструкцiї iндивiдуальнi
(зворотнi матерiали)</t>
  </si>
  <si>
    <t>М/к робочих трубчатих риштувань
(зворотнi матерiали)</t>
  </si>
  <si>
    <t>Парапетне огородження зі сторони тротуарів</t>
  </si>
  <si>
    <t>Перильне огородження мосту</t>
  </si>
  <si>
    <t xml:space="preserve">Піскоструменеве обробка перильного огородження </t>
  </si>
  <si>
    <t xml:space="preserve">т </t>
  </si>
  <si>
    <t>Грунтування металевих просторових поручнів пульверизатором</t>
  </si>
  <si>
    <t>Фарбування металевих поручнів мосту пульверизатором</t>
  </si>
  <si>
    <t xml:space="preserve">Примітка </t>
  </si>
  <si>
    <t xml:space="preserve">Влаштування поновленого захисного шару залізобетонних конструкцій прогонових конструкцій вручну при товщині шару ремонтного матеріалу 20 мм </t>
  </si>
  <si>
    <t>Грунтовка для металу типу ЛАНКВИТЦЕР</t>
  </si>
  <si>
    <t xml:space="preserve">Фарба для металу типу ЛАНКВИТЦЕР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</si>
</sst>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i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color rgb="FF000000"/>
      <name val="Arial Cyr"/>
      <charset val="204"/>
    </font>
    <font>
      <i/>
      <sz val="12"/>
      <color rgb="FF000000"/>
      <name val="Arial Cyr"/>
    </font>
    <font>
      <b/>
      <sz val="14"/>
      <color rgb="FF000000"/>
      <name val="Arial"/>
      <family val="2"/>
      <charset val="204"/>
    </font>
    <font>
      <b/>
      <sz val="14"/>
      <color indexed="8"/>
      <name val="Arial Cyr"/>
      <charset val="204"/>
    </font>
    <font>
      <b/>
      <sz val="14"/>
      <color rgb="FF00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5" fillId="0" borderId="2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64" fontId="0" fillId="0" borderId="1" xfId="0" applyNumberFormat="1" applyBorder="1"/>
    <xf numFmtId="0" fontId="8" fillId="10" borderId="1" xfId="0" applyFont="1" applyFill="1" applyBorder="1" applyAlignment="1">
      <alignment horizontal="center" wrapText="1"/>
    </xf>
    <xf numFmtId="0" fontId="1" fillId="10" borderId="1" xfId="0" applyNumberFormat="1" applyFont="1" applyFill="1" applyBorder="1" applyAlignment="1">
      <alignment horizontal="center" vertical="center" wrapText="1"/>
    </xf>
    <xf numFmtId="164" fontId="0" fillId="10" borderId="1" xfId="0" applyNumberFormat="1" applyFill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10" borderId="1" xfId="0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center" wrapText="1"/>
    </xf>
    <xf numFmtId="0" fontId="1" fillId="1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164" fontId="0" fillId="1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"/>
  <sheetViews>
    <sheetView tabSelected="1" workbookViewId="0">
      <selection activeCell="V103" sqref="V103"/>
    </sheetView>
  </sheetViews>
  <sheetFormatPr defaultRowHeight="15" x14ac:dyDescent="0.25"/>
  <cols>
    <col min="1" max="1" width="4.42578125" customWidth="1"/>
    <col min="2" max="2" width="55.7109375" customWidth="1"/>
    <col min="3" max="3" width="10.85546875" customWidth="1"/>
    <col min="4" max="15" width="0" hidden="1" customWidth="1"/>
    <col min="16" max="16" width="10.85546875" customWidth="1"/>
    <col min="17" max="17" width="14.7109375" customWidth="1"/>
  </cols>
  <sheetData>
    <row r="2" spans="1:17" ht="140.25" customHeight="1" x14ac:dyDescent="0.3">
      <c r="A2" s="6"/>
      <c r="B2" s="9" t="s">
        <v>8</v>
      </c>
      <c r="C2" s="9" t="s">
        <v>9</v>
      </c>
      <c r="D2" s="41" t="s">
        <v>18</v>
      </c>
      <c r="E2" s="3" t="s">
        <v>121</v>
      </c>
      <c r="F2" s="2" t="s">
        <v>81</v>
      </c>
      <c r="G2" s="2" t="s">
        <v>121</v>
      </c>
      <c r="H2" s="2" t="s">
        <v>82</v>
      </c>
      <c r="I2" s="2" t="s">
        <v>121</v>
      </c>
      <c r="J2" s="3" t="s">
        <v>16</v>
      </c>
      <c r="K2" s="3" t="s">
        <v>121</v>
      </c>
      <c r="L2" s="2" t="s">
        <v>15</v>
      </c>
      <c r="M2" s="2" t="s">
        <v>121</v>
      </c>
      <c r="N2" s="4" t="s">
        <v>17</v>
      </c>
      <c r="O2" s="4" t="s">
        <v>121</v>
      </c>
      <c r="P2" s="4"/>
      <c r="Q2" s="4" t="s">
        <v>121</v>
      </c>
    </row>
    <row r="3" spans="1:17" ht="19.5" hidden="1" x14ac:dyDescent="0.3">
      <c r="A3" s="1"/>
      <c r="B3" s="10" t="s">
        <v>12</v>
      </c>
      <c r="C3" s="7"/>
      <c r="D3" s="8" t="s">
        <v>53</v>
      </c>
      <c r="E3" s="8"/>
      <c r="F3" s="8" t="s">
        <v>55</v>
      </c>
      <c r="G3" s="8"/>
      <c r="H3" s="8">
        <v>18</v>
      </c>
      <c r="I3" s="8"/>
      <c r="J3" s="8">
        <v>18</v>
      </c>
      <c r="K3" s="8"/>
      <c r="L3" s="8" t="s">
        <v>11</v>
      </c>
      <c r="M3" s="8"/>
      <c r="N3" s="8" t="s">
        <v>79</v>
      </c>
      <c r="O3" s="8"/>
      <c r="P3" s="8" t="s">
        <v>21</v>
      </c>
      <c r="Q3" s="8"/>
    </row>
    <row r="4" spans="1:17" ht="19.5" hidden="1" x14ac:dyDescent="0.3">
      <c r="A4" s="1"/>
      <c r="B4" s="10" t="s">
        <v>13</v>
      </c>
      <c r="C4" s="7"/>
      <c r="D4" s="8">
        <f>21+22</f>
        <v>43</v>
      </c>
      <c r="E4" s="8"/>
      <c r="F4" s="8">
        <f>33+33</f>
        <v>66</v>
      </c>
      <c r="G4" s="8"/>
      <c r="H4" s="8">
        <f>18+0.05</f>
        <v>18.05</v>
      </c>
      <c r="I4" s="8"/>
      <c r="J4" s="8">
        <f>18+0.05</f>
        <v>18.05</v>
      </c>
      <c r="K4" s="8"/>
      <c r="L4" s="8">
        <f>20.5+22.5+22.5+22.5+20.5</f>
        <v>108.5</v>
      </c>
      <c r="M4" s="8"/>
      <c r="N4" s="8">
        <f>3*18</f>
        <v>54</v>
      </c>
      <c r="O4" s="8"/>
      <c r="P4" s="8">
        <f>24.05+24.05+24.05+25.05</f>
        <v>97.2</v>
      </c>
      <c r="Q4" s="8"/>
    </row>
    <row r="5" spans="1:17" ht="19.5" hidden="1" x14ac:dyDescent="0.3">
      <c r="A5" s="1"/>
      <c r="B5" s="10" t="s">
        <v>24</v>
      </c>
      <c r="C5" s="7"/>
      <c r="D5" s="8">
        <f>D4+D20</f>
        <v>59</v>
      </c>
      <c r="E5" s="8"/>
      <c r="F5" s="8">
        <f>F4+F20</f>
        <v>82</v>
      </c>
      <c r="G5" s="8"/>
      <c r="H5" s="8">
        <f>H4+H20</f>
        <v>24.05</v>
      </c>
      <c r="I5" s="8"/>
      <c r="J5" s="8">
        <f t="shared" ref="J5:P5" si="0">J4+J20</f>
        <v>34.049999999999997</v>
      </c>
      <c r="K5" s="8"/>
      <c r="L5" s="8">
        <f t="shared" si="0"/>
        <v>114.5</v>
      </c>
      <c r="M5" s="8"/>
      <c r="N5" s="8">
        <f t="shared" si="0"/>
        <v>60</v>
      </c>
      <c r="O5" s="8"/>
      <c r="P5" s="8">
        <f t="shared" si="0"/>
        <v>103.2</v>
      </c>
      <c r="Q5" s="8"/>
    </row>
    <row r="6" spans="1:17" ht="19.5" hidden="1" x14ac:dyDescent="0.3">
      <c r="A6" s="1"/>
      <c r="B6" s="10" t="s">
        <v>10</v>
      </c>
      <c r="C6" s="7"/>
      <c r="D6" s="8" t="s">
        <v>54</v>
      </c>
      <c r="E6" s="8"/>
      <c r="F6" s="8" t="s">
        <v>54</v>
      </c>
      <c r="G6" s="8"/>
      <c r="H6" s="8" t="s">
        <v>56</v>
      </c>
      <c r="I6" s="8"/>
      <c r="J6" s="8" t="s">
        <v>57</v>
      </c>
      <c r="K6" s="8"/>
      <c r="L6" s="8" t="s">
        <v>52</v>
      </c>
      <c r="M6" s="8"/>
      <c r="N6" s="8" t="s">
        <v>58</v>
      </c>
      <c r="O6" s="8"/>
      <c r="P6" s="8" t="s">
        <v>59</v>
      </c>
      <c r="Q6" s="8"/>
    </row>
    <row r="7" spans="1:17" ht="19.5" hidden="1" x14ac:dyDescent="0.3">
      <c r="A7" s="1"/>
      <c r="B7" s="10" t="s">
        <v>85</v>
      </c>
      <c r="C7" s="7"/>
      <c r="D7" s="8">
        <v>7</v>
      </c>
      <c r="E7" s="8"/>
      <c r="F7" s="8">
        <v>6</v>
      </c>
      <c r="G7" s="8"/>
      <c r="H7" s="8">
        <v>14</v>
      </c>
      <c r="I7" s="8"/>
      <c r="J7" s="8">
        <v>2</v>
      </c>
      <c r="K7" s="8"/>
      <c r="L7" s="8">
        <v>26</v>
      </c>
      <c r="M7" s="8"/>
      <c r="N7" s="8">
        <v>1</v>
      </c>
      <c r="O7" s="8"/>
      <c r="P7" s="8">
        <v>19</v>
      </c>
      <c r="Q7" s="8"/>
    </row>
    <row r="8" spans="1:17" ht="19.5" hidden="1" x14ac:dyDescent="0.3">
      <c r="A8" s="1"/>
      <c r="B8" s="10" t="s">
        <v>89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8.75" hidden="1" x14ac:dyDescent="0.3">
      <c r="B9" s="10" t="s">
        <v>78</v>
      </c>
      <c r="C9" s="8"/>
      <c r="D9" s="19">
        <f>1.5+12.5+1.5</f>
        <v>15.5</v>
      </c>
      <c r="E9" s="19"/>
      <c r="F9" s="19">
        <f>1.5+12.5+1.5</f>
        <v>15.5</v>
      </c>
      <c r="G9" s="19"/>
      <c r="H9" s="19">
        <f>1+3.75*2+2</f>
        <v>10.5</v>
      </c>
      <c r="I9" s="19"/>
      <c r="J9" s="19">
        <f>12.5+3+12.5</f>
        <v>28</v>
      </c>
      <c r="K9" s="19"/>
      <c r="L9" s="19">
        <f>1.5+12+6+12+1.6</f>
        <v>33.1</v>
      </c>
      <c r="M9" s="19"/>
      <c r="N9" s="19">
        <f>1+8+1.1</f>
        <v>10.1</v>
      </c>
      <c r="O9" s="19"/>
      <c r="P9" s="19">
        <f>2.35*18+2.08</f>
        <v>44.38</v>
      </c>
      <c r="Q9" s="19"/>
    </row>
    <row r="10" spans="1:17" ht="18.75" hidden="1" x14ac:dyDescent="0.3">
      <c r="B10" s="10" t="s">
        <v>20</v>
      </c>
      <c r="C10" s="8"/>
      <c r="D10" s="8">
        <v>0</v>
      </c>
      <c r="E10" s="8"/>
      <c r="F10" s="8">
        <v>0</v>
      </c>
      <c r="G10" s="8"/>
      <c r="H10" s="8">
        <v>0</v>
      </c>
      <c r="I10" s="8"/>
      <c r="J10" s="8">
        <v>3</v>
      </c>
      <c r="K10" s="8"/>
      <c r="L10" s="8">
        <v>0</v>
      </c>
      <c r="M10" s="8"/>
      <c r="N10" s="8">
        <v>0</v>
      </c>
      <c r="O10" s="8"/>
      <c r="P10" s="8">
        <v>0</v>
      </c>
      <c r="Q10" s="8"/>
    </row>
    <row r="11" spans="1:17" ht="18.75" hidden="1" x14ac:dyDescent="0.3">
      <c r="B11" s="10" t="s">
        <v>51</v>
      </c>
      <c r="C11" s="8"/>
      <c r="D11" s="8">
        <f t="shared" ref="D11:H11" si="1">D4*D9</f>
        <v>666.5</v>
      </c>
      <c r="E11" s="8"/>
      <c r="F11" s="8">
        <f t="shared" si="1"/>
        <v>1023</v>
      </c>
      <c r="G11" s="8"/>
      <c r="H11" s="8">
        <f t="shared" si="1"/>
        <v>189.52500000000001</v>
      </c>
      <c r="I11" s="8"/>
      <c r="J11" s="8">
        <f>J4*J9-J10*J4</f>
        <v>451.25</v>
      </c>
      <c r="K11" s="8"/>
      <c r="L11" s="8">
        <f t="shared" ref="L11:P11" si="2">L4*L9-L10*L4</f>
        <v>3591.3500000000004</v>
      </c>
      <c r="M11" s="8"/>
      <c r="N11" s="8">
        <f t="shared" si="2"/>
        <v>545.4</v>
      </c>
      <c r="O11" s="8"/>
      <c r="P11" s="8">
        <f t="shared" si="2"/>
        <v>4313.7360000000008</v>
      </c>
      <c r="Q11" s="8"/>
    </row>
    <row r="12" spans="1:17" ht="18.75" hidden="1" x14ac:dyDescent="0.3">
      <c r="B12" s="10" t="s">
        <v>76</v>
      </c>
      <c r="C12" s="8"/>
      <c r="D12" s="8">
        <v>0</v>
      </c>
      <c r="E12" s="8"/>
      <c r="F12" s="8">
        <v>0</v>
      </c>
      <c r="G12" s="8"/>
      <c r="H12" s="8">
        <v>0</v>
      </c>
      <c r="I12" s="8"/>
      <c r="J12" s="8">
        <v>0</v>
      </c>
      <c r="K12" s="8"/>
      <c r="L12" s="8">
        <f t="shared" ref="L12:P12" si="3">(L4+3+3)*2</f>
        <v>229</v>
      </c>
      <c r="M12" s="8"/>
      <c r="N12" s="8">
        <f t="shared" si="3"/>
        <v>120</v>
      </c>
      <c r="O12" s="8"/>
      <c r="P12" s="8">
        <f t="shared" si="3"/>
        <v>206.4</v>
      </c>
      <c r="Q12" s="8"/>
    </row>
    <row r="13" spans="1:17" ht="18.75" hidden="1" x14ac:dyDescent="0.3">
      <c r="B13" s="10" t="s">
        <v>80</v>
      </c>
      <c r="C13" s="8"/>
      <c r="D13" s="8">
        <v>3</v>
      </c>
      <c r="E13" s="8"/>
      <c r="F13" s="8">
        <v>3</v>
      </c>
      <c r="G13" s="8"/>
      <c r="H13" s="8">
        <v>3</v>
      </c>
      <c r="I13" s="8"/>
      <c r="J13" s="8">
        <v>1.5</v>
      </c>
      <c r="K13" s="8"/>
      <c r="L13" s="8">
        <v>3</v>
      </c>
      <c r="M13" s="8"/>
      <c r="N13" s="8">
        <v>2</v>
      </c>
      <c r="O13" s="8"/>
      <c r="P13" s="8">
        <v>2</v>
      </c>
      <c r="Q13" s="8"/>
    </row>
    <row r="14" spans="1:17" ht="18.75" hidden="1" x14ac:dyDescent="0.3">
      <c r="B14" s="10" t="s">
        <v>77</v>
      </c>
      <c r="C14" s="8"/>
      <c r="D14" s="8">
        <v>0</v>
      </c>
      <c r="E14" s="8"/>
      <c r="F14" s="8">
        <v>0</v>
      </c>
      <c r="G14" s="8"/>
      <c r="H14" s="8">
        <v>0</v>
      </c>
      <c r="I14" s="8"/>
      <c r="J14" s="8">
        <f t="shared" ref="J14" si="4">(J4+3+3)*2</f>
        <v>48.1</v>
      </c>
      <c r="K14" s="8"/>
      <c r="L14" s="8">
        <f>(L4+3+3)*2</f>
        <v>229</v>
      </c>
      <c r="M14" s="8"/>
      <c r="N14" s="8">
        <f t="shared" ref="N14" si="5">(N4+3+3)*2</f>
        <v>120</v>
      </c>
      <c r="O14" s="8"/>
      <c r="P14" s="8">
        <v>0</v>
      </c>
      <c r="Q14" s="8"/>
    </row>
    <row r="15" spans="1:17" ht="18.75" hidden="1" x14ac:dyDescent="0.3">
      <c r="B15" s="10" t="s">
        <v>25</v>
      </c>
      <c r="C15" s="8"/>
      <c r="D15" s="8">
        <v>20</v>
      </c>
      <c r="E15" s="8"/>
      <c r="F15" s="8">
        <v>35</v>
      </c>
      <c r="G15" s="8"/>
      <c r="H15" s="8">
        <v>0</v>
      </c>
      <c r="I15" s="8"/>
      <c r="J15" s="8">
        <v>0</v>
      </c>
      <c r="K15" s="8"/>
      <c r="L15" s="8">
        <v>0</v>
      </c>
      <c r="M15" s="8"/>
      <c r="N15" s="8">
        <v>0</v>
      </c>
      <c r="O15" s="8"/>
      <c r="P15" s="8">
        <v>8</v>
      </c>
      <c r="Q15" s="8"/>
    </row>
    <row r="16" spans="1:17" ht="18.75" hidden="1" x14ac:dyDescent="0.3">
      <c r="B16" s="10" t="s">
        <v>83</v>
      </c>
      <c r="C16" s="8"/>
      <c r="D16" s="8">
        <v>16.5</v>
      </c>
      <c r="E16" s="8"/>
      <c r="F16" s="8">
        <v>18.899999999999999</v>
      </c>
      <c r="G16" s="8"/>
      <c r="H16" s="8">
        <f t="shared" ref="H16:P16" si="6">H9+H13</f>
        <v>13.5</v>
      </c>
      <c r="I16" s="8"/>
      <c r="J16" s="8">
        <f t="shared" si="6"/>
        <v>29.5</v>
      </c>
      <c r="K16" s="8"/>
      <c r="L16" s="8">
        <f t="shared" si="6"/>
        <v>36.1</v>
      </c>
      <c r="M16" s="8"/>
      <c r="N16" s="8">
        <f t="shared" si="6"/>
        <v>12.1</v>
      </c>
      <c r="O16" s="8"/>
      <c r="P16" s="8">
        <f t="shared" si="6"/>
        <v>46.38</v>
      </c>
      <c r="Q16" s="8"/>
    </row>
    <row r="17" spans="2:17" ht="18.75" hidden="1" x14ac:dyDescent="0.3">
      <c r="B17" s="10" t="s">
        <v>26</v>
      </c>
      <c r="C17" s="8"/>
      <c r="D17" s="8">
        <v>3</v>
      </c>
      <c r="E17" s="8"/>
      <c r="F17" s="8">
        <v>3</v>
      </c>
      <c r="G17" s="8"/>
      <c r="H17" s="8">
        <v>2</v>
      </c>
      <c r="I17" s="8"/>
      <c r="J17" s="8">
        <v>0</v>
      </c>
      <c r="K17" s="8"/>
      <c r="L17" s="8">
        <v>2</v>
      </c>
      <c r="M17" s="8"/>
      <c r="N17" s="8">
        <v>2</v>
      </c>
      <c r="O17" s="8"/>
      <c r="P17" s="8">
        <v>2</v>
      </c>
      <c r="Q17" s="8"/>
    </row>
    <row r="18" spans="2:17" ht="18.75" hidden="1" x14ac:dyDescent="0.3">
      <c r="B18" s="10" t="s">
        <v>14</v>
      </c>
      <c r="C18" s="8"/>
      <c r="D18" s="8">
        <v>5.5</v>
      </c>
      <c r="E18" s="8"/>
      <c r="F18" s="8">
        <v>5.5</v>
      </c>
      <c r="G18" s="8"/>
      <c r="H18" s="8">
        <v>3</v>
      </c>
      <c r="I18" s="8"/>
      <c r="J18" s="8">
        <v>2</v>
      </c>
      <c r="K18" s="8"/>
      <c r="L18" s="8">
        <v>4.8</v>
      </c>
      <c r="M18" s="8"/>
      <c r="N18" s="8">
        <v>4</v>
      </c>
      <c r="O18" s="8"/>
      <c r="P18" s="8">
        <v>5.5</v>
      </c>
      <c r="Q18" s="8"/>
    </row>
    <row r="19" spans="2:17" ht="45" hidden="1" x14ac:dyDescent="0.3">
      <c r="B19" s="10" t="s">
        <v>31</v>
      </c>
      <c r="C19" s="8"/>
      <c r="D19" s="15" t="s">
        <v>40</v>
      </c>
      <c r="E19" s="15"/>
      <c r="F19" s="15" t="s">
        <v>40</v>
      </c>
      <c r="G19" s="15"/>
      <c r="H19" s="16" t="s">
        <v>32</v>
      </c>
      <c r="I19" s="16"/>
      <c r="J19" s="15" t="s">
        <v>105</v>
      </c>
      <c r="K19" s="15"/>
      <c r="L19" s="17" t="s">
        <v>46</v>
      </c>
      <c r="M19" s="17"/>
      <c r="N19" s="18" t="s">
        <v>84</v>
      </c>
      <c r="O19" s="18"/>
      <c r="P19" s="15" t="s">
        <v>40</v>
      </c>
      <c r="Q19" s="15"/>
    </row>
    <row r="20" spans="2:17" ht="18.75" hidden="1" x14ac:dyDescent="0.3">
      <c r="B20" s="10" t="s">
        <v>30</v>
      </c>
      <c r="C20" s="8"/>
      <c r="D20" s="8">
        <f>8*2</f>
        <v>16</v>
      </c>
      <c r="E20" s="8"/>
      <c r="F20" s="8">
        <f>8*2</f>
        <v>16</v>
      </c>
      <c r="G20" s="8"/>
      <c r="H20" s="8">
        <f t="shared" ref="H20" si="7">3*2</f>
        <v>6</v>
      </c>
      <c r="I20" s="8"/>
      <c r="J20" s="8">
        <f>8*2</f>
        <v>16</v>
      </c>
      <c r="K20" s="8"/>
      <c r="L20" s="8">
        <f t="shared" ref="L20:P20" si="8">3*2</f>
        <v>6</v>
      </c>
      <c r="M20" s="8"/>
      <c r="N20" s="8">
        <f t="shared" si="8"/>
        <v>6</v>
      </c>
      <c r="O20" s="8"/>
      <c r="P20" s="8">
        <f t="shared" si="8"/>
        <v>6</v>
      </c>
      <c r="Q20" s="8"/>
    </row>
    <row r="21" spans="2:17" ht="18.75" hidden="1" x14ac:dyDescent="0.3">
      <c r="B21" s="10" t="s">
        <v>33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2:17" ht="18.75" hidden="1" x14ac:dyDescent="0.3">
      <c r="B22" s="10" t="s">
        <v>34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2:17" ht="37.5" hidden="1" x14ac:dyDescent="0.3">
      <c r="B23" s="10" t="s">
        <v>39</v>
      </c>
      <c r="C23" s="8"/>
      <c r="D23" s="8" t="s">
        <v>38</v>
      </c>
      <c r="E23" s="8"/>
      <c r="F23" s="8" t="s">
        <v>38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2:17" ht="18.75" hidden="1" x14ac:dyDescent="0.3">
      <c r="B24" s="10" t="s">
        <v>45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2:17" ht="18.75" hidden="1" x14ac:dyDescent="0.3">
      <c r="B25" s="10" t="s">
        <v>27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2:17" ht="18.75" hidden="1" x14ac:dyDescent="0.3">
      <c r="B26" s="10" t="s">
        <v>42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2:17" ht="18.75" hidden="1" x14ac:dyDescent="0.3">
      <c r="B27" s="10" t="s">
        <v>41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2:17" ht="18.75" hidden="1" x14ac:dyDescent="0.3">
      <c r="B28" s="10" t="s">
        <v>19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2:17" ht="18.75" hidden="1" x14ac:dyDescent="0.3">
      <c r="B29" s="10" t="s">
        <v>22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2:17" ht="18.75" hidden="1" x14ac:dyDescent="0.3">
      <c r="B30" s="10" t="s">
        <v>23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2:17" ht="18.75" hidden="1" x14ac:dyDescent="0.3">
      <c r="B31" s="10" t="s">
        <v>44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2:17" ht="18.75" hidden="1" x14ac:dyDescent="0.3">
      <c r="B32" s="10" t="s">
        <v>28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8.75" hidden="1" x14ac:dyDescent="0.3">
      <c r="B33" s="10" t="s">
        <v>29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8.75" hidden="1" x14ac:dyDescent="0.3">
      <c r="B34" s="10" t="s">
        <v>43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8.75" hidden="1" x14ac:dyDescent="0.3">
      <c r="B35" s="10" t="s">
        <v>37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8.75" hidden="1" x14ac:dyDescent="0.3">
      <c r="B36" s="10" t="s">
        <v>36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8.75" hidden="1" x14ac:dyDescent="0.3">
      <c r="B37" s="10" t="s">
        <v>35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ht="18.75" hidden="1" x14ac:dyDescent="0.3">
      <c r="B38" s="10" t="s">
        <v>47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18.75" hidden="1" x14ac:dyDescent="0.3">
      <c r="B39" s="10" t="s">
        <v>48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18.75" hidden="1" x14ac:dyDescent="0.3">
      <c r="B40" s="10" t="s">
        <v>49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18.75" hidden="1" x14ac:dyDescent="0.3">
      <c r="B41" s="10" t="s">
        <v>50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hidden="1" x14ac:dyDescent="0.25">
      <c r="B42" s="21"/>
      <c r="C42" s="11"/>
      <c r="D42" s="11"/>
      <c r="E42" s="11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8.75" x14ac:dyDescent="0.3">
      <c r="A43" s="12"/>
      <c r="B43" s="23" t="s">
        <v>64</v>
      </c>
      <c r="C43" s="24"/>
      <c r="D43" s="42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x14ac:dyDescent="0.25">
      <c r="A44" s="12">
        <v>1</v>
      </c>
      <c r="B44" s="26" t="s">
        <v>86</v>
      </c>
      <c r="C44" s="14" t="s">
        <v>4</v>
      </c>
      <c r="D44" s="30">
        <f>D20*D9*0.1*2</f>
        <v>49.6</v>
      </c>
      <c r="E44" s="22"/>
      <c r="F44" s="22">
        <f>F20*F9*0.1*2</f>
        <v>49.6</v>
      </c>
      <c r="G44" s="22"/>
      <c r="H44" s="22">
        <f>H20*H9*0.1*2</f>
        <v>12.600000000000001</v>
      </c>
      <c r="I44" s="22"/>
      <c r="J44" s="22">
        <f>J20*J9*0.1*2</f>
        <v>89.600000000000009</v>
      </c>
      <c r="K44" s="22"/>
      <c r="L44" s="22">
        <f>L20*L9*0.1*2</f>
        <v>39.720000000000006</v>
      </c>
      <c r="M44" s="22"/>
      <c r="N44" s="22">
        <f>N20*N9*0.1*2</f>
        <v>12.12</v>
      </c>
      <c r="O44" s="22"/>
      <c r="P44" s="22">
        <f>P20*P9*0.1*2</f>
        <v>53.256000000000007</v>
      </c>
      <c r="Q44" s="22"/>
    </row>
    <row r="45" spans="1:17" ht="25.5" x14ac:dyDescent="0.25">
      <c r="A45" s="12">
        <v>2</v>
      </c>
      <c r="B45" s="26" t="s">
        <v>75</v>
      </c>
      <c r="C45" s="14" t="s">
        <v>73</v>
      </c>
      <c r="D45" s="30">
        <f>D20*D9*2</f>
        <v>496</v>
      </c>
      <c r="E45" s="22"/>
      <c r="F45" s="22">
        <f>F20*F9*2</f>
        <v>496</v>
      </c>
      <c r="G45" s="22"/>
      <c r="H45" s="22">
        <f>H20*H9*2</f>
        <v>126</v>
      </c>
      <c r="I45" s="22"/>
      <c r="J45" s="22">
        <f>J20*J9*2</f>
        <v>896</v>
      </c>
      <c r="K45" s="22"/>
      <c r="L45" s="22">
        <f>L20*L9*2</f>
        <v>397.20000000000005</v>
      </c>
      <c r="M45" s="22"/>
      <c r="N45" s="22">
        <f>N20*N9*2</f>
        <v>121.19999999999999</v>
      </c>
      <c r="O45" s="22"/>
      <c r="P45" s="22">
        <f>P20*P9*2</f>
        <v>532.56000000000006</v>
      </c>
      <c r="Q45" s="22"/>
    </row>
    <row r="46" spans="1:17" ht="25.5" x14ac:dyDescent="0.25">
      <c r="A46" s="12">
        <v>3</v>
      </c>
      <c r="B46" s="27" t="s">
        <v>87</v>
      </c>
      <c r="C46" s="14" t="s">
        <v>4</v>
      </c>
      <c r="D46" s="30">
        <f>D20*D9*0.2*2</f>
        <v>99.2</v>
      </c>
      <c r="E46" s="22"/>
      <c r="F46" s="22">
        <f>F20*F9*0.2*2</f>
        <v>99.2</v>
      </c>
      <c r="G46" s="22"/>
      <c r="H46" s="22">
        <f>H20*H9*0.2*2</f>
        <v>25.200000000000003</v>
      </c>
      <c r="I46" s="22"/>
      <c r="J46" s="22">
        <f>J20*J9*0.2*2</f>
        <v>179.20000000000002</v>
      </c>
      <c r="K46" s="22"/>
      <c r="L46" s="22">
        <f>L20*L9*0.2*2</f>
        <v>79.440000000000012</v>
      </c>
      <c r="M46" s="22"/>
      <c r="N46" s="22">
        <f>N20*N9*0.2*2</f>
        <v>24.24</v>
      </c>
      <c r="O46" s="22"/>
      <c r="P46" s="22">
        <f>P20*P9*0.2*2</f>
        <v>106.51200000000001</v>
      </c>
      <c r="Q46" s="22"/>
    </row>
    <row r="47" spans="1:17" x14ac:dyDescent="0.25">
      <c r="A47" s="12">
        <v>4</v>
      </c>
      <c r="B47" s="27"/>
      <c r="C47" s="14"/>
      <c r="D47" s="30">
        <f>D46*1.2</f>
        <v>119.03999999999999</v>
      </c>
      <c r="E47" s="22"/>
      <c r="F47" s="22">
        <f t="shared" ref="F47:N47" si="9">F46*1.2</f>
        <v>119.03999999999999</v>
      </c>
      <c r="G47" s="22"/>
      <c r="H47" s="22">
        <f t="shared" si="9"/>
        <v>30.240000000000002</v>
      </c>
      <c r="I47" s="22"/>
      <c r="J47" s="22">
        <f t="shared" si="9"/>
        <v>215.04000000000002</v>
      </c>
      <c r="K47" s="22"/>
      <c r="L47" s="22">
        <f t="shared" si="9"/>
        <v>95.328000000000017</v>
      </c>
      <c r="M47" s="22"/>
      <c r="N47" s="22">
        <f t="shared" si="9"/>
        <v>29.087999999999997</v>
      </c>
      <c r="O47" s="22"/>
      <c r="P47" s="22"/>
      <c r="Q47" s="22"/>
    </row>
    <row r="48" spans="1:17" ht="38.25" x14ac:dyDescent="0.25">
      <c r="A48" s="12">
        <v>5</v>
      </c>
      <c r="B48" s="28" t="s">
        <v>71</v>
      </c>
      <c r="C48" s="14" t="s">
        <v>72</v>
      </c>
      <c r="D48" s="30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x14ac:dyDescent="0.25">
      <c r="A49" s="12">
        <v>6</v>
      </c>
      <c r="B49" s="26"/>
      <c r="C49" s="14" t="s">
        <v>4</v>
      </c>
      <c r="D49" s="30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ht="25.5" x14ac:dyDescent="0.25">
      <c r="A50" s="12">
        <v>7</v>
      </c>
      <c r="B50" s="26" t="s">
        <v>66</v>
      </c>
      <c r="C50" s="14" t="s">
        <v>3</v>
      </c>
      <c r="D50" s="30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ht="38.25" x14ac:dyDescent="0.25">
      <c r="A51" s="12">
        <v>8</v>
      </c>
      <c r="B51" s="29" t="s">
        <v>67</v>
      </c>
      <c r="C51" s="14" t="s">
        <v>65</v>
      </c>
      <c r="D51" s="30" t="e">
        <f>#REF!*1.3</f>
        <v>#REF!</v>
      </c>
      <c r="E51" s="30"/>
      <c r="F51" s="30" t="e">
        <f>#REF!*1.3</f>
        <v>#REF!</v>
      </c>
      <c r="G51" s="30"/>
      <c r="H51" s="30" t="e">
        <f>#REF!*1.3</f>
        <v>#REF!</v>
      </c>
      <c r="I51" s="30"/>
      <c r="J51" s="30" t="e">
        <f>#REF!*1.3</f>
        <v>#REF!</v>
      </c>
      <c r="K51" s="30"/>
      <c r="L51" s="30" t="e">
        <f>#REF!*1.3</f>
        <v>#REF!</v>
      </c>
      <c r="M51" s="30"/>
      <c r="N51" s="30" t="e">
        <f>#REF!*1.3</f>
        <v>#REF!</v>
      </c>
      <c r="O51" s="30"/>
      <c r="P51" s="30" t="e">
        <f>#REF!*1.3</f>
        <v>#REF!</v>
      </c>
      <c r="Q51" s="30"/>
    </row>
    <row r="52" spans="1:17" x14ac:dyDescent="0.25">
      <c r="A52" s="12">
        <v>9</v>
      </c>
      <c r="B52" s="26" t="s">
        <v>90</v>
      </c>
      <c r="C52" s="14" t="s">
        <v>4</v>
      </c>
      <c r="D52" s="30" t="e">
        <f>D51*0.1</f>
        <v>#REF!</v>
      </c>
      <c r="E52" s="30"/>
      <c r="F52" s="30" t="e">
        <f t="shared" ref="F52:P52" si="10">F51*0.1</f>
        <v>#REF!</v>
      </c>
      <c r="G52" s="30"/>
      <c r="H52" s="30" t="e">
        <f t="shared" si="10"/>
        <v>#REF!</v>
      </c>
      <c r="I52" s="30"/>
      <c r="J52" s="30" t="e">
        <f t="shared" si="10"/>
        <v>#REF!</v>
      </c>
      <c r="K52" s="30"/>
      <c r="L52" s="30" t="e">
        <f t="shared" si="10"/>
        <v>#REF!</v>
      </c>
      <c r="M52" s="30"/>
      <c r="N52" s="30" t="e">
        <f t="shared" si="10"/>
        <v>#REF!</v>
      </c>
      <c r="O52" s="30"/>
      <c r="P52" s="30" t="e">
        <f t="shared" si="10"/>
        <v>#REF!</v>
      </c>
      <c r="Q52" s="30"/>
    </row>
    <row r="53" spans="1:17" x14ac:dyDescent="0.25">
      <c r="A53" s="12">
        <v>10</v>
      </c>
      <c r="B53" s="26" t="s">
        <v>91</v>
      </c>
      <c r="C53" s="14" t="s">
        <v>4</v>
      </c>
      <c r="D53" s="30" t="e">
        <f>0.008*D51</f>
        <v>#REF!</v>
      </c>
      <c r="E53" s="30"/>
      <c r="F53" s="30" t="e">
        <f t="shared" ref="F53:P53" si="11">0.008*F51</f>
        <v>#REF!</v>
      </c>
      <c r="G53" s="30"/>
      <c r="H53" s="30" t="e">
        <f t="shared" si="11"/>
        <v>#REF!</v>
      </c>
      <c r="I53" s="30"/>
      <c r="J53" s="30" t="e">
        <f t="shared" si="11"/>
        <v>#REF!</v>
      </c>
      <c r="K53" s="30"/>
      <c r="L53" s="30" t="e">
        <f t="shared" si="11"/>
        <v>#REF!</v>
      </c>
      <c r="M53" s="30"/>
      <c r="N53" s="30" t="e">
        <f t="shared" si="11"/>
        <v>#REF!</v>
      </c>
      <c r="O53" s="30"/>
      <c r="P53" s="30" t="e">
        <f t="shared" si="11"/>
        <v>#REF!</v>
      </c>
      <c r="Q53" s="30"/>
    </row>
    <row r="54" spans="1:17" ht="25.5" x14ac:dyDescent="0.25">
      <c r="A54" s="12">
        <v>11</v>
      </c>
      <c r="B54" s="26" t="s">
        <v>62</v>
      </c>
      <c r="C54" s="14" t="s">
        <v>6</v>
      </c>
      <c r="D54" s="30" t="e">
        <f>D51*3.94</f>
        <v>#REF!</v>
      </c>
      <c r="E54" s="30"/>
      <c r="F54" s="30" t="e">
        <f t="shared" ref="F54:P54" si="12">F51*3.94</f>
        <v>#REF!</v>
      </c>
      <c r="G54" s="30"/>
      <c r="H54" s="30" t="e">
        <f t="shared" si="12"/>
        <v>#REF!</v>
      </c>
      <c r="I54" s="30"/>
      <c r="J54" s="30" t="e">
        <f t="shared" si="12"/>
        <v>#REF!</v>
      </c>
      <c r="K54" s="30"/>
      <c r="L54" s="30" t="e">
        <f t="shared" si="12"/>
        <v>#REF!</v>
      </c>
      <c r="M54" s="30"/>
      <c r="N54" s="30" t="e">
        <f t="shared" si="12"/>
        <v>#REF!</v>
      </c>
      <c r="O54" s="30"/>
      <c r="P54" s="30" t="e">
        <f t="shared" si="12"/>
        <v>#REF!</v>
      </c>
      <c r="Q54" s="30"/>
    </row>
    <row r="55" spans="1:17" ht="25.5" x14ac:dyDescent="0.25">
      <c r="A55" s="12">
        <v>12</v>
      </c>
      <c r="B55" s="29" t="s">
        <v>88</v>
      </c>
      <c r="C55" s="14" t="s">
        <v>74</v>
      </c>
      <c r="D55" s="30">
        <f>(D9+D10)*2*2</f>
        <v>62</v>
      </c>
      <c r="E55" s="30"/>
      <c r="F55" s="30">
        <f>(F9+F10)*2*2</f>
        <v>62</v>
      </c>
      <c r="G55" s="30"/>
      <c r="H55" s="30">
        <f>(H9+H10)*2*2</f>
        <v>42</v>
      </c>
      <c r="I55" s="30"/>
      <c r="J55" s="30">
        <f>(J9+J10)*2*2</f>
        <v>124</v>
      </c>
      <c r="K55" s="30"/>
      <c r="L55" s="30">
        <f>(L9+L10)*2*2</f>
        <v>132.4</v>
      </c>
      <c r="M55" s="30"/>
      <c r="N55" s="30">
        <f>(N9+N10)*2*2</f>
        <v>40.4</v>
      </c>
      <c r="O55" s="30"/>
      <c r="P55" s="30">
        <f>(P9+P10)*2*2</f>
        <v>177.52</v>
      </c>
      <c r="Q55" s="30"/>
    </row>
    <row r="56" spans="1:17" x14ac:dyDescent="0.25">
      <c r="A56" s="12">
        <v>13</v>
      </c>
      <c r="B56" s="26" t="s">
        <v>68</v>
      </c>
      <c r="C56" s="14" t="s">
        <v>4</v>
      </c>
      <c r="D56" s="30">
        <f>D55*0.5*0.4</f>
        <v>12.4</v>
      </c>
      <c r="E56" s="30"/>
      <c r="F56" s="30">
        <f t="shared" ref="F56:P56" si="13">F55*0.5*0.4</f>
        <v>12.4</v>
      </c>
      <c r="G56" s="30"/>
      <c r="H56" s="30">
        <f t="shared" si="13"/>
        <v>8.4</v>
      </c>
      <c r="I56" s="30"/>
      <c r="J56" s="30">
        <f t="shared" si="13"/>
        <v>24.8</v>
      </c>
      <c r="K56" s="30"/>
      <c r="L56" s="30">
        <f t="shared" si="13"/>
        <v>26.480000000000004</v>
      </c>
      <c r="M56" s="30"/>
      <c r="N56" s="30">
        <f t="shared" si="13"/>
        <v>8.08</v>
      </c>
      <c r="O56" s="30"/>
      <c r="P56" s="30">
        <f t="shared" si="13"/>
        <v>35.504000000000005</v>
      </c>
      <c r="Q56" s="30"/>
    </row>
    <row r="57" spans="1:17" ht="25.5" x14ac:dyDescent="0.25">
      <c r="A57" s="12">
        <v>14</v>
      </c>
      <c r="B57" s="26" t="s">
        <v>69</v>
      </c>
      <c r="C57" s="14" t="s">
        <v>6</v>
      </c>
      <c r="D57" s="31">
        <f>0.0034*D56</f>
        <v>4.2159999999999996E-2</v>
      </c>
      <c r="E57" s="31"/>
      <c r="F57" s="31">
        <f t="shared" ref="F57:P57" si="14">0.0034*F56</f>
        <v>4.2159999999999996E-2</v>
      </c>
      <c r="G57" s="31"/>
      <c r="H57" s="31">
        <f t="shared" si="14"/>
        <v>2.8559999999999999E-2</v>
      </c>
      <c r="I57" s="31"/>
      <c r="J57" s="31">
        <f t="shared" si="14"/>
        <v>8.4319999999999992E-2</v>
      </c>
      <c r="K57" s="31"/>
      <c r="L57" s="31">
        <f t="shared" si="14"/>
        <v>9.0032000000000015E-2</v>
      </c>
      <c r="M57" s="31"/>
      <c r="N57" s="31">
        <f t="shared" si="14"/>
        <v>2.7472E-2</v>
      </c>
      <c r="O57" s="31"/>
      <c r="P57" s="31">
        <f t="shared" si="14"/>
        <v>0.1207136</v>
      </c>
      <c r="Q57" s="31"/>
    </row>
    <row r="58" spans="1:17" ht="25.5" x14ac:dyDescent="0.25">
      <c r="A58" s="12">
        <v>15</v>
      </c>
      <c r="B58" s="26" t="s">
        <v>70</v>
      </c>
      <c r="C58" s="14" t="s">
        <v>6</v>
      </c>
      <c r="D58" s="31">
        <f>D57</f>
        <v>4.2159999999999996E-2</v>
      </c>
      <c r="E58" s="31"/>
      <c r="F58" s="31">
        <f t="shared" ref="F58:P58" si="15">F57</f>
        <v>4.2159999999999996E-2</v>
      </c>
      <c r="G58" s="31"/>
      <c r="H58" s="31">
        <f t="shared" si="15"/>
        <v>2.8559999999999999E-2</v>
      </c>
      <c r="I58" s="31"/>
      <c r="J58" s="31">
        <f t="shared" si="15"/>
        <v>8.4319999999999992E-2</v>
      </c>
      <c r="K58" s="31"/>
      <c r="L58" s="31">
        <f t="shared" si="15"/>
        <v>9.0032000000000015E-2</v>
      </c>
      <c r="M58" s="31"/>
      <c r="N58" s="31">
        <f t="shared" si="15"/>
        <v>2.7472E-2</v>
      </c>
      <c r="O58" s="31"/>
      <c r="P58" s="31">
        <f t="shared" si="15"/>
        <v>0.1207136</v>
      </c>
      <c r="Q58" s="31"/>
    </row>
    <row r="59" spans="1:17" ht="25.5" x14ac:dyDescent="0.25">
      <c r="A59" s="12">
        <v>16</v>
      </c>
      <c r="B59" s="13" t="s">
        <v>61</v>
      </c>
      <c r="C59" s="14" t="s">
        <v>92</v>
      </c>
      <c r="D59" s="30">
        <f>D56/0.4*2</f>
        <v>62</v>
      </c>
      <c r="E59" s="30"/>
      <c r="F59" s="30">
        <f t="shared" ref="F59:P59" si="16">F56/0.4*2</f>
        <v>62</v>
      </c>
      <c r="G59" s="30"/>
      <c r="H59" s="30">
        <f t="shared" si="16"/>
        <v>42</v>
      </c>
      <c r="I59" s="30"/>
      <c r="J59" s="30">
        <f t="shared" si="16"/>
        <v>124</v>
      </c>
      <c r="K59" s="30"/>
      <c r="L59" s="30">
        <f t="shared" si="16"/>
        <v>132.4</v>
      </c>
      <c r="M59" s="30"/>
      <c r="N59" s="30">
        <f t="shared" si="16"/>
        <v>40.4</v>
      </c>
      <c r="O59" s="30"/>
      <c r="P59" s="30">
        <f t="shared" si="16"/>
        <v>177.52</v>
      </c>
      <c r="Q59" s="30"/>
    </row>
    <row r="60" spans="1:17" ht="18.75" x14ac:dyDescent="0.3">
      <c r="A60" s="12">
        <v>17</v>
      </c>
      <c r="B60" s="32" t="s">
        <v>96</v>
      </c>
      <c r="C60" s="24"/>
      <c r="D60" s="42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ht="51" x14ac:dyDescent="0.25">
      <c r="A61" s="12">
        <v>18</v>
      </c>
      <c r="B61" s="13" t="s">
        <v>93</v>
      </c>
      <c r="C61" s="33" t="s">
        <v>0</v>
      </c>
      <c r="D61" s="3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x14ac:dyDescent="0.25">
      <c r="A62" s="12">
        <v>19</v>
      </c>
      <c r="B62" s="13"/>
      <c r="C62" s="33"/>
      <c r="D62" s="30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x14ac:dyDescent="0.25">
      <c r="A63" s="12">
        <v>20</v>
      </c>
      <c r="B63" s="13"/>
      <c r="C63" s="33"/>
      <c r="D63" s="30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x14ac:dyDescent="0.25">
      <c r="A64" s="12">
        <v>21</v>
      </c>
      <c r="B64" s="13"/>
      <c r="C64" s="33"/>
      <c r="D64" s="30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1:17" ht="38.25" x14ac:dyDescent="0.25">
      <c r="A65" s="12">
        <v>22</v>
      </c>
      <c r="B65" s="13" t="s">
        <v>94</v>
      </c>
      <c r="C65" s="33" t="s">
        <v>65</v>
      </c>
      <c r="D65" s="30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17" ht="51" x14ac:dyDescent="0.25">
      <c r="A66" s="12">
        <v>23</v>
      </c>
      <c r="B66" s="13" t="s">
        <v>95</v>
      </c>
      <c r="C66" s="33" t="s">
        <v>65</v>
      </c>
      <c r="D66" s="30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x14ac:dyDescent="0.25">
      <c r="A67" s="12">
        <v>24</v>
      </c>
      <c r="B67" s="13"/>
      <c r="C67" s="33"/>
      <c r="D67" s="30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ht="18.75" x14ac:dyDescent="0.25">
      <c r="A68" s="12">
        <v>25</v>
      </c>
      <c r="B68" s="34" t="s">
        <v>97</v>
      </c>
      <c r="C68" s="35"/>
      <c r="D68" s="4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ht="25.5" x14ac:dyDescent="0.25">
      <c r="A69" s="12">
        <v>26</v>
      </c>
      <c r="B69" s="26" t="s">
        <v>99</v>
      </c>
      <c r="C69" s="36" t="s">
        <v>0</v>
      </c>
      <c r="D69" s="30">
        <f>D11</f>
        <v>666.5</v>
      </c>
      <c r="E69" s="22"/>
      <c r="F69" s="22">
        <f>F11</f>
        <v>1023</v>
      </c>
      <c r="G69" s="22"/>
      <c r="H69" s="22">
        <f>H11</f>
        <v>189.52500000000001</v>
      </c>
      <c r="I69" s="22"/>
      <c r="J69" s="22">
        <f>J11</f>
        <v>451.25</v>
      </c>
      <c r="K69" s="22"/>
      <c r="L69" s="22">
        <f>L11</f>
        <v>3591.3500000000004</v>
      </c>
      <c r="M69" s="22"/>
      <c r="N69" s="22">
        <f>N11</f>
        <v>545.4</v>
      </c>
      <c r="O69" s="22"/>
      <c r="P69" s="22">
        <f>P11</f>
        <v>4313.7360000000008</v>
      </c>
      <c r="Q69" s="22"/>
    </row>
    <row r="70" spans="1:17" x14ac:dyDescent="0.25">
      <c r="A70" s="12">
        <v>27</v>
      </c>
      <c r="B70" s="26" t="s">
        <v>100</v>
      </c>
      <c r="C70" s="36" t="s">
        <v>1</v>
      </c>
      <c r="D70" s="30">
        <f>D11</f>
        <v>666.5</v>
      </c>
      <c r="E70" s="22"/>
      <c r="F70" s="22">
        <f>F11</f>
        <v>1023</v>
      </c>
      <c r="G70" s="22"/>
      <c r="H70" s="22">
        <f>H11</f>
        <v>189.52500000000001</v>
      </c>
      <c r="I70" s="22"/>
      <c r="J70" s="22">
        <f>J11</f>
        <v>451.25</v>
      </c>
      <c r="K70" s="22"/>
      <c r="L70" s="22">
        <f>L11</f>
        <v>3591.3500000000004</v>
      </c>
      <c r="M70" s="22"/>
      <c r="N70" s="22">
        <f>N11</f>
        <v>545.4</v>
      </c>
      <c r="O70" s="22"/>
      <c r="P70" s="22">
        <f>P11</f>
        <v>4313.7360000000008</v>
      </c>
      <c r="Q70" s="22"/>
    </row>
    <row r="71" spans="1:17" ht="38.25" x14ac:dyDescent="0.25">
      <c r="A71" s="12">
        <v>28</v>
      </c>
      <c r="B71" s="28" t="s">
        <v>101</v>
      </c>
      <c r="C71" s="36" t="s">
        <v>104</v>
      </c>
      <c r="D71" s="30">
        <f>D70</f>
        <v>666.5</v>
      </c>
      <c r="E71" s="22"/>
      <c r="F71" s="22">
        <f t="shared" ref="F71:P71" si="17">F70</f>
        <v>1023</v>
      </c>
      <c r="G71" s="22"/>
      <c r="H71" s="22">
        <f t="shared" si="17"/>
        <v>189.52500000000001</v>
      </c>
      <c r="I71" s="22"/>
      <c r="J71" s="22">
        <f t="shared" si="17"/>
        <v>451.25</v>
      </c>
      <c r="K71" s="22"/>
      <c r="L71" s="22">
        <f t="shared" si="17"/>
        <v>3591.3500000000004</v>
      </c>
      <c r="M71" s="22"/>
      <c r="N71" s="22">
        <f t="shared" si="17"/>
        <v>545.4</v>
      </c>
      <c r="O71" s="22"/>
      <c r="P71" s="22">
        <f t="shared" si="17"/>
        <v>4313.7360000000008</v>
      </c>
      <c r="Q71" s="22"/>
    </row>
    <row r="72" spans="1:17" x14ac:dyDescent="0.25">
      <c r="A72" s="12">
        <v>29</v>
      </c>
      <c r="B72" s="26"/>
      <c r="C72" s="36"/>
      <c r="D72" s="30">
        <f>D71*2</f>
        <v>1333</v>
      </c>
      <c r="E72" s="22"/>
      <c r="F72" s="22">
        <f t="shared" ref="F72:N72" si="18">F71*2</f>
        <v>2046</v>
      </c>
      <c r="G72" s="22"/>
      <c r="H72" s="22">
        <f t="shared" si="18"/>
        <v>379.05</v>
      </c>
      <c r="I72" s="22"/>
      <c r="J72" s="22">
        <f t="shared" si="18"/>
        <v>902.5</v>
      </c>
      <c r="K72" s="22"/>
      <c r="L72" s="22">
        <f t="shared" si="18"/>
        <v>7182.7000000000007</v>
      </c>
      <c r="M72" s="22"/>
      <c r="N72" s="22">
        <f t="shared" si="18"/>
        <v>1090.8</v>
      </c>
      <c r="O72" s="22"/>
      <c r="P72" s="22"/>
      <c r="Q72" s="22"/>
    </row>
    <row r="73" spans="1:17" ht="63.75" x14ac:dyDescent="0.25">
      <c r="A73" s="12">
        <v>30</v>
      </c>
      <c r="B73" s="28" t="s">
        <v>98</v>
      </c>
      <c r="C73" s="36" t="s">
        <v>60</v>
      </c>
      <c r="D73" s="30">
        <f>D7*5*D4</f>
        <v>1505</v>
      </c>
      <c r="E73" s="22"/>
      <c r="F73" s="22">
        <f>F7*5*F4</f>
        <v>1980</v>
      </c>
      <c r="G73" s="22"/>
      <c r="H73" s="22">
        <f>H7*5*H4</f>
        <v>1263.5</v>
      </c>
      <c r="I73" s="22"/>
      <c r="J73" s="22"/>
      <c r="K73" s="22"/>
      <c r="L73" s="22">
        <f>L7*5*L4</f>
        <v>14105</v>
      </c>
      <c r="M73" s="22"/>
      <c r="N73" s="22"/>
      <c r="O73" s="22"/>
      <c r="P73" s="22">
        <f>P7*5*P4</f>
        <v>9234</v>
      </c>
      <c r="Q73" s="22"/>
    </row>
    <row r="74" spans="1:17" x14ac:dyDescent="0.25">
      <c r="A74" s="12">
        <v>31</v>
      </c>
      <c r="B74" s="28"/>
      <c r="C74" s="36"/>
      <c r="D74" s="30">
        <f>D7*5*D4</f>
        <v>1505</v>
      </c>
      <c r="E74" s="22"/>
      <c r="F74" s="22">
        <f>F7*5*F4</f>
        <v>1980</v>
      </c>
      <c r="G74" s="22"/>
      <c r="H74" s="22">
        <f>H7*5*H4</f>
        <v>1263.5</v>
      </c>
      <c r="I74" s="22"/>
      <c r="J74" s="22">
        <f>J7*5*J4</f>
        <v>180.5</v>
      </c>
      <c r="K74" s="22"/>
      <c r="L74" s="22">
        <f>L7*5*L4</f>
        <v>14105</v>
      </c>
      <c r="M74" s="22"/>
      <c r="N74" s="22">
        <f>N7*5*N4</f>
        <v>270</v>
      </c>
      <c r="O74" s="22"/>
      <c r="P74" s="22">
        <f>P7*5*P4</f>
        <v>9234</v>
      </c>
      <c r="Q74" s="22"/>
    </row>
    <row r="75" spans="1:17" ht="51" x14ac:dyDescent="0.25">
      <c r="A75" s="12">
        <v>32</v>
      </c>
      <c r="B75" s="28" t="s">
        <v>106</v>
      </c>
      <c r="C75" s="37" t="s">
        <v>6</v>
      </c>
      <c r="D75" s="30">
        <f>1.578*0.25*D74</f>
        <v>593.72250000000008</v>
      </c>
      <c r="E75" s="22"/>
      <c r="F75" s="22">
        <f t="shared" ref="F75:P75" si="19">1.578*0.25*F74</f>
        <v>781.11</v>
      </c>
      <c r="G75" s="22"/>
      <c r="H75" s="22">
        <f t="shared" si="19"/>
        <v>498.45075000000003</v>
      </c>
      <c r="I75" s="22"/>
      <c r="J75" s="22">
        <f t="shared" si="19"/>
        <v>71.207250000000002</v>
      </c>
      <c r="K75" s="22"/>
      <c r="L75" s="22">
        <f t="shared" si="19"/>
        <v>5564.4225000000006</v>
      </c>
      <c r="M75" s="22"/>
      <c r="N75" s="22">
        <f t="shared" si="19"/>
        <v>106.515</v>
      </c>
      <c r="O75" s="22"/>
      <c r="P75" s="22">
        <f t="shared" si="19"/>
        <v>3642.8130000000001</v>
      </c>
      <c r="Q75" s="22"/>
    </row>
    <row r="76" spans="1:17" x14ac:dyDescent="0.25">
      <c r="A76" s="12">
        <v>33</v>
      </c>
      <c r="B76" s="29" t="s">
        <v>102</v>
      </c>
      <c r="C76" s="36" t="s">
        <v>3</v>
      </c>
      <c r="D76" s="30">
        <f>D11*0.15</f>
        <v>99.974999999999994</v>
      </c>
      <c r="E76" s="22"/>
      <c r="F76" s="22">
        <f>F11*0.15</f>
        <v>153.44999999999999</v>
      </c>
      <c r="G76" s="22"/>
      <c r="H76" s="22">
        <f>H11*0.15</f>
        <v>28.428750000000001</v>
      </c>
      <c r="I76" s="22"/>
      <c r="J76" s="22">
        <f>J11*0.15</f>
        <v>67.6875</v>
      </c>
      <c r="K76" s="22"/>
      <c r="L76" s="22">
        <f>L11*0.15</f>
        <v>538.70249999999999</v>
      </c>
      <c r="M76" s="22"/>
      <c r="N76" s="22">
        <f>N11*0.15</f>
        <v>81.809999999999988</v>
      </c>
      <c r="O76" s="22"/>
      <c r="P76" s="22">
        <f>P11*0.15</f>
        <v>647.06040000000007</v>
      </c>
      <c r="Q76" s="22"/>
    </row>
    <row r="77" spans="1:17" ht="51" x14ac:dyDescent="0.25">
      <c r="A77" s="12">
        <v>34</v>
      </c>
      <c r="B77" s="28" t="s">
        <v>103</v>
      </c>
      <c r="C77" s="36" t="s">
        <v>4</v>
      </c>
      <c r="D77" s="30">
        <f>D76*1.04</f>
        <v>103.974</v>
      </c>
      <c r="E77" s="22"/>
      <c r="F77" s="22">
        <f t="shared" ref="F77:P77" si="20">F76*1.04</f>
        <v>159.58799999999999</v>
      </c>
      <c r="G77" s="22"/>
      <c r="H77" s="22">
        <f t="shared" si="20"/>
        <v>29.565900000000003</v>
      </c>
      <c r="I77" s="22"/>
      <c r="J77" s="22">
        <f t="shared" si="20"/>
        <v>70.394999999999996</v>
      </c>
      <c r="K77" s="22"/>
      <c r="L77" s="22">
        <f t="shared" si="20"/>
        <v>560.25059999999996</v>
      </c>
      <c r="M77" s="22"/>
      <c r="N77" s="22">
        <f t="shared" si="20"/>
        <v>85.082399999999993</v>
      </c>
      <c r="O77" s="22"/>
      <c r="P77" s="22">
        <f t="shared" si="20"/>
        <v>672.94281600000011</v>
      </c>
      <c r="Q77" s="22"/>
    </row>
    <row r="78" spans="1:17" ht="25.5" x14ac:dyDescent="0.25">
      <c r="A78" s="12">
        <v>35</v>
      </c>
      <c r="B78" s="28" t="s">
        <v>62</v>
      </c>
      <c r="C78" s="36" t="s">
        <v>6</v>
      </c>
      <c r="D78" s="30">
        <f>0.003326982158*D76</f>
        <v>0.33261504124604996</v>
      </c>
      <c r="E78" s="22"/>
      <c r="F78" s="22">
        <f t="shared" ref="F78:P78" si="21">0.003326982158*F76</f>
        <v>0.51052541214509994</v>
      </c>
      <c r="G78" s="22"/>
      <c r="H78" s="22">
        <f t="shared" si="21"/>
        <v>9.4581944024242498E-2</v>
      </c>
      <c r="I78" s="22"/>
      <c r="J78" s="22">
        <f t="shared" si="21"/>
        <v>0.22519510481962499</v>
      </c>
      <c r="K78" s="22"/>
      <c r="L78" s="22">
        <f t="shared" si="21"/>
        <v>1.7922536059699949</v>
      </c>
      <c r="M78" s="22"/>
      <c r="N78" s="22">
        <f t="shared" si="21"/>
        <v>0.27218041034597995</v>
      </c>
      <c r="O78" s="22"/>
      <c r="P78" s="22">
        <f t="shared" si="21"/>
        <v>2.1527584059483433</v>
      </c>
      <c r="Q78" s="22"/>
    </row>
    <row r="79" spans="1:17" ht="38.25" x14ac:dyDescent="0.25">
      <c r="A79" s="12">
        <v>36</v>
      </c>
      <c r="B79" s="28" t="s">
        <v>5</v>
      </c>
      <c r="C79" s="36" t="s">
        <v>6</v>
      </c>
      <c r="D79" s="30">
        <f>0.03690328489*D76</f>
        <v>3.6894059068777496</v>
      </c>
      <c r="E79" s="22"/>
      <c r="F79" s="22">
        <f t="shared" ref="F79:P79" si="22">0.03690328489*F76</f>
        <v>5.6628090663704995</v>
      </c>
      <c r="G79" s="22"/>
      <c r="H79" s="22">
        <f t="shared" si="22"/>
        <v>1.0491142603165875</v>
      </c>
      <c r="I79" s="22"/>
      <c r="J79" s="22">
        <f t="shared" si="22"/>
        <v>2.497891095991875</v>
      </c>
      <c r="K79" s="22"/>
      <c r="L79" s="22">
        <f t="shared" si="22"/>
        <v>19.879891828455225</v>
      </c>
      <c r="M79" s="22"/>
      <c r="N79" s="22">
        <f t="shared" si="22"/>
        <v>3.0190577368508995</v>
      </c>
      <c r="O79" s="22"/>
      <c r="P79" s="22">
        <f t="shared" si="22"/>
        <v>23.878654282237356</v>
      </c>
      <c r="Q79" s="22"/>
    </row>
    <row r="80" spans="1:17" ht="38.25" x14ac:dyDescent="0.25">
      <c r="A80" s="12">
        <v>37</v>
      </c>
      <c r="B80" s="28" t="s">
        <v>63</v>
      </c>
      <c r="C80" s="36" t="s">
        <v>6</v>
      </c>
      <c r="D80" s="30">
        <f>0.07563437906*D76</f>
        <v>7.5615470465235006</v>
      </c>
      <c r="E80" s="22"/>
      <c r="F80" s="22">
        <f t="shared" ref="F80:P80" si="23">0.07563437906*F76</f>
        <v>11.606095466757001</v>
      </c>
      <c r="G80" s="22"/>
      <c r="H80" s="22">
        <f t="shared" si="23"/>
        <v>2.1501908537019752</v>
      </c>
      <c r="I80" s="22"/>
      <c r="J80" s="22">
        <f t="shared" si="23"/>
        <v>5.1195020326237506</v>
      </c>
      <c r="K80" s="22"/>
      <c r="L80" s="22">
        <f t="shared" si="23"/>
        <v>40.744429085569649</v>
      </c>
      <c r="M80" s="22"/>
      <c r="N80" s="22">
        <f t="shared" si="23"/>
        <v>6.1876485508985999</v>
      </c>
      <c r="O80" s="22"/>
      <c r="P80" s="22">
        <f t="shared" si="23"/>
        <v>48.940011568315235</v>
      </c>
      <c r="Q80" s="22"/>
    </row>
    <row r="81" spans="1:17" ht="38.25" x14ac:dyDescent="0.25">
      <c r="A81" s="12">
        <v>38</v>
      </c>
      <c r="B81" s="28" t="s">
        <v>7</v>
      </c>
      <c r="C81" s="36" t="s">
        <v>6</v>
      </c>
      <c r="D81" s="30">
        <f>0.008947034149*D76</f>
        <v>0.89447973904627487</v>
      </c>
      <c r="E81" s="22"/>
      <c r="F81" s="22">
        <f t="shared" ref="F81:P81" si="24">0.008947034149*F76</f>
        <v>1.3729223901640497</v>
      </c>
      <c r="G81" s="22"/>
      <c r="H81" s="22">
        <f t="shared" si="24"/>
        <v>0.25435299706338377</v>
      </c>
      <c r="I81" s="22"/>
      <c r="J81" s="22">
        <f t="shared" si="24"/>
        <v>0.60560237396043748</v>
      </c>
      <c r="K81" s="22"/>
      <c r="L81" s="22">
        <f t="shared" si="24"/>
        <v>4.8197896636516724</v>
      </c>
      <c r="M81" s="22"/>
      <c r="N81" s="22">
        <f t="shared" si="24"/>
        <v>0.73195686372968982</v>
      </c>
      <c r="O81" s="22"/>
      <c r="P81" s="22">
        <f t="shared" si="24"/>
        <v>5.7892714952655995</v>
      </c>
      <c r="Q81" s="22"/>
    </row>
    <row r="82" spans="1:17" ht="18" x14ac:dyDescent="0.25">
      <c r="A82" s="12"/>
      <c r="B82" s="38"/>
      <c r="C82" s="36"/>
      <c r="D82" s="30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1:17" ht="36" x14ac:dyDescent="0.25">
      <c r="A83" s="12">
        <v>40</v>
      </c>
      <c r="B83" s="39" t="s">
        <v>109</v>
      </c>
      <c r="C83" s="14"/>
      <c r="D83" s="30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1:17" ht="25.5" x14ac:dyDescent="0.25">
      <c r="A84" s="12">
        <v>41</v>
      </c>
      <c r="B84" s="13" t="s">
        <v>107</v>
      </c>
      <c r="C84" s="14" t="s">
        <v>104</v>
      </c>
      <c r="D84" s="30">
        <f>D4*D7*0.4*2.5</f>
        <v>301</v>
      </c>
      <c r="E84" s="22"/>
      <c r="F84" s="22">
        <f>F4*F7*0.4*2.5</f>
        <v>396</v>
      </c>
      <c r="G84" s="22"/>
      <c r="H84" s="22">
        <f>H7*H4</f>
        <v>252.70000000000002</v>
      </c>
      <c r="I84" s="22"/>
      <c r="J84" s="22"/>
      <c r="K84" s="22"/>
      <c r="L84" s="22">
        <f>L4*L7*0.4*0.6*2+0.75</f>
        <v>1354.8300000000002</v>
      </c>
      <c r="M84" s="22"/>
      <c r="N84" s="22"/>
      <c r="O84" s="22"/>
      <c r="P84" s="22">
        <f>P4*P7*0.4*2.5</f>
        <v>1846.8000000000002</v>
      </c>
      <c r="Q84" s="22"/>
    </row>
    <row r="85" spans="1:17" ht="25.5" x14ac:dyDescent="0.25">
      <c r="A85" s="12">
        <v>42</v>
      </c>
      <c r="B85" s="13" t="s">
        <v>108</v>
      </c>
      <c r="C85" s="14" t="s">
        <v>0</v>
      </c>
      <c r="D85" s="30">
        <f>D84</f>
        <v>301</v>
      </c>
      <c r="E85" s="22"/>
      <c r="F85" s="22">
        <f>F84</f>
        <v>396</v>
      </c>
      <c r="G85" s="22"/>
      <c r="H85" s="22">
        <f t="shared" ref="H85:P85" si="25">H84</f>
        <v>252.70000000000002</v>
      </c>
      <c r="I85" s="22"/>
      <c r="J85" s="22"/>
      <c r="K85" s="22"/>
      <c r="L85" s="22">
        <f t="shared" si="25"/>
        <v>1354.8300000000002</v>
      </c>
      <c r="M85" s="22"/>
      <c r="N85" s="22"/>
      <c r="O85" s="22"/>
      <c r="P85" s="22">
        <f t="shared" si="25"/>
        <v>1846.8000000000002</v>
      </c>
      <c r="Q85" s="22"/>
    </row>
    <row r="86" spans="1:17" ht="38.25" x14ac:dyDescent="0.25">
      <c r="A86" s="12">
        <v>43</v>
      </c>
      <c r="B86" s="13" t="s">
        <v>122</v>
      </c>
      <c r="C86" s="14" t="s">
        <v>1</v>
      </c>
      <c r="D86" s="30">
        <f>D85/3</f>
        <v>100.33333333333333</v>
      </c>
      <c r="E86" s="22"/>
      <c r="F86" s="22">
        <f t="shared" ref="F86:P86" si="26">F85/3</f>
        <v>132</v>
      </c>
      <c r="G86" s="22"/>
      <c r="H86" s="22">
        <f t="shared" si="26"/>
        <v>84.233333333333334</v>
      </c>
      <c r="I86" s="22"/>
      <c r="J86" s="22"/>
      <c r="K86" s="22"/>
      <c r="L86" s="22">
        <f t="shared" si="26"/>
        <v>451.61000000000007</v>
      </c>
      <c r="M86" s="22"/>
      <c r="N86" s="22"/>
      <c r="O86" s="22"/>
      <c r="P86" s="22">
        <f t="shared" si="26"/>
        <v>615.6</v>
      </c>
      <c r="Q86" s="22"/>
    </row>
    <row r="87" spans="1:17" x14ac:dyDescent="0.25">
      <c r="A87" s="12">
        <v>44</v>
      </c>
      <c r="B87" s="13"/>
      <c r="C87" s="14"/>
      <c r="D87" s="30"/>
      <c r="E87" s="22"/>
      <c r="F87" s="22">
        <f>F86*15</f>
        <v>1980</v>
      </c>
      <c r="G87" s="22"/>
      <c r="H87" s="22">
        <f t="shared" ref="H87:N87" si="27">H86*15</f>
        <v>1263.5</v>
      </c>
      <c r="I87" s="22"/>
      <c r="J87" s="22">
        <f t="shared" si="27"/>
        <v>0</v>
      </c>
      <c r="K87" s="22"/>
      <c r="L87" s="22">
        <f t="shared" si="27"/>
        <v>6774.1500000000015</v>
      </c>
      <c r="M87" s="22"/>
      <c r="N87" s="22">
        <f t="shared" si="27"/>
        <v>0</v>
      </c>
      <c r="O87" s="22"/>
      <c r="P87" s="22"/>
      <c r="Q87" s="22"/>
    </row>
    <row r="88" spans="1:17" x14ac:dyDescent="0.25">
      <c r="A88" s="12">
        <v>45</v>
      </c>
      <c r="B88" s="26" t="s">
        <v>110</v>
      </c>
      <c r="C88" s="36" t="s">
        <v>6</v>
      </c>
      <c r="D88" s="36">
        <v>4.6050000000000004</v>
      </c>
      <c r="E88" s="36"/>
      <c r="F88" s="36">
        <v>4.6050000000000004</v>
      </c>
      <c r="G88" s="36"/>
      <c r="H88" s="22"/>
      <c r="I88" s="22"/>
      <c r="J88" s="22"/>
      <c r="K88" s="22"/>
      <c r="L88" s="22"/>
      <c r="M88" s="22"/>
      <c r="N88" s="22"/>
      <c r="O88" s="22"/>
      <c r="P88" s="36">
        <v>4.6050000000000004</v>
      </c>
      <c r="Q88" s="36"/>
    </row>
    <row r="89" spans="1:17" ht="25.5" x14ac:dyDescent="0.25">
      <c r="A89" s="12">
        <v>46</v>
      </c>
      <c r="B89" s="26" t="s">
        <v>111</v>
      </c>
      <c r="C89" s="36" t="s">
        <v>6</v>
      </c>
      <c r="D89" s="36">
        <v>9.2100000000000009</v>
      </c>
      <c r="E89" s="36"/>
      <c r="F89" s="36">
        <v>9.2100000000000009</v>
      </c>
      <c r="G89" s="36"/>
      <c r="H89" s="22"/>
      <c r="I89" s="22"/>
      <c r="J89" s="22"/>
      <c r="K89" s="22"/>
      <c r="L89" s="22"/>
      <c r="M89" s="22"/>
      <c r="N89" s="22"/>
      <c r="O89" s="22"/>
      <c r="P89" s="36">
        <v>9.2100000000000009</v>
      </c>
      <c r="Q89" s="36"/>
    </row>
    <row r="90" spans="1:17" x14ac:dyDescent="0.25">
      <c r="A90" s="12">
        <v>47</v>
      </c>
      <c r="B90" s="26" t="s">
        <v>112</v>
      </c>
      <c r="C90" s="36" t="s">
        <v>6</v>
      </c>
      <c r="D90" s="36">
        <v>9.2100000000000009</v>
      </c>
      <c r="E90" s="36"/>
      <c r="F90" s="36">
        <v>9.2100000000000009</v>
      </c>
      <c r="G90" s="36"/>
      <c r="H90" s="22"/>
      <c r="I90" s="22"/>
      <c r="J90" s="22"/>
      <c r="K90" s="22"/>
      <c r="L90" s="22"/>
      <c r="M90" s="22"/>
      <c r="N90" s="22"/>
      <c r="O90" s="22"/>
      <c r="P90" s="36">
        <v>9.2100000000000009</v>
      </c>
      <c r="Q90" s="36"/>
    </row>
    <row r="91" spans="1:17" ht="25.5" x14ac:dyDescent="0.25">
      <c r="A91" s="12">
        <v>48</v>
      </c>
      <c r="B91" s="26" t="s">
        <v>113</v>
      </c>
      <c r="C91" s="36" t="s">
        <v>6</v>
      </c>
      <c r="D91" s="36">
        <v>4.891</v>
      </c>
      <c r="E91" s="36"/>
      <c r="F91" s="36">
        <v>4.891</v>
      </c>
      <c r="G91" s="36"/>
      <c r="H91" s="22"/>
      <c r="I91" s="22"/>
      <c r="J91" s="22"/>
      <c r="K91" s="22"/>
      <c r="L91" s="22"/>
      <c r="M91" s="22"/>
      <c r="N91" s="22"/>
      <c r="O91" s="22"/>
      <c r="P91" s="36">
        <v>4.891</v>
      </c>
      <c r="Q91" s="36"/>
    </row>
    <row r="92" spans="1:17" ht="25.5" x14ac:dyDescent="0.25">
      <c r="A92" s="12">
        <v>49</v>
      </c>
      <c r="B92" s="26" t="s">
        <v>114</v>
      </c>
      <c r="C92" s="36" t="s">
        <v>6</v>
      </c>
      <c r="D92" s="36">
        <v>4.6050000000000004</v>
      </c>
      <c r="E92" s="36"/>
      <c r="F92" s="36">
        <v>4.6050000000000004</v>
      </c>
      <c r="G92" s="36"/>
      <c r="H92" s="22"/>
      <c r="I92" s="22"/>
      <c r="J92" s="22"/>
      <c r="K92" s="22"/>
      <c r="L92" s="22"/>
      <c r="M92" s="22"/>
      <c r="N92" s="22"/>
      <c r="O92" s="22"/>
      <c r="P92" s="36">
        <v>4.6050000000000004</v>
      </c>
      <c r="Q92" s="36"/>
    </row>
    <row r="93" spans="1:17" ht="36" x14ac:dyDescent="0.25">
      <c r="A93" s="12">
        <v>57</v>
      </c>
      <c r="B93" s="40" t="s">
        <v>115</v>
      </c>
      <c r="C93" s="36"/>
      <c r="D93" s="30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 ht="18" x14ac:dyDescent="0.25">
      <c r="A94" s="12">
        <v>77</v>
      </c>
      <c r="B94" s="40" t="s">
        <v>116</v>
      </c>
      <c r="C94" s="20"/>
      <c r="D94" s="30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1:17" x14ac:dyDescent="0.25">
      <c r="A95" s="12">
        <v>79</v>
      </c>
      <c r="B95" s="27" t="s">
        <v>116</v>
      </c>
      <c r="C95" s="20" t="s">
        <v>118</v>
      </c>
      <c r="D95" s="30">
        <f>0.116/3*D5</f>
        <v>2.2813333333333334</v>
      </c>
      <c r="E95" s="22"/>
      <c r="F95" s="22">
        <f>0.116/3*F5</f>
        <v>3.170666666666667</v>
      </c>
      <c r="G95" s="22"/>
      <c r="H95" s="22">
        <f>0.116/3*H5</f>
        <v>0.92993333333333339</v>
      </c>
      <c r="I95" s="22"/>
      <c r="J95" s="22">
        <f>0.116/3*J5</f>
        <v>1.3166</v>
      </c>
      <c r="K95" s="22"/>
      <c r="L95" s="22">
        <f>0.116/3*L5</f>
        <v>4.4273333333333333</v>
      </c>
      <c r="M95" s="22"/>
      <c r="N95" s="22">
        <f>0.116/3*N5</f>
        <v>2.3200000000000003</v>
      </c>
      <c r="O95" s="22"/>
      <c r="P95" s="22">
        <f>0.116/3*P5</f>
        <v>3.9904000000000002</v>
      </c>
      <c r="Q95" s="22"/>
    </row>
    <row r="96" spans="1:17" x14ac:dyDescent="0.25">
      <c r="A96" s="12">
        <v>82</v>
      </c>
      <c r="B96" s="27" t="s">
        <v>117</v>
      </c>
      <c r="C96" s="20" t="s">
        <v>1</v>
      </c>
      <c r="D96" s="30">
        <f>D5*1.1*2*2</f>
        <v>259.60000000000002</v>
      </c>
      <c r="E96" s="22"/>
      <c r="F96" s="22">
        <f>F5*1.1*2*2</f>
        <v>360.8</v>
      </c>
      <c r="G96" s="22"/>
      <c r="H96" s="22">
        <f>H5*1.1*2*2</f>
        <v>105.82000000000001</v>
      </c>
      <c r="I96" s="22"/>
      <c r="J96" s="22">
        <f>J5*1.1*2*2</f>
        <v>149.82</v>
      </c>
      <c r="K96" s="22"/>
      <c r="L96" s="22">
        <f>L5*1.1*2*2</f>
        <v>503.80000000000007</v>
      </c>
      <c r="M96" s="22"/>
      <c r="N96" s="22">
        <f>N5*1.1*2*2</f>
        <v>264</v>
      </c>
      <c r="O96" s="22"/>
      <c r="P96" s="22">
        <f>P5*1.1*2*2</f>
        <v>454.08000000000004</v>
      </c>
      <c r="Q96" s="22"/>
    </row>
    <row r="97" spans="1:17" ht="25.5" x14ac:dyDescent="0.25">
      <c r="A97" s="12">
        <v>83</v>
      </c>
      <c r="B97" s="27" t="s">
        <v>119</v>
      </c>
      <c r="C97" s="20" t="s">
        <v>1</v>
      </c>
      <c r="D97" s="30">
        <f>D96</f>
        <v>259.60000000000002</v>
      </c>
      <c r="E97" s="22"/>
      <c r="F97" s="22">
        <f t="shared" ref="F97:P97" si="28">F96</f>
        <v>360.8</v>
      </c>
      <c r="G97" s="22"/>
      <c r="H97" s="22">
        <f t="shared" si="28"/>
        <v>105.82000000000001</v>
      </c>
      <c r="I97" s="22"/>
      <c r="J97" s="22">
        <f t="shared" si="28"/>
        <v>149.82</v>
      </c>
      <c r="K97" s="22"/>
      <c r="L97" s="22">
        <f t="shared" si="28"/>
        <v>503.80000000000007</v>
      </c>
      <c r="M97" s="22"/>
      <c r="N97" s="22">
        <f t="shared" si="28"/>
        <v>264</v>
      </c>
      <c r="O97" s="22"/>
      <c r="P97" s="22">
        <f t="shared" si="28"/>
        <v>454.08000000000004</v>
      </c>
      <c r="Q97" s="22"/>
    </row>
    <row r="98" spans="1:17" x14ac:dyDescent="0.25">
      <c r="A98" s="12">
        <v>84</v>
      </c>
      <c r="B98" s="5" t="s">
        <v>123</v>
      </c>
      <c r="C98" s="20" t="s">
        <v>2</v>
      </c>
      <c r="D98" s="30">
        <f>0.4*D97</f>
        <v>103.84000000000002</v>
      </c>
      <c r="E98" s="22"/>
      <c r="F98" s="22">
        <f t="shared" ref="F98:P98" si="29">0.2*F97</f>
        <v>72.160000000000011</v>
      </c>
      <c r="G98" s="22"/>
      <c r="H98" s="22">
        <f t="shared" si="29"/>
        <v>21.164000000000001</v>
      </c>
      <c r="I98" s="22"/>
      <c r="J98" s="22">
        <f t="shared" si="29"/>
        <v>29.963999999999999</v>
      </c>
      <c r="K98" s="22"/>
      <c r="L98" s="22">
        <f t="shared" si="29"/>
        <v>100.76000000000002</v>
      </c>
      <c r="M98" s="22"/>
      <c r="N98" s="22">
        <f t="shared" si="29"/>
        <v>52.800000000000004</v>
      </c>
      <c r="O98" s="22"/>
      <c r="P98" s="22">
        <f t="shared" si="29"/>
        <v>90.816000000000017</v>
      </c>
      <c r="Q98" s="22"/>
    </row>
    <row r="99" spans="1:17" x14ac:dyDescent="0.25">
      <c r="A99" s="12">
        <v>85</v>
      </c>
      <c r="B99" s="5" t="s">
        <v>120</v>
      </c>
      <c r="C99" s="20" t="s">
        <v>1</v>
      </c>
      <c r="D99" s="30">
        <f>D97</f>
        <v>259.60000000000002</v>
      </c>
      <c r="E99" s="22"/>
      <c r="F99" s="22">
        <f t="shared" ref="F99:P100" si="30">F97</f>
        <v>360.8</v>
      </c>
      <c r="G99" s="22"/>
      <c r="H99" s="22">
        <f t="shared" si="30"/>
        <v>105.82000000000001</v>
      </c>
      <c r="I99" s="22"/>
      <c r="J99" s="22">
        <f t="shared" si="30"/>
        <v>149.82</v>
      </c>
      <c r="K99" s="22"/>
      <c r="L99" s="22">
        <f t="shared" si="30"/>
        <v>503.80000000000007</v>
      </c>
      <c r="M99" s="22"/>
      <c r="N99" s="22">
        <f t="shared" si="30"/>
        <v>264</v>
      </c>
      <c r="O99" s="22"/>
      <c r="P99" s="22">
        <f t="shared" si="30"/>
        <v>454.08000000000004</v>
      </c>
      <c r="Q99" s="22"/>
    </row>
    <row r="100" spans="1:17" x14ac:dyDescent="0.25">
      <c r="A100" s="12">
        <v>86</v>
      </c>
      <c r="B100" s="5" t="s">
        <v>124</v>
      </c>
      <c r="C100" s="20" t="s">
        <v>2</v>
      </c>
      <c r="D100" s="30">
        <f>D98</f>
        <v>103.84000000000002</v>
      </c>
      <c r="E100" s="22"/>
      <c r="F100" s="22">
        <f t="shared" si="30"/>
        <v>72.160000000000011</v>
      </c>
      <c r="G100" s="22"/>
      <c r="H100" s="22">
        <f t="shared" si="30"/>
        <v>21.164000000000001</v>
      </c>
      <c r="I100" s="22"/>
      <c r="J100" s="22">
        <f t="shared" si="30"/>
        <v>29.963999999999999</v>
      </c>
      <c r="K100" s="22"/>
      <c r="L100" s="22">
        <f t="shared" si="30"/>
        <v>100.76000000000002</v>
      </c>
      <c r="M100" s="22"/>
      <c r="N100" s="22">
        <f t="shared" si="30"/>
        <v>52.800000000000004</v>
      </c>
      <c r="O100" s="22"/>
      <c r="P100" s="22">
        <f t="shared" si="30"/>
        <v>90.816000000000017</v>
      </c>
      <c r="Q100" s="22"/>
    </row>
  </sheetData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0" sqref="K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7. КМ 227+026</vt:lpstr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Комп2</cp:lastModifiedBy>
  <cp:lastPrinted>2021-06-04T09:25:09Z</cp:lastPrinted>
  <dcterms:created xsi:type="dcterms:W3CDTF">2021-05-09T16:44:54Z</dcterms:created>
  <dcterms:modified xsi:type="dcterms:W3CDTF">2021-06-04T09:29:22Z</dcterms:modified>
</cp:coreProperties>
</file>