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2300" windowHeight="11895"/>
  </bookViews>
  <sheets>
    <sheet name="смета" sheetId="5" r:id="rId1"/>
    <sheet name="Лист1" sheetId="4" r:id="rId2"/>
    <sheet name="Лист2" sheetId="6" r:id="rId3"/>
  </sheets>
  <definedNames>
    <definedName name="_xlnm.Print_Area" localSheetId="0">смета!$A$1:$K$25</definedName>
  </definedNames>
  <calcPr calcId="125725"/>
</workbook>
</file>

<file path=xl/calcChain.xml><?xml version="1.0" encoding="utf-8"?>
<calcChain xmlns="http://schemas.openxmlformats.org/spreadsheetml/2006/main">
  <c r="J8" i="5"/>
  <c r="J7"/>
  <c r="J6"/>
  <c r="J12"/>
  <c r="J11"/>
  <c r="J21" l="1"/>
  <c r="J20"/>
  <c r="J19"/>
  <c r="J18"/>
  <c r="J17"/>
  <c r="J16"/>
  <c r="J10"/>
  <c r="J9"/>
  <c r="J5"/>
  <c r="J22" l="1"/>
  <c r="J13"/>
  <c r="M21" i="4" l="1"/>
  <c r="K12" l="1"/>
  <c r="K5"/>
  <c r="K4"/>
  <c r="G14"/>
  <c r="G11"/>
  <c r="G6"/>
  <c r="G3"/>
  <c r="D20" l="1"/>
  <c r="E20"/>
  <c r="F20"/>
  <c r="G20"/>
  <c r="H20"/>
  <c r="I20"/>
  <c r="J20"/>
  <c r="K20"/>
  <c r="K21" s="1"/>
  <c r="L20"/>
  <c r="M20"/>
  <c r="N20"/>
  <c r="C20"/>
  <c r="D2"/>
  <c r="H2"/>
  <c r="H11"/>
  <c r="H4"/>
  <c r="C14"/>
  <c r="C8"/>
  <c r="C12"/>
  <c r="M11"/>
  <c r="L4"/>
  <c r="D4"/>
  <c r="M4"/>
  <c r="D11"/>
  <c r="C15"/>
  <c r="E14"/>
  <c r="F14"/>
  <c r="E12"/>
  <c r="F13"/>
  <c r="F4"/>
  <c r="E11"/>
  <c r="F10"/>
  <c r="F6"/>
  <c r="E6"/>
  <c r="F5"/>
  <c r="E3"/>
  <c r="C10" l="1"/>
  <c r="C9"/>
  <c r="C7"/>
  <c r="C5"/>
  <c r="C4"/>
  <c r="C3"/>
  <c r="C2"/>
</calcChain>
</file>

<file path=xl/sharedStrings.xml><?xml version="1.0" encoding="utf-8"?>
<sst xmlns="http://schemas.openxmlformats.org/spreadsheetml/2006/main" count="70" uniqueCount="55">
  <si>
    <t>№№   пп</t>
  </si>
  <si>
    <t>Ед  изм.</t>
  </si>
  <si>
    <t>Кол-во</t>
  </si>
  <si>
    <t>Цена</t>
  </si>
  <si>
    <t>Стоим.  грн</t>
  </si>
  <si>
    <t>м2</t>
  </si>
  <si>
    <t>Наименование работ</t>
  </si>
  <si>
    <t>м3</t>
  </si>
  <si>
    <t>1-й этаж</t>
  </si>
  <si>
    <t>2-й этаж</t>
  </si>
  <si>
    <t>примечание</t>
  </si>
  <si>
    <t>м п</t>
  </si>
  <si>
    <t xml:space="preserve">Устройство горизонтальной гидроизоляции из рубероида </t>
  </si>
  <si>
    <t>прокладная гидроизоляц</t>
  </si>
  <si>
    <t>вентканали</t>
  </si>
  <si>
    <t>перегородки 120, м2</t>
  </si>
  <si>
    <t>кладка газоблоку 2 пов</t>
  </si>
  <si>
    <t>вентканалы</t>
  </si>
  <si>
    <t>лицевой</t>
  </si>
  <si>
    <t>2 эт перегородки 250, м3</t>
  </si>
  <si>
    <t>2 эт перегородки 120, м2</t>
  </si>
  <si>
    <t>подвал перегородки 120, м2</t>
  </si>
  <si>
    <t>ось 1</t>
  </si>
  <si>
    <t>ось2</t>
  </si>
  <si>
    <t>ось 3</t>
  </si>
  <si>
    <t>ось 4</t>
  </si>
  <si>
    <t>ось 5</t>
  </si>
  <si>
    <t>ось В</t>
  </si>
  <si>
    <t>ось Г</t>
  </si>
  <si>
    <t>ось 6</t>
  </si>
  <si>
    <t>ось 7</t>
  </si>
  <si>
    <t>ось А</t>
  </si>
  <si>
    <t>ось Б</t>
  </si>
  <si>
    <t>ось Д</t>
  </si>
  <si>
    <t>ось Е</t>
  </si>
  <si>
    <t>ось Ж</t>
  </si>
  <si>
    <t>кладка 2НФ 1 пов</t>
  </si>
  <si>
    <t>перегородки 380, м3</t>
  </si>
  <si>
    <t>подвал перегородки 380, м3</t>
  </si>
  <si>
    <t>м  п</t>
  </si>
  <si>
    <t>Устройство армопояса на отметке +4,200 с армированием и устройством опалубки</t>
  </si>
  <si>
    <t>Устройство монолитных ж/б перемычек в несущих стенах толщ. 380мм с приготовлением раствора</t>
  </si>
  <si>
    <t xml:space="preserve">В расценку входит:
1. Приготовление раствора на месте бетономешалкой.
2. Разгрузка и подача кирпича на этаж автокраном.
</t>
  </si>
  <si>
    <t xml:space="preserve">В расценку входит:
Устройство опалубки из готовых деревянных щитов, армирование, бетонирование (без приготовления бетона)
</t>
  </si>
  <si>
    <t>В расценку входит:
Устройство опалубки из готовых деревянных щитов, армирование, бетонирование (без приготовления бетона)</t>
  </si>
  <si>
    <t>15.06.2021 г.</t>
  </si>
  <si>
    <t>Устройство и разборка лесов для кладки вентканалов до отм. +7,950 и +8.550</t>
  </si>
  <si>
    <t>Приготовление и подача бетона в опалубку</t>
  </si>
  <si>
    <t>Устройство армопояса 380х400 на отметке +2,900 с армированием и устройством опалубки</t>
  </si>
  <si>
    <t xml:space="preserve">Кладка стен дома №1 пос. Плюты Обуховского района </t>
  </si>
  <si>
    <t>Проживание на объекте</t>
  </si>
  <si>
    <t>Кладка наружных стен толщ. 380 мм из кирпича 2NF (250*120*138) с приготовлением раствора</t>
  </si>
  <si>
    <t>Кладка внутренних перегородок толщ.120 мм из кирпича 2NF (250*120*138) с приготовлением раствора</t>
  </si>
  <si>
    <t>Кладка внутренних стен толщ. 380 мм из  кирпича 2NF (250*120*138) с приготовлением раствора</t>
  </si>
  <si>
    <t>Кладка вент- и дымовых каналов из кирпича 2NF (250*120*138) с приготовлением раствора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</si>
</sst>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i/>
      <u/>
      <sz val="14"/>
      <name val="Arial Cyr"/>
      <charset val="204"/>
    </font>
    <font>
      <b/>
      <u/>
      <sz val="12"/>
      <name val="Arial Cyr"/>
      <charset val="204"/>
    </font>
    <font>
      <b/>
      <i/>
      <u/>
      <sz val="12"/>
      <name val="Arial Cyr"/>
      <charset val="204"/>
    </font>
    <font>
      <sz val="14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5" fillId="0" borderId="0" xfId="0" applyFont="1"/>
    <xf numFmtId="0" fontId="0" fillId="0" borderId="2" xfId="0" applyBorder="1"/>
    <xf numFmtId="0" fontId="0" fillId="0" borderId="0" xfId="0" applyBorder="1"/>
    <xf numFmtId="0" fontId="0" fillId="0" borderId="2" xfId="0" applyBorder="1" applyAlignment="1">
      <alignment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1" fontId="2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center"/>
    </xf>
    <xf numFmtId="0" fontId="0" fillId="2" borderId="2" xfId="0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 vertical="center" wrapText="1"/>
    </xf>
    <xf numFmtId="0" fontId="0" fillId="3" borderId="0" xfId="0" applyFill="1"/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2" fillId="2" borderId="8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1" fontId="1" fillId="2" borderId="9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5" fillId="2" borderId="2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/>
    </xf>
    <xf numFmtId="1" fontId="5" fillId="2" borderId="0" xfId="0" applyNumberFormat="1" applyFont="1" applyFill="1" applyBorder="1" applyAlignment="1"/>
    <xf numFmtId="0" fontId="5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/>
    <xf numFmtId="0" fontId="0" fillId="2" borderId="0" xfId="0" applyFill="1"/>
    <xf numFmtId="0" fontId="5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1" fontId="7" fillId="2" borderId="9" xfId="0" applyNumberFormat="1" applyFont="1" applyFill="1" applyBorder="1" applyAlignment="1"/>
    <xf numFmtId="0" fontId="5" fillId="2" borderId="8" xfId="0" applyFont="1" applyFill="1" applyBorder="1"/>
    <xf numFmtId="0" fontId="2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/>
    <xf numFmtId="0" fontId="5" fillId="2" borderId="1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/>
    <xf numFmtId="0" fontId="2" fillId="2" borderId="0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wrapText="1"/>
    </xf>
    <xf numFmtId="16" fontId="1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85" zoomScaleNormal="85" workbookViewId="0">
      <selection activeCell="H6" sqref="H6"/>
    </sheetView>
  </sheetViews>
  <sheetFormatPr defaultRowHeight="12.75"/>
  <cols>
    <col min="1" max="1" width="7.140625" customWidth="1"/>
    <col min="6" max="6" width="12.140625" customWidth="1"/>
    <col min="7" max="7" width="8.5703125" customWidth="1"/>
    <col min="8" max="8" width="8.28515625" customWidth="1"/>
    <col min="9" max="9" width="9.5703125" customWidth="1"/>
    <col min="10" max="10" width="11.85546875" customWidth="1"/>
    <col min="11" max="11" width="27.42578125" customWidth="1"/>
  </cols>
  <sheetData>
    <row r="1" spans="1:11" ht="42.75" customHeight="1">
      <c r="A1" s="71" t="s">
        <v>49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5.75">
      <c r="A2" s="28"/>
      <c r="B2" s="1"/>
      <c r="C2" s="2"/>
      <c r="D2" s="28"/>
      <c r="E2" s="28"/>
      <c r="F2" s="28"/>
      <c r="G2" s="28"/>
      <c r="H2" s="76"/>
      <c r="I2" s="76"/>
      <c r="J2" s="76"/>
      <c r="K2" s="59" t="s">
        <v>45</v>
      </c>
    </row>
    <row r="3" spans="1:11" ht="30">
      <c r="A3" s="40" t="s">
        <v>0</v>
      </c>
      <c r="B3" s="77" t="s">
        <v>6</v>
      </c>
      <c r="C3" s="77"/>
      <c r="D3" s="77"/>
      <c r="E3" s="77"/>
      <c r="F3" s="77"/>
      <c r="G3" s="41" t="s">
        <v>1</v>
      </c>
      <c r="H3" s="41" t="s">
        <v>2</v>
      </c>
      <c r="I3" s="42" t="s">
        <v>3</v>
      </c>
      <c r="J3" s="41" t="s">
        <v>4</v>
      </c>
      <c r="K3" s="43" t="s">
        <v>10</v>
      </c>
    </row>
    <row r="4" spans="1:11" s="3" customFormat="1" ht="24" customHeight="1">
      <c r="A4" s="39"/>
      <c r="B4" s="75" t="s">
        <v>8</v>
      </c>
      <c r="C4" s="75"/>
      <c r="D4" s="75"/>
      <c r="E4" s="75"/>
      <c r="F4" s="75"/>
      <c r="G4" s="30"/>
      <c r="H4" s="31"/>
      <c r="I4" s="32"/>
      <c r="J4" s="33"/>
      <c r="K4" s="34"/>
    </row>
    <row r="5" spans="1:11" s="3" customFormat="1" ht="27.75" customHeight="1">
      <c r="A5" s="13">
        <v>1</v>
      </c>
      <c r="B5" s="65" t="s">
        <v>12</v>
      </c>
      <c r="C5" s="65"/>
      <c r="D5" s="65"/>
      <c r="E5" s="65"/>
      <c r="F5" s="65"/>
      <c r="G5" s="9" t="s">
        <v>5</v>
      </c>
      <c r="H5" s="8">
        <v>62</v>
      </c>
      <c r="I5" s="10"/>
      <c r="J5" s="12">
        <f t="shared" ref="J5:J12" si="0">H5*I5</f>
        <v>0</v>
      </c>
      <c r="K5" s="66" t="s">
        <v>42</v>
      </c>
    </row>
    <row r="6" spans="1:11" s="3" customFormat="1" ht="45.75" customHeight="1">
      <c r="A6" s="13">
        <v>2</v>
      </c>
      <c r="B6" s="65" t="s">
        <v>51</v>
      </c>
      <c r="C6" s="65"/>
      <c r="D6" s="65"/>
      <c r="E6" s="65"/>
      <c r="F6" s="65"/>
      <c r="G6" s="9" t="s">
        <v>7</v>
      </c>
      <c r="H6" s="8">
        <v>59.23</v>
      </c>
      <c r="I6" s="10"/>
      <c r="J6" s="12">
        <f t="shared" si="0"/>
        <v>0</v>
      </c>
      <c r="K6" s="67"/>
    </row>
    <row r="7" spans="1:11" s="3" customFormat="1" ht="42" customHeight="1">
      <c r="A7" s="13">
        <v>3</v>
      </c>
      <c r="B7" s="65" t="s">
        <v>53</v>
      </c>
      <c r="C7" s="65"/>
      <c r="D7" s="65"/>
      <c r="E7" s="65"/>
      <c r="F7" s="65"/>
      <c r="G7" s="9" t="s">
        <v>7</v>
      </c>
      <c r="H7" s="8">
        <v>27.83</v>
      </c>
      <c r="I7" s="10"/>
      <c r="J7" s="12">
        <f t="shared" si="0"/>
        <v>0</v>
      </c>
      <c r="K7" s="67"/>
    </row>
    <row r="8" spans="1:11" s="3" customFormat="1" ht="42" customHeight="1">
      <c r="A8" s="13">
        <v>4</v>
      </c>
      <c r="B8" s="65" t="s">
        <v>52</v>
      </c>
      <c r="C8" s="65"/>
      <c r="D8" s="65"/>
      <c r="E8" s="65"/>
      <c r="F8" s="65"/>
      <c r="G8" s="9" t="s">
        <v>5</v>
      </c>
      <c r="H8" s="8">
        <v>119.3</v>
      </c>
      <c r="I8" s="10"/>
      <c r="J8" s="12">
        <f t="shared" si="0"/>
        <v>0</v>
      </c>
      <c r="K8" s="67"/>
    </row>
    <row r="9" spans="1:11" ht="48" customHeight="1">
      <c r="A9" s="13">
        <v>5</v>
      </c>
      <c r="B9" s="65" t="s">
        <v>54</v>
      </c>
      <c r="C9" s="65"/>
      <c r="D9" s="65"/>
      <c r="E9" s="65"/>
      <c r="F9" s="65"/>
      <c r="G9" s="9" t="s">
        <v>39</v>
      </c>
      <c r="H9" s="8">
        <v>18.2</v>
      </c>
      <c r="I9" s="10"/>
      <c r="J9" s="12">
        <f>H9*I9</f>
        <v>0</v>
      </c>
      <c r="K9" s="67"/>
    </row>
    <row r="10" spans="1:11" ht="27.75" customHeight="1">
      <c r="A10" s="13">
        <v>6</v>
      </c>
      <c r="B10" s="65" t="s">
        <v>41</v>
      </c>
      <c r="C10" s="65"/>
      <c r="D10" s="65"/>
      <c r="E10" s="65"/>
      <c r="F10" s="65"/>
      <c r="G10" s="9" t="s">
        <v>11</v>
      </c>
      <c r="H10" s="8">
        <v>5</v>
      </c>
      <c r="I10" s="10"/>
      <c r="J10" s="12">
        <f t="shared" si="0"/>
        <v>0</v>
      </c>
      <c r="K10" s="68"/>
    </row>
    <row r="11" spans="1:11" ht="99" customHeight="1">
      <c r="A11" s="13">
        <v>7</v>
      </c>
      <c r="B11" s="72" t="s">
        <v>48</v>
      </c>
      <c r="C11" s="73"/>
      <c r="D11" s="73"/>
      <c r="E11" s="73"/>
      <c r="F11" s="74"/>
      <c r="G11" s="9" t="s">
        <v>11</v>
      </c>
      <c r="H11" s="8">
        <v>105</v>
      </c>
      <c r="I11" s="10"/>
      <c r="J11" s="12">
        <f t="shared" si="0"/>
        <v>0</v>
      </c>
      <c r="K11" s="58" t="s">
        <v>43</v>
      </c>
    </row>
    <row r="12" spans="1:11" ht="30" customHeight="1" thickBot="1">
      <c r="A12" s="13">
        <v>8</v>
      </c>
      <c r="B12" s="65" t="s">
        <v>47</v>
      </c>
      <c r="C12" s="65"/>
      <c r="D12" s="65"/>
      <c r="E12" s="65"/>
      <c r="F12" s="65"/>
      <c r="G12" s="9" t="s">
        <v>7</v>
      </c>
      <c r="H12" s="8">
        <v>16</v>
      </c>
      <c r="I12" s="10"/>
      <c r="J12" s="12">
        <f t="shared" si="0"/>
        <v>0</v>
      </c>
      <c r="K12" s="29"/>
    </row>
    <row r="13" spans="1:11" ht="16.5" thickBot="1">
      <c r="A13" s="23"/>
      <c r="B13" s="24"/>
      <c r="C13" s="24"/>
      <c r="D13" s="24"/>
      <c r="E13" s="24"/>
      <c r="F13" s="24"/>
      <c r="G13" s="25"/>
      <c r="H13" s="26"/>
      <c r="I13" s="21"/>
      <c r="J13" s="44">
        <f>SUM(J5:J10)</f>
        <v>0</v>
      </c>
      <c r="K13" s="45"/>
    </row>
    <row r="14" spans="1:1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s="3" customFormat="1" ht="16.5" customHeight="1">
      <c r="A15" s="47"/>
      <c r="B15" s="64" t="s">
        <v>9</v>
      </c>
      <c r="C15" s="64"/>
      <c r="D15" s="64"/>
      <c r="E15" s="64"/>
      <c r="F15" s="64"/>
      <c r="G15" s="48"/>
      <c r="H15" s="49"/>
      <c r="I15" s="50"/>
      <c r="J15" s="51"/>
      <c r="K15" s="52"/>
    </row>
    <row r="16" spans="1:11" s="3" customFormat="1" ht="44.25" customHeight="1">
      <c r="A16" s="15">
        <v>1</v>
      </c>
      <c r="B16" s="65" t="s">
        <v>51</v>
      </c>
      <c r="C16" s="65"/>
      <c r="D16" s="65"/>
      <c r="E16" s="65"/>
      <c r="F16" s="65"/>
      <c r="G16" s="53" t="s">
        <v>7</v>
      </c>
      <c r="H16" s="16">
        <v>30.44</v>
      </c>
      <c r="I16" s="54"/>
      <c r="J16" s="55">
        <f>H16*I16</f>
        <v>0</v>
      </c>
      <c r="K16" s="69" t="s">
        <v>42</v>
      </c>
    </row>
    <row r="17" spans="1:11" s="3" customFormat="1" ht="44.25" customHeight="1">
      <c r="A17" s="15">
        <v>2</v>
      </c>
      <c r="B17" s="65" t="s">
        <v>52</v>
      </c>
      <c r="C17" s="65"/>
      <c r="D17" s="65"/>
      <c r="E17" s="65"/>
      <c r="F17" s="65"/>
      <c r="G17" s="9" t="s">
        <v>5</v>
      </c>
      <c r="H17" s="7">
        <v>28.8</v>
      </c>
      <c r="I17" s="11"/>
      <c r="J17" s="12">
        <f>H17*I17</f>
        <v>0</v>
      </c>
      <c r="K17" s="70"/>
    </row>
    <row r="18" spans="1:11" s="3" customFormat="1" ht="44.25" customHeight="1">
      <c r="A18" s="15">
        <v>3</v>
      </c>
      <c r="B18" s="65" t="s">
        <v>54</v>
      </c>
      <c r="C18" s="65"/>
      <c r="D18" s="65"/>
      <c r="E18" s="65"/>
      <c r="F18" s="65"/>
      <c r="G18" s="9" t="s">
        <v>11</v>
      </c>
      <c r="H18" s="7">
        <v>65.55</v>
      </c>
      <c r="I18" s="11"/>
      <c r="J18" s="12">
        <f t="shared" ref="J18:J21" si="1">H18*I18</f>
        <v>0</v>
      </c>
      <c r="K18" s="70"/>
    </row>
    <row r="19" spans="1:11" s="3" customFormat="1" ht="28.5" customHeight="1">
      <c r="A19" s="15">
        <v>4</v>
      </c>
      <c r="B19" s="61" t="s">
        <v>46</v>
      </c>
      <c r="C19" s="62"/>
      <c r="D19" s="62"/>
      <c r="E19" s="62"/>
      <c r="F19" s="63"/>
      <c r="G19" s="53" t="s">
        <v>5</v>
      </c>
      <c r="H19" s="16">
        <v>60</v>
      </c>
      <c r="I19" s="54"/>
      <c r="J19" s="55">
        <f t="shared" si="1"/>
        <v>0</v>
      </c>
      <c r="K19" s="70"/>
    </row>
    <row r="20" spans="1:11" s="3" customFormat="1" ht="95.25" customHeight="1">
      <c r="A20" s="15">
        <v>5</v>
      </c>
      <c r="B20" s="72" t="s">
        <v>40</v>
      </c>
      <c r="C20" s="73"/>
      <c r="D20" s="73"/>
      <c r="E20" s="73"/>
      <c r="F20" s="74"/>
      <c r="G20" s="9" t="s">
        <v>11</v>
      </c>
      <c r="H20" s="7">
        <v>23</v>
      </c>
      <c r="I20" s="11"/>
      <c r="J20" s="12">
        <f t="shared" si="1"/>
        <v>0</v>
      </c>
      <c r="K20" s="57" t="s">
        <v>44</v>
      </c>
    </row>
    <row r="21" spans="1:11" ht="33.75" customHeight="1" thickBot="1">
      <c r="A21" s="15">
        <v>6</v>
      </c>
      <c r="B21" s="61" t="s">
        <v>47</v>
      </c>
      <c r="C21" s="62"/>
      <c r="D21" s="62"/>
      <c r="E21" s="62"/>
      <c r="F21" s="63"/>
      <c r="G21" s="9" t="s">
        <v>7</v>
      </c>
      <c r="H21" s="7">
        <v>3</v>
      </c>
      <c r="I21" s="11"/>
      <c r="J21" s="12">
        <f t="shared" si="1"/>
        <v>0</v>
      </c>
      <c r="K21" s="15"/>
    </row>
    <row r="22" spans="1:11" s="3" customFormat="1" ht="31.5" customHeight="1" thickBot="1">
      <c r="A22" s="46"/>
      <c r="B22" s="56"/>
      <c r="C22" s="56"/>
      <c r="D22" s="56"/>
      <c r="E22" s="56"/>
      <c r="F22" s="56"/>
      <c r="G22" s="35"/>
      <c r="H22" s="36"/>
      <c r="I22" s="22"/>
      <c r="J22" s="27">
        <f>SUM(J16:J21)</f>
        <v>0</v>
      </c>
      <c r="K22" s="37"/>
    </row>
    <row r="23" spans="1:1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5" spans="1:11" ht="18">
      <c r="B25" s="60" t="s">
        <v>50</v>
      </c>
      <c r="C25" s="60"/>
      <c r="D25" s="60"/>
      <c r="E25" s="60"/>
      <c r="F25" s="60"/>
      <c r="G25" s="60"/>
      <c r="H25" s="60"/>
      <c r="I25" s="60"/>
      <c r="J25" s="60"/>
      <c r="K25" s="60"/>
    </row>
  </sheetData>
  <mergeCells count="22">
    <mergeCell ref="K5:K10"/>
    <mergeCell ref="K16:K19"/>
    <mergeCell ref="A1:K1"/>
    <mergeCell ref="B19:F19"/>
    <mergeCell ref="B20:F20"/>
    <mergeCell ref="B12:F12"/>
    <mergeCell ref="B8:F8"/>
    <mergeCell ref="B9:F9"/>
    <mergeCell ref="B10:F10"/>
    <mergeCell ref="B4:F4"/>
    <mergeCell ref="B5:F5"/>
    <mergeCell ref="B6:F6"/>
    <mergeCell ref="B7:F7"/>
    <mergeCell ref="B11:F11"/>
    <mergeCell ref="H2:J2"/>
    <mergeCell ref="B3:F3"/>
    <mergeCell ref="B25:K25"/>
    <mergeCell ref="B21:F21"/>
    <mergeCell ref="B15:F15"/>
    <mergeCell ref="B16:F16"/>
    <mergeCell ref="B17:F17"/>
    <mergeCell ref="B18:F18"/>
  </mergeCells>
  <pageMargins left="0.36" right="0.19" top="0.82" bottom="0.8" header="0.42" footer="0.4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M22" sqref="M22"/>
    </sheetView>
  </sheetViews>
  <sheetFormatPr defaultRowHeight="12.75"/>
  <sheetData>
    <row r="1" spans="1:19" ht="54" customHeight="1">
      <c r="A1" s="6"/>
      <c r="B1" s="6" t="s">
        <v>13</v>
      </c>
      <c r="C1" s="18" t="s">
        <v>36</v>
      </c>
      <c r="D1" s="19" t="s">
        <v>14</v>
      </c>
      <c r="E1" s="20" t="s">
        <v>37</v>
      </c>
      <c r="F1" s="6" t="s">
        <v>15</v>
      </c>
      <c r="G1" s="6" t="s">
        <v>16</v>
      </c>
      <c r="H1" s="6" t="s">
        <v>17</v>
      </c>
      <c r="I1" s="6" t="s">
        <v>18</v>
      </c>
      <c r="J1" s="6" t="s">
        <v>19</v>
      </c>
      <c r="K1" s="6" t="s">
        <v>20</v>
      </c>
      <c r="L1" s="6" t="s">
        <v>38</v>
      </c>
      <c r="M1" s="6" t="s">
        <v>21</v>
      </c>
      <c r="N1" s="6"/>
      <c r="O1" s="6"/>
      <c r="P1" s="6"/>
      <c r="Q1" s="6"/>
      <c r="R1" s="6"/>
      <c r="S1" s="6"/>
    </row>
    <row r="2" spans="1:19">
      <c r="A2" s="4" t="s">
        <v>22</v>
      </c>
      <c r="B2" s="5"/>
      <c r="C2">
        <f>10.56*2.9*0.38</f>
        <v>11.637119999999999</v>
      </c>
      <c r="D2" s="4">
        <f>0.13*0.51*3.3</f>
        <v>0.21878999999999998</v>
      </c>
      <c r="E2" s="4"/>
      <c r="F2" s="4"/>
      <c r="G2" s="4"/>
      <c r="H2" s="4">
        <f>0.51*0.13*3.45</f>
        <v>0.22873499999999999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4" t="s">
        <v>23</v>
      </c>
      <c r="B3" s="4"/>
      <c r="C3" s="4">
        <f>6.05*2.9*0.38-0.9*2.9*0.38</f>
        <v>5.6753</v>
      </c>
      <c r="D3" s="4"/>
      <c r="E3" s="4">
        <f>2.9*2.9*0.38-1*2.1*0.38</f>
        <v>2.3978000000000002</v>
      </c>
      <c r="F3" s="4"/>
      <c r="G3" s="4">
        <f>6.4*2.9*0.38-0.9*2*2*0.38</f>
        <v>5.6847999999999992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>
      <c r="A4" s="4" t="s">
        <v>24</v>
      </c>
      <c r="B4" s="4"/>
      <c r="C4" s="4">
        <f>1.45*2.9*0.38</f>
        <v>1.5979000000000001</v>
      </c>
      <c r="D4" s="4">
        <f>1.08*3.3*0.38</f>
        <v>1.35432</v>
      </c>
      <c r="E4" s="4"/>
      <c r="F4" s="4">
        <f>2.92*2.9-1*2.1+4.15*2.9*2</f>
        <v>30.438000000000002</v>
      </c>
      <c r="G4" s="4"/>
      <c r="H4" s="4">
        <f>1.08*0.38*5.25</f>
        <v>2.1546000000000003</v>
      </c>
      <c r="I4" s="4"/>
      <c r="J4" s="4"/>
      <c r="K4" s="4">
        <f>1.6*2.9</f>
        <v>4.6399999999999997</v>
      </c>
      <c r="L4" s="4">
        <f>1.08*3*0.38</f>
        <v>1.2312000000000001</v>
      </c>
      <c r="M4" s="4">
        <f>4.15*2.7</f>
        <v>11.205000000000002</v>
      </c>
      <c r="N4" s="4"/>
      <c r="O4" s="4"/>
      <c r="P4" s="4"/>
      <c r="Q4" s="4"/>
      <c r="R4" s="4"/>
      <c r="S4" s="4"/>
    </row>
    <row r="5" spans="1:19">
      <c r="A5" s="4" t="s">
        <v>25</v>
      </c>
      <c r="B5" s="4"/>
      <c r="C5" s="4">
        <f>10.56*2.9*0.38-2.2*2.9*2*0.38</f>
        <v>6.7883199999999997</v>
      </c>
      <c r="D5" s="4"/>
      <c r="E5" s="4"/>
      <c r="F5" s="4">
        <f>4.15*2.9-0.8*2.1</f>
        <v>10.355</v>
      </c>
      <c r="G5" s="4"/>
      <c r="H5" s="4"/>
      <c r="I5" s="4"/>
      <c r="J5" s="4"/>
      <c r="K5" s="4">
        <f>5.65*2.9-0.9*2.1</f>
        <v>14.495000000000001</v>
      </c>
      <c r="L5" s="4"/>
      <c r="M5" s="4"/>
      <c r="N5" s="4"/>
      <c r="O5" s="4"/>
      <c r="P5" s="4"/>
      <c r="Q5" s="4"/>
      <c r="R5" s="4"/>
      <c r="S5" s="4"/>
    </row>
    <row r="6" spans="1:19">
      <c r="A6" s="4" t="s">
        <v>26</v>
      </c>
      <c r="B6" s="4"/>
      <c r="D6" s="4"/>
      <c r="E6" s="4">
        <f>8.5*2.9*0.38</f>
        <v>9.3669999999999991</v>
      </c>
      <c r="F6" s="4">
        <f>2.17*2.8*2+1.96*2.9-0.8*2.1</f>
        <v>16.155999999999999</v>
      </c>
      <c r="G6" s="4">
        <f>6.4*2.9*0.38</f>
        <v>7.0527999999999995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>
      <c r="A7" s="4" t="s">
        <v>29</v>
      </c>
      <c r="B7" s="4"/>
      <c r="C7" s="4">
        <f>5.4*2.9*0.38</f>
        <v>5.9508000000000001</v>
      </c>
      <c r="D7" s="4"/>
      <c r="E7" s="4"/>
      <c r="F7" s="4"/>
      <c r="G7" s="1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>
      <c r="A8" s="4" t="s">
        <v>30</v>
      </c>
      <c r="B8" s="4"/>
      <c r="C8" s="4">
        <f>5.36*3.8*0.38-1.5*2.9*0.38-1.5*0.8*0.38</f>
        <v>5.6308399999999992</v>
      </c>
      <c r="D8" s="4"/>
      <c r="E8" s="4"/>
      <c r="F8" s="4"/>
      <c r="G8" s="1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>
      <c r="A9" s="4" t="s">
        <v>31</v>
      </c>
      <c r="B9" s="4"/>
      <c r="C9" s="4">
        <f>11.65*2.9*0.38-0.9*1.5*0.38-1.5*1.5*0.38-0.9*2.4*0.38-1*2.4*0.38</f>
        <v>9.7374999999999972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>
      <c r="A10" s="4" t="s">
        <v>32</v>
      </c>
      <c r="B10" s="4"/>
      <c r="C10" s="4">
        <f>4.02*2.9*0.38-0.9*1.5*0.38-0.9*2.4*0.38</f>
        <v>3.096239999999999</v>
      </c>
      <c r="D10" s="4"/>
      <c r="E10" s="4"/>
      <c r="F10" s="4">
        <f>2.37*2.9</f>
        <v>6.8730000000000002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A11" s="4" t="s">
        <v>27</v>
      </c>
      <c r="B11" s="4"/>
      <c r="C11" s="4"/>
      <c r="D11" s="4">
        <f>1.59*3.3*0.38</f>
        <v>1.99386</v>
      </c>
      <c r="E11" s="4">
        <f>(11.29-1.59)*2.9*0.38-0.9*2.1*2</f>
        <v>6.9093999999999989</v>
      </c>
      <c r="F11" s="4"/>
      <c r="G11" s="4">
        <f>11.64*2.9*0.38-0.9*1.7*0.38-1.2*1.7*0.38-1.59*2.9*0.38-0.6*2.9*0.38</f>
        <v>9.0573000000000015</v>
      </c>
      <c r="H11" s="4">
        <f>1.59*4.65*0.38+0.6*4.65*0.38</f>
        <v>3.8697300000000006</v>
      </c>
      <c r="I11" s="4"/>
      <c r="J11" s="4"/>
      <c r="K11" s="4"/>
      <c r="L11" s="4"/>
      <c r="M11" s="4">
        <f>1.3*2.7-0.9*2.1</f>
        <v>1.62</v>
      </c>
      <c r="N11" s="4"/>
      <c r="O11" s="4"/>
      <c r="P11" s="4"/>
      <c r="Q11" s="4"/>
      <c r="R11" s="4"/>
      <c r="S11" s="4"/>
    </row>
    <row r="12" spans="1:19">
      <c r="A12" s="4" t="s">
        <v>28</v>
      </c>
      <c r="B12" s="4"/>
      <c r="C12" s="4">
        <f>1.2*2.9*0.38+5.47*0.9*0.38</f>
        <v>3.1931400000000001</v>
      </c>
      <c r="D12" s="4"/>
      <c r="E12" s="4">
        <f>4.27*2.9*0.38</f>
        <v>4.7055400000000001</v>
      </c>
      <c r="F12" s="4"/>
      <c r="G12" s="4"/>
      <c r="H12" s="4"/>
      <c r="I12" s="4"/>
      <c r="J12" s="4"/>
      <c r="K12" s="4">
        <f>3.9*2.9-0.8*2.1</f>
        <v>9.629999999999999</v>
      </c>
      <c r="L12" s="4"/>
      <c r="M12" s="4"/>
      <c r="N12" s="4"/>
      <c r="O12" s="4"/>
      <c r="P12" s="4"/>
      <c r="Q12" s="4"/>
      <c r="R12" s="4"/>
      <c r="S12" s="4"/>
    </row>
    <row r="13" spans="1:19">
      <c r="A13" s="4" t="s">
        <v>33</v>
      </c>
      <c r="B13" s="4"/>
      <c r="C13" s="4"/>
      <c r="D13" s="4"/>
      <c r="E13" s="4"/>
      <c r="F13" s="4">
        <f>1.86*2.9*2-0.9*2.1+3.27*2.9+2.41*2.9</f>
        <v>25.37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A14" s="4" t="s">
        <v>34</v>
      </c>
      <c r="B14" s="4"/>
      <c r="C14" s="4">
        <f>9.27*3.8*0.38-2.5*2.9*0.38-4.8*2.9*0.38-4.8*0.8*0.38</f>
        <v>3.8820800000000011</v>
      </c>
      <c r="D14" s="4"/>
      <c r="E14" s="4">
        <f>(10.25-1.93-2.35-1.93)*2.9*0.38</f>
        <v>4.4520800000000014</v>
      </c>
      <c r="F14" s="4">
        <f>2.35*2.9</f>
        <v>6.8150000000000004</v>
      </c>
      <c r="G14" s="4">
        <f>11.64*2.9*0.38-2.5*1.7*0.38-2.5*2.7*0.38</f>
        <v>8.6472800000000003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A15" s="4" t="s">
        <v>35</v>
      </c>
      <c r="B15" s="4"/>
      <c r="C15" s="4">
        <f>10.25*2.9*0.38-4.2*2.9*0.38*2</f>
        <v>2.0386999999999986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>
      <c r="C20" s="17">
        <f>SUM(C2:C19)</f>
        <v>59.227939999999997</v>
      </c>
      <c r="D20" s="17">
        <f t="shared" ref="D20:N20" si="0">SUM(D2:D19)</f>
        <v>3.56697</v>
      </c>
      <c r="E20" s="17">
        <f t="shared" si="0"/>
        <v>27.83182</v>
      </c>
      <c r="F20" s="17">
        <f t="shared" si="0"/>
        <v>96.007000000000005</v>
      </c>
      <c r="G20" s="17">
        <f t="shared" si="0"/>
        <v>30.44218</v>
      </c>
      <c r="H20" s="17">
        <f t="shared" si="0"/>
        <v>6.2530650000000012</v>
      </c>
      <c r="I20" s="17">
        <f t="shared" si="0"/>
        <v>0</v>
      </c>
      <c r="J20" s="17">
        <f t="shared" si="0"/>
        <v>0</v>
      </c>
      <c r="K20" s="17">
        <f t="shared" si="0"/>
        <v>28.765000000000001</v>
      </c>
      <c r="L20" s="17">
        <f t="shared" si="0"/>
        <v>1.2312000000000001</v>
      </c>
      <c r="M20" s="17">
        <f t="shared" si="0"/>
        <v>12.825000000000003</v>
      </c>
      <c r="N20" s="17">
        <f t="shared" si="0"/>
        <v>0</v>
      </c>
    </row>
    <row r="21" spans="1:19">
      <c r="K21">
        <f>0.12*K20</f>
        <v>3.4518</v>
      </c>
      <c r="M21">
        <f>0.12*M20</f>
        <v>1.5390000000000004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смета</vt:lpstr>
      <vt:lpstr>Лист1</vt:lpstr>
      <vt:lpstr>Лист2</vt:lpstr>
      <vt:lpstr>смета!Область_печати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2021-06-09T11:28:08Z</cp:lastPrinted>
  <dcterms:created xsi:type="dcterms:W3CDTF">2010-05-21T05:00:02Z</dcterms:created>
  <dcterms:modified xsi:type="dcterms:W3CDTF">2021-06-15T16:11:09Z</dcterms:modified>
</cp:coreProperties>
</file>