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radchenko\Desktop\Заявки\155 ARTVILLE Изготовление и монтаж пергол и мк, дом 8, 9 ЖК\для отправки\"/>
    </mc:Choice>
  </mc:AlternateContent>
  <bookViews>
    <workbookView xWindow="0" yWindow="0" windowWidth="22104" windowHeight="9780" firstSheet="1" activeTab="1"/>
  </bookViews>
  <sheets>
    <sheet name="расчет дом 8,9" sheetId="9" state="hidden" r:id="rId1"/>
    <sheet name="ТЗ" sheetId="10" r:id="rId2"/>
  </sheets>
  <definedNames>
    <definedName name="_xlnm.Print_Area" localSheetId="0">'расчет дом 8,9'!$A$1:$J$59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0" l="1"/>
  <c r="D21" i="10"/>
  <c r="H56" i="10"/>
  <c r="H55" i="10"/>
  <c r="H22" i="10"/>
  <c r="H23" i="10"/>
  <c r="D60" i="10"/>
  <c r="D62" i="10" s="1"/>
  <c r="H62" i="10" s="1"/>
  <c r="D61" i="10" l="1"/>
  <c r="H61" i="10" s="1"/>
  <c r="D27" i="10" l="1"/>
  <c r="D29" i="10" l="1"/>
  <c r="H29" i="10" s="1"/>
  <c r="D28" i="10"/>
  <c r="D65" i="10"/>
  <c r="H65" i="10" s="1"/>
  <c r="D66" i="10"/>
  <c r="H66" i="10" s="1"/>
  <c r="D67" i="10"/>
  <c r="D68" i="10"/>
  <c r="H68" i="10" s="1"/>
  <c r="D69" i="10"/>
  <c r="H69" i="10" s="1"/>
  <c r="D70" i="10"/>
  <c r="H70" i="10" s="1"/>
  <c r="D64" i="10"/>
  <c r="F60" i="10"/>
  <c r="D57" i="10"/>
  <c r="H54" i="10"/>
  <c r="D53" i="10"/>
  <c r="H53" i="10" s="1"/>
  <c r="D20" i="10"/>
  <c r="D47" i="10"/>
  <c r="H47" i="10" s="1"/>
  <c r="D48" i="10"/>
  <c r="H48" i="10" s="1"/>
  <c r="D49" i="10"/>
  <c r="D50" i="10"/>
  <c r="H50" i="10" s="1"/>
  <c r="D51" i="10"/>
  <c r="H51" i="10" s="1"/>
  <c r="D52" i="10"/>
  <c r="H52" i="10" s="1"/>
  <c r="D46" i="10"/>
  <c r="H46" i="10" s="1"/>
  <c r="D45" i="10"/>
  <c r="H45" i="10" s="1"/>
  <c r="F18" i="9"/>
  <c r="F17" i="9"/>
  <c r="D59" i="10"/>
  <c r="F59" i="10" s="1"/>
  <c r="D24" i="10"/>
  <c r="D25" i="10" s="1"/>
  <c r="D26" i="10"/>
  <c r="F26" i="10" s="1"/>
  <c r="E37" i="9"/>
  <c r="D58" i="10" l="1"/>
  <c r="H58" i="10" s="1"/>
  <c r="D63" i="10"/>
  <c r="D71" i="10" s="1"/>
  <c r="H71" i="10" s="1"/>
  <c r="H64" i="10"/>
  <c r="D72" i="10"/>
  <c r="D44" i="10"/>
  <c r="F44" i="10" s="1"/>
  <c r="H49" i="10"/>
  <c r="H67" i="10"/>
  <c r="F57" i="10"/>
  <c r="F24" i="10"/>
  <c r="H25" i="10"/>
  <c r="F63" i="10" l="1"/>
  <c r="D73" i="10"/>
  <c r="D75" i="10" s="1"/>
  <c r="H72" i="10"/>
  <c r="D74" i="10" l="1"/>
  <c r="H74" i="10" s="1"/>
  <c r="H75" i="10"/>
  <c r="F73" i="10"/>
  <c r="D32" i="10"/>
  <c r="H32" i="10" s="1"/>
  <c r="D33" i="10"/>
  <c r="H33" i="10" s="1"/>
  <c r="D34" i="10"/>
  <c r="H34" i="10" s="1"/>
  <c r="D35" i="10"/>
  <c r="H35" i="10" s="1"/>
  <c r="D36" i="10"/>
  <c r="H36" i="10" s="1"/>
  <c r="D37" i="10"/>
  <c r="H37" i="10" s="1"/>
  <c r="D31" i="10"/>
  <c r="F26" i="9"/>
  <c r="E36" i="9"/>
  <c r="D12" i="10"/>
  <c r="H12" i="10" s="1"/>
  <c r="D13" i="10"/>
  <c r="H13" i="10" s="1"/>
  <c r="D14" i="10"/>
  <c r="H14" i="10" s="1"/>
  <c r="D15" i="10"/>
  <c r="H15" i="10" s="1"/>
  <c r="D16" i="10"/>
  <c r="H16" i="10" s="1"/>
  <c r="D17" i="10"/>
  <c r="H17" i="10" s="1"/>
  <c r="D18" i="10"/>
  <c r="H18" i="10" s="1"/>
  <c r="D19" i="10"/>
  <c r="H19" i="10" s="1"/>
  <c r="H20" i="10"/>
  <c r="H21" i="10"/>
  <c r="D30" i="10" l="1"/>
  <c r="D38" i="10" s="1"/>
  <c r="H38" i="10" s="1"/>
  <c r="D39" i="10"/>
  <c r="H31" i="10"/>
  <c r="D11" i="10"/>
  <c r="F11" i="10" s="1"/>
  <c r="H28" i="10" l="1"/>
  <c r="F27" i="10"/>
  <c r="H39" i="10"/>
  <c r="F30" i="10"/>
  <c r="D40" i="10"/>
  <c r="F40" i="10" l="1"/>
  <c r="E76" i="10" s="1"/>
  <c r="D42" i="10"/>
  <c r="H42" i="10" s="1"/>
  <c r="D41" i="10"/>
  <c r="H41" i="10" s="1"/>
  <c r="E77" i="10" l="1"/>
  <c r="E79" i="10" s="1"/>
  <c r="F34" i="9"/>
  <c r="E39" i="9"/>
  <c r="E38" i="9"/>
  <c r="F8" i="9"/>
  <c r="F7" i="9"/>
  <c r="F14" i="9"/>
  <c r="F13" i="9"/>
  <c r="F12" i="9"/>
  <c r="F11" i="9"/>
  <c r="F10" i="9"/>
  <c r="F9" i="9"/>
  <c r="F24" i="9"/>
  <c r="F23" i="9"/>
  <c r="F22" i="9"/>
  <c r="F21" i="9"/>
  <c r="F20" i="9"/>
  <c r="F19" i="9"/>
  <c r="J42" i="9"/>
  <c r="E35" i="9" l="1"/>
  <c r="F16" i="9" l="1"/>
  <c r="F6" i="9"/>
  <c r="I6" i="9" l="1"/>
  <c r="I26" i="9"/>
  <c r="I34" i="9"/>
  <c r="I16" i="9"/>
  <c r="I41" i="9" l="1"/>
  <c r="F44" i="9" s="1"/>
</calcChain>
</file>

<file path=xl/sharedStrings.xml><?xml version="1.0" encoding="utf-8"?>
<sst xmlns="http://schemas.openxmlformats.org/spreadsheetml/2006/main" count="298" uniqueCount="132">
  <si>
    <t>№</t>
  </si>
  <si>
    <t>Наименованиематериала</t>
  </si>
  <si>
    <t>Ед.изм.</t>
  </si>
  <si>
    <t>Модель,марка,обозначение</t>
  </si>
  <si>
    <t>шт</t>
  </si>
  <si>
    <t>кг</t>
  </si>
  <si>
    <t>Техническое задание</t>
  </si>
  <si>
    <t>Стоимость работ за ед., грн</t>
  </si>
  <si>
    <t>Стоимость материалов за ед., грн</t>
  </si>
  <si>
    <t>Итого работы за ед., грн</t>
  </si>
  <si>
    <t>Итого материалы за ед., грн</t>
  </si>
  <si>
    <t xml:space="preserve">Итого работы, грн </t>
  </si>
  <si>
    <t>грн</t>
  </si>
  <si>
    <t xml:space="preserve">Итого материалы, грн </t>
  </si>
  <si>
    <t xml:space="preserve">Административные расходы, грн </t>
  </si>
  <si>
    <t xml:space="preserve">Всего стоимость, грн </t>
  </si>
  <si>
    <t>Гарантийные обязательства</t>
  </si>
  <si>
    <t>лет</t>
  </si>
  <si>
    <t>Условия оплаты:</t>
  </si>
  <si>
    <t>Аванс</t>
  </si>
  <si>
    <t>Этапы</t>
  </si>
  <si>
    <t>"наименование компании"</t>
  </si>
  <si>
    <t>Лист (ДСТУ 8540:2015)</t>
  </si>
  <si>
    <t>Лист (ГОСТ 103-2006*)</t>
  </si>
  <si>
    <t>Тр. квадратная (ДСТУ Б В.2.6-8-95)</t>
  </si>
  <si>
    <t>Анкер химический М12</t>
  </si>
  <si>
    <t>l=120 мм</t>
  </si>
  <si>
    <t>100х100х8 мм</t>
  </si>
  <si>
    <t>300х300х10 мм</t>
  </si>
  <si>
    <t>80х4 мм l=1270 мм</t>
  </si>
  <si>
    <t>80х4 мм l=1350 мм</t>
  </si>
  <si>
    <t>80х4 мм l=2290 мм</t>
  </si>
  <si>
    <t>80х4 мм l=2370 мм</t>
  </si>
  <si>
    <t>80х4 мм l=2730 мм</t>
  </si>
  <si>
    <t>80х4 мм l=5700 мм</t>
  </si>
  <si>
    <t>Кол-во, кг</t>
  </si>
  <si>
    <t>Элементов, шт</t>
  </si>
  <si>
    <t>Брус деревянный</t>
  </si>
  <si>
    <t>м2</t>
  </si>
  <si>
    <t>475х40х200</t>
  </si>
  <si>
    <t>975х40х200</t>
  </si>
  <si>
    <t>1475х40х200</t>
  </si>
  <si>
    <t>1950х40х200</t>
  </si>
  <si>
    <t>м.п.</t>
  </si>
  <si>
    <t>лист 4 мм (пластина крепления пергол к м/к)</t>
  </si>
  <si>
    <t>Крепежные материалы (метизы) для крепления пергол к м/к</t>
  </si>
  <si>
    <t>комп.</t>
  </si>
  <si>
    <t>Гидроизоляционная мембрана между перголами и м/к (40 мм)</t>
  </si>
  <si>
    <t>мест</t>
  </si>
  <si>
    <t>Прочие неучтенные работы</t>
  </si>
  <si>
    <t>Антикоррозийная защита м/к (трехкомпонентная молотковая краска: преобразователь ржавчины + грунт + краска) RAL 7016 (серый)</t>
  </si>
  <si>
    <t xml:space="preserve">Покрытие деревянных брусов - матовый лак  - грецкий орех </t>
  </si>
  <si>
    <t>Демонтаж-монтаж тротураной плитки для установки пятки, с последующей подрезкой плитки под форму стойки</t>
  </si>
  <si>
    <t>Металлоконструкции пергол, дома №8</t>
  </si>
  <si>
    <t>Металлоконструкции пергол, дома №9</t>
  </si>
  <si>
    <t>1575х40х200</t>
  </si>
  <si>
    <t>1075х40х200</t>
  </si>
  <si>
    <t>575х40х200</t>
  </si>
  <si>
    <t>Деревянные элементы пергол, дома №8 и №9</t>
  </si>
  <si>
    <t>по состоянию на 13.04.2021 г.</t>
  </si>
  <si>
    <t>на: "Изготовление и монтаж пергол.  дом 8,9 ЖК "Артвиль" ".</t>
  </si>
  <si>
    <t>ЭДРПО/ИНН</t>
  </si>
  <si>
    <t>Перечень реализованных проектов</t>
  </si>
  <si>
    <t>Название</t>
  </si>
  <si>
    <t>Адрес</t>
  </si>
  <si>
    <t>Ф.И.О., телефон</t>
  </si>
  <si>
    <t xml:space="preserve">Тех. Задание </t>
  </si>
  <si>
    <t>№ п\п</t>
  </si>
  <si>
    <t>Наименование работ</t>
  </si>
  <si>
    <t>Ед. измер.</t>
  </si>
  <si>
    <t>Кол-во</t>
  </si>
  <si>
    <t>Стоимость работ, грн</t>
  </si>
  <si>
    <t>Итого работы, грн</t>
  </si>
  <si>
    <t>Стоимость материалов, грн</t>
  </si>
  <si>
    <t>Итого материалов, грн</t>
  </si>
  <si>
    <t>Итого материалы, грн</t>
  </si>
  <si>
    <t>Административные расходы, грн</t>
  </si>
  <si>
    <t>на "Изготовление и монтаж пергол и мк, дом 8, 9 ЖК "Артвилль"</t>
  </si>
  <si>
    <t>по состоянию на 13.04.2021г</t>
  </si>
  <si>
    <t xml:space="preserve">т </t>
  </si>
  <si>
    <t>Лист 100х100х8мм (ДСТУ 8540:2015)</t>
  </si>
  <si>
    <t>Лист 300х300х10мм (ГОСТ 103-2006*)</t>
  </si>
  <si>
    <t>труба кв. 80х80х4 L=1270мм</t>
  </si>
  <si>
    <t>труба кв. 80х80х4 L=1350мм</t>
  </si>
  <si>
    <t>труба кв. 80х80х4 L=2290мм</t>
  </si>
  <si>
    <t>труба кв. 80х80х4 L=2370мм</t>
  </si>
  <si>
    <t>труба кв. 80х80х4 L=2730мм</t>
  </si>
  <si>
    <t>труба кв. 80х80х4 L=5700мм</t>
  </si>
  <si>
    <t>Хим. Анкер 300мл.</t>
  </si>
  <si>
    <t>Шпилька М12</t>
  </si>
  <si>
    <t>Изготовление и монтаж опорных мк для пергол Д8</t>
  </si>
  <si>
    <t>л</t>
  </si>
  <si>
    <t>Окраска металлических поверхностей</t>
  </si>
  <si>
    <t>Изготовление и монтаж пергол и мк, дом 8</t>
  </si>
  <si>
    <t>Изготовление и монтаж пергол</t>
  </si>
  <si>
    <t>Ламель 475х40х200</t>
  </si>
  <si>
    <t>Ламель 975х40х201</t>
  </si>
  <si>
    <t>Ламель 1475х40х202</t>
  </si>
  <si>
    <t>Ламель 1950х40х203</t>
  </si>
  <si>
    <t>Ламель 1575х40х204</t>
  </si>
  <si>
    <t>Ламель 1075х40х205</t>
  </si>
  <si>
    <t>Ламель 575х40х206</t>
  </si>
  <si>
    <t>лист 4мм (крепление пергол)</t>
  </si>
  <si>
    <t>Шуруп для дерева 6х140 конструкционный Wkret-met TORX SPAX с пресс-шайбой</t>
  </si>
  <si>
    <t>Окраска пергол лаком, после обработки антисептиком.</t>
  </si>
  <si>
    <t xml:space="preserve">Антисептик </t>
  </si>
  <si>
    <t>матовый лак  (грецкий орех)</t>
  </si>
  <si>
    <t xml:space="preserve">Демонтаж-монтаж (с подрезкой) тротуарной плитки </t>
  </si>
  <si>
    <t>Изоляция пластины подпятника плиточным клеем</t>
  </si>
  <si>
    <t>Клей для плитки</t>
  </si>
  <si>
    <t>Изготовление и монтаж пергол и мк, дом 9</t>
  </si>
  <si>
    <t>Всего стоимость, грн</t>
  </si>
  <si>
    <t xml:space="preserve">Антикоррозийная защита м/к </t>
  </si>
  <si>
    <t>трехкомпонентная молотковая краска: преобразователь ржавчины + грунт + краска) RAL 7016 (серый)</t>
  </si>
  <si>
    <t>Уайт спирит</t>
  </si>
  <si>
    <t>Шайба М12</t>
  </si>
  <si>
    <t>Гайка М12</t>
  </si>
  <si>
    <t>Примечание</t>
  </si>
  <si>
    <t>Страна производитель, ТМ</t>
  </si>
  <si>
    <t>Условия оплаты (%  аванса, этапы)</t>
  </si>
  <si>
    <t>Обязательно к заполнению</t>
  </si>
  <si>
    <t>Срок изготовления / поставки</t>
  </si>
  <si>
    <t>Гарантийный срок</t>
  </si>
  <si>
    <t>Полное наименование компании.              От которой будет счет.</t>
  </si>
  <si>
    <t>Код ЕДРПОУ / ИНН</t>
  </si>
  <si>
    <t>Срок работы на рынке</t>
  </si>
  <si>
    <t>СБ</t>
  </si>
  <si>
    <t>Контактное лицо</t>
  </si>
  <si>
    <t>Телефон</t>
  </si>
  <si>
    <t>Эл. Адрес</t>
  </si>
  <si>
    <t>Реализованные объекты:</t>
  </si>
  <si>
    <t>"Название компании" (обязательно к заполнению)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</si>
</sst>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_ ;\-#,##0.00\ "/>
    <numFmt numFmtId="166" formatCode="#,##0.00\ [$₴]" x16r2:formatCode16="#,##0.00\ [$₴-ru-UA]"/>
    <numFmt numFmtId="167" formatCode="0.000"/>
    <numFmt numFmtId="168" formatCode="0.0"/>
  </numFmts>
  <fonts count="3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4" tint="-0.49998474074526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0"/>
      <color theme="4" tint="-0.499984740745262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horizontal="center" vertical="center"/>
    </xf>
    <xf numFmtId="164" fontId="4" fillId="0" borderId="0" xfId="2" applyFont="1" applyFill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6" fillId="0" borderId="0" xfId="2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4" fontId="7" fillId="0" borderId="0" xfId="2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8" fillId="3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164" fontId="11" fillId="4" borderId="1" xfId="2" applyFont="1" applyFill="1" applyBorder="1" applyAlignment="1">
      <alignment horizontal="center" vertical="center"/>
    </xf>
    <xf numFmtId="164" fontId="12" fillId="4" borderId="1" xfId="2" applyFont="1" applyFill="1" applyBorder="1" applyAlignment="1">
      <alignment horizontal="center" vertical="center"/>
    </xf>
    <xf numFmtId="164" fontId="12" fillId="4" borderId="1" xfId="2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" fontId="11" fillId="5" borderId="1" xfId="0" applyNumberFormat="1" applyFont="1" applyFill="1" applyBorder="1" applyAlignment="1">
      <alignment horizontal="right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164" fontId="11" fillId="5" borderId="1" xfId="2" applyFont="1" applyFill="1" applyBorder="1" applyAlignment="1">
      <alignment horizontal="center" vertical="center"/>
    </xf>
    <xf numFmtId="164" fontId="12" fillId="5" borderId="1" xfId="2" applyFont="1" applyFill="1" applyBorder="1" applyAlignment="1">
      <alignment horizontal="center" vertical="center"/>
    </xf>
    <xf numFmtId="164" fontId="12" fillId="5" borderId="1" xfId="2" applyFont="1" applyFill="1" applyBorder="1" applyAlignment="1">
      <alignment vertical="center"/>
    </xf>
    <xf numFmtId="164" fontId="12" fillId="5" borderId="1" xfId="2" applyFont="1" applyFill="1" applyBorder="1" applyAlignment="1">
      <alignment horizontal="right" vertical="center" wrapText="1"/>
    </xf>
    <xf numFmtId="164" fontId="11" fillId="5" borderId="1" xfId="2" applyFont="1" applyFill="1" applyBorder="1" applyAlignment="1">
      <alignment vertical="center"/>
    </xf>
    <xf numFmtId="164" fontId="3" fillId="2" borderId="1" xfId="2" applyFont="1" applyFill="1" applyBorder="1" applyAlignment="1">
      <alignment vertical="center"/>
    </xf>
    <xf numFmtId="164" fontId="3" fillId="0" borderId="1" xfId="2" applyFont="1" applyFill="1" applyBorder="1" applyAlignment="1">
      <alignment vertical="center"/>
    </xf>
    <xf numFmtId="164" fontId="6" fillId="2" borderId="1" xfId="2" applyFont="1" applyFill="1" applyBorder="1" applyAlignment="1">
      <alignment vertical="center"/>
    </xf>
    <xf numFmtId="164" fontId="14" fillId="0" borderId="1" xfId="2" applyFont="1" applyBorder="1" applyAlignment="1">
      <alignment vertical="center"/>
    </xf>
    <xf numFmtId="164" fontId="15" fillId="0" borderId="1" xfId="2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3" fontId="23" fillId="0" borderId="12" xfId="0" applyNumberFormat="1" applyFont="1" applyBorder="1" applyAlignment="1">
      <alignment horizontal="center" vertical="center"/>
    </xf>
    <xf numFmtId="4" fontId="23" fillId="0" borderId="13" xfId="0" applyNumberFormat="1" applyFont="1" applyBorder="1" applyAlignment="1">
      <alignment horizontal="left" vertical="center" wrapText="1"/>
    </xf>
    <xf numFmtId="4" fontId="23" fillId="0" borderId="13" xfId="0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1" fontId="23" fillId="0" borderId="19" xfId="0" applyNumberFormat="1" applyFont="1" applyBorder="1" applyAlignment="1">
      <alignment horizontal="center" vertical="center"/>
    </xf>
    <xf numFmtId="1" fontId="23" fillId="0" borderId="22" xfId="0" applyNumberFormat="1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left" vertical="center" wrapText="1"/>
    </xf>
    <xf numFmtId="4" fontId="23" fillId="0" borderId="8" xfId="0" applyNumberFormat="1" applyFont="1" applyBorder="1" applyAlignment="1">
      <alignment horizontal="center" vertical="center" wrapText="1"/>
    </xf>
    <xf numFmtId="1" fontId="23" fillId="0" borderId="9" xfId="0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 vertical="center"/>
    </xf>
    <xf numFmtId="0" fontId="19" fillId="0" borderId="3" xfId="1" applyFont="1" applyBorder="1" applyAlignment="1">
      <alignment horizontal="right"/>
    </xf>
    <xf numFmtId="0" fontId="19" fillId="2" borderId="1" xfId="0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right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horizontal="center" vertical="center"/>
    </xf>
    <xf numFmtId="164" fontId="3" fillId="6" borderId="1" xfId="2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20" fillId="0" borderId="0" xfId="0" applyFont="1"/>
    <xf numFmtId="0" fontId="20" fillId="0" borderId="0" xfId="0" applyFont="1" applyFill="1"/>
    <xf numFmtId="0" fontId="26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2" fontId="27" fillId="2" borderId="6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center" vertical="center" wrapText="1"/>
    </xf>
    <xf numFmtId="2" fontId="28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2" fontId="28" fillId="2" borderId="6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2" fontId="28" fillId="2" borderId="1" xfId="0" applyNumberFormat="1" applyFont="1" applyFill="1" applyBorder="1" applyAlignment="1">
      <alignment horizontal="center"/>
    </xf>
    <xf numFmtId="2" fontId="20" fillId="0" borderId="1" xfId="0" applyNumberFormat="1" applyFont="1" applyBorder="1"/>
    <xf numFmtId="2" fontId="28" fillId="0" borderId="1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0" fontId="28" fillId="2" borderId="1" xfId="0" applyFont="1" applyFill="1" applyBorder="1" applyAlignment="1">
      <alignment horizontal="right" vertical="center"/>
    </xf>
    <xf numFmtId="167" fontId="21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right" vertical="center"/>
    </xf>
    <xf numFmtId="0" fontId="30" fillId="0" borderId="1" xfId="0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0" fontId="30" fillId="2" borderId="1" xfId="0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wrapText="1"/>
    </xf>
    <xf numFmtId="2" fontId="28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168" fontId="28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4" fontId="23" fillId="0" borderId="19" xfId="0" applyNumberFormat="1" applyFont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 vertical="center"/>
    </xf>
    <xf numFmtId="4" fontId="23" fillId="0" borderId="21" xfId="0" applyNumberFormat="1" applyFont="1" applyBorder="1" applyAlignment="1">
      <alignment horizontal="center" vertical="center"/>
    </xf>
    <xf numFmtId="4" fontId="23" fillId="0" borderId="9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24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166" fontId="21" fillId="2" borderId="6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/>
    </xf>
    <xf numFmtId="1" fontId="23" fillId="0" borderId="18" xfId="0" applyNumberFormat="1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164" fontId="17" fillId="0" borderId="1" xfId="2" applyFont="1" applyBorder="1" applyAlignment="1">
      <alignment horizontal="center" vertical="center" wrapText="1"/>
    </xf>
    <xf numFmtId="164" fontId="13" fillId="2" borderId="1" xfId="2" applyFont="1" applyFill="1" applyBorder="1" applyAlignment="1">
      <alignment horizontal="center" vertical="center"/>
    </xf>
    <xf numFmtId="164" fontId="12" fillId="6" borderId="1" xfId="2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31" fillId="0" borderId="34" xfId="0" applyFont="1" applyFill="1" applyBorder="1"/>
    <xf numFmtId="4" fontId="31" fillId="0" borderId="1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4" fontId="32" fillId="0" borderId="1" xfId="0" applyNumberFormat="1" applyFont="1" applyFill="1" applyBorder="1" applyAlignment="1">
      <alignment horizontal="center"/>
    </xf>
    <xf numFmtId="4" fontId="32" fillId="0" borderId="6" xfId="0" applyNumberFormat="1" applyFont="1" applyFill="1" applyBorder="1" applyAlignment="1">
      <alignment horizontal="center"/>
    </xf>
    <xf numFmtId="0" fontId="33" fillId="0" borderId="34" xfId="0" applyFont="1" applyFill="1" applyBorder="1"/>
    <xf numFmtId="0" fontId="33" fillId="0" borderId="36" xfId="0" applyFont="1" applyFill="1" applyBorder="1"/>
    <xf numFmtId="4" fontId="32" fillId="0" borderId="8" xfId="0" applyNumberFormat="1" applyFont="1" applyFill="1" applyBorder="1" applyAlignment="1">
      <alignment horizontal="center"/>
    </xf>
    <xf numFmtId="4" fontId="32" fillId="0" borderId="38" xfId="0" applyNumberFormat="1" applyFont="1" applyFill="1" applyBorder="1" applyAlignment="1">
      <alignment horizontal="center"/>
    </xf>
    <xf numFmtId="0" fontId="31" fillId="0" borderId="39" xfId="0" applyFont="1" applyFill="1" applyBorder="1" applyAlignment="1">
      <alignment wrapText="1"/>
    </xf>
    <xf numFmtId="0" fontId="33" fillId="0" borderId="35" xfId="0" applyFont="1" applyFill="1" applyBorder="1"/>
    <xf numFmtId="0" fontId="33" fillId="0" borderId="37" xfId="0" applyFont="1" applyFill="1" applyBorder="1"/>
    <xf numFmtId="0" fontId="0" fillId="0" borderId="39" xfId="0" applyBorder="1"/>
    <xf numFmtId="4" fontId="31" fillId="0" borderId="13" xfId="0" applyNumberFormat="1" applyFont="1" applyFill="1" applyBorder="1" applyAlignment="1">
      <alignment horizontal="center"/>
    </xf>
    <xf numFmtId="4" fontId="31" fillId="0" borderId="41" xfId="0" applyNumberFormat="1" applyFont="1" applyFill="1" applyBorder="1" applyAlignment="1">
      <alignment horizontal="center"/>
    </xf>
    <xf numFmtId="0" fontId="0" fillId="0" borderId="0" xfId="0" applyBorder="1"/>
    <xf numFmtId="0" fontId="18" fillId="2" borderId="23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/>
    <xf numFmtId="0" fontId="33" fillId="0" borderId="1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3" fillId="0" borderId="38" xfId="0" applyFont="1" applyFill="1" applyBorder="1" applyAlignment="1">
      <alignment horizontal="center"/>
    </xf>
    <xf numFmtId="0" fontId="33" fillId="0" borderId="42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0" borderId="32" xfId="0" applyFont="1" applyFill="1" applyBorder="1" applyAlignment="1"/>
    <xf numFmtId="0" fontId="31" fillId="0" borderId="39" xfId="0" applyFont="1" applyFill="1" applyBorder="1"/>
    <xf numFmtId="0" fontId="33" fillId="0" borderId="44" xfId="0" applyFont="1" applyFill="1" applyBorder="1"/>
    <xf numFmtId="0" fontId="33" fillId="0" borderId="4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4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1" xfId="3" applyFont="1" applyFill="1" applyBorder="1" applyAlignment="1">
      <alignment horizontal="center"/>
    </xf>
    <xf numFmtId="4" fontId="32" fillId="0" borderId="5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2" fillId="0" borderId="5" xfId="3" applyFont="1" applyFill="1" applyBorder="1" applyAlignment="1">
      <alignment horizontal="center"/>
    </xf>
    <xf numFmtId="0" fontId="32" fillId="0" borderId="6" xfId="3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 wrapText="1"/>
    </xf>
    <xf numFmtId="0" fontId="32" fillId="0" borderId="8" xfId="0" applyFont="1" applyFill="1" applyBorder="1" applyAlignment="1">
      <alignment horizontal="center" wrapText="1"/>
    </xf>
    <xf numFmtId="0" fontId="32" fillId="0" borderId="38" xfId="0" applyFont="1" applyFill="1" applyBorder="1" applyAlignment="1">
      <alignment horizontal="center" wrapText="1"/>
    </xf>
    <xf numFmtId="0" fontId="31" fillId="0" borderId="36" xfId="0" applyFont="1" applyFill="1" applyBorder="1"/>
    <xf numFmtId="4" fontId="32" fillId="0" borderId="12" xfId="0" applyNumberFormat="1" applyFont="1" applyFill="1" applyBorder="1" applyAlignment="1">
      <alignment horizontal="center"/>
    </xf>
    <xf numFmtId="4" fontId="32" fillId="0" borderId="13" xfId="0" applyNumberFormat="1" applyFont="1" applyFill="1" applyBorder="1" applyAlignment="1">
      <alignment horizontal="center"/>
    </xf>
    <xf numFmtId="4" fontId="32" fillId="0" borderId="41" xfId="0" applyNumberFormat="1" applyFont="1" applyFill="1" applyBorder="1" applyAlignment="1">
      <alignment horizontal="center"/>
    </xf>
    <xf numFmtId="4" fontId="31" fillId="0" borderId="5" xfId="0" applyNumberFormat="1" applyFont="1" applyFill="1" applyBorder="1" applyAlignment="1">
      <alignment horizontal="center"/>
    </xf>
    <xf numFmtId="4" fontId="32" fillId="0" borderId="23" xfId="0" applyNumberFormat="1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right" vertical="center"/>
    </xf>
    <xf numFmtId="0" fontId="30" fillId="0" borderId="25" xfId="0" applyFont="1" applyBorder="1" applyAlignment="1">
      <alignment horizontal="center"/>
    </xf>
    <xf numFmtId="2" fontId="30" fillId="0" borderId="25" xfId="0" applyNumberFormat="1" applyFont="1" applyBorder="1" applyAlignment="1">
      <alignment horizontal="center"/>
    </xf>
    <xf numFmtId="2" fontId="20" fillId="0" borderId="25" xfId="0" applyNumberFormat="1" applyFont="1" applyBorder="1"/>
    <xf numFmtId="2" fontId="28" fillId="0" borderId="25" xfId="0" applyNumberFormat="1" applyFont="1" applyBorder="1" applyAlignment="1">
      <alignment horizontal="center"/>
    </xf>
    <xf numFmtId="2" fontId="28" fillId="2" borderId="45" xfId="0" applyNumberFormat="1" applyFont="1" applyFill="1" applyBorder="1" applyAlignment="1">
      <alignment horizontal="center" vertical="center" wrapText="1"/>
    </xf>
    <xf numFmtId="4" fontId="31" fillId="0" borderId="12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2" fontId="19" fillId="2" borderId="6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2" fontId="19" fillId="2" borderId="8" xfId="0" applyNumberFormat="1" applyFont="1" applyFill="1" applyBorder="1" applyAlignment="1">
      <alignment horizontal="center" vertical="center" wrapText="1"/>
    </xf>
    <xf numFmtId="2" fontId="19" fillId="2" borderId="38" xfId="0" applyNumberFormat="1" applyFont="1" applyFill="1" applyBorder="1" applyAlignment="1">
      <alignment horizontal="center" vertical="center" wrapText="1"/>
    </xf>
    <xf numFmtId="2" fontId="19" fillId="2" borderId="33" xfId="0" applyNumberFormat="1" applyFont="1" applyFill="1" applyBorder="1" applyAlignment="1">
      <alignment horizontal="center" vertical="center" wrapText="1"/>
    </xf>
    <xf numFmtId="2" fontId="19" fillId="2" borderId="21" xfId="0" applyNumberFormat="1" applyFont="1" applyFill="1" applyBorder="1" applyAlignment="1">
      <alignment horizontal="center" vertical="center" wrapText="1"/>
    </xf>
    <xf numFmtId="2" fontId="19" fillId="2" borderId="24" xfId="0" applyNumberFormat="1" applyFont="1" applyFill="1" applyBorder="1" applyAlignment="1">
      <alignment horizontal="center" vertical="center" wrapText="1"/>
    </xf>
    <xf numFmtId="2" fontId="20" fillId="2" borderId="32" xfId="0" applyNumberFormat="1" applyFont="1" applyFill="1" applyBorder="1" applyAlignment="1">
      <alignment vertical="center" wrapText="1"/>
    </xf>
    <xf numFmtId="2" fontId="20" fillId="2" borderId="35" xfId="0" applyNumberFormat="1" applyFont="1" applyFill="1" applyBorder="1" applyAlignment="1">
      <alignment vertical="center" wrapText="1"/>
    </xf>
    <xf numFmtId="2" fontId="20" fillId="2" borderId="37" xfId="0" applyNumberFormat="1" applyFont="1" applyFill="1" applyBorder="1" applyAlignment="1">
      <alignment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13" zoomScaleNormal="100" zoomScaleSheetLayoutView="92" workbookViewId="0">
      <selection activeCell="E15" sqref="E15"/>
    </sheetView>
  </sheetViews>
  <sheetFormatPr defaultRowHeight="14.4" x14ac:dyDescent="0.3"/>
  <cols>
    <col min="1" max="1" width="6.6640625" customWidth="1"/>
    <col min="2" max="2" width="46.44140625" style="12" customWidth="1"/>
    <col min="3" max="3" width="19.6640625" style="12" customWidth="1"/>
    <col min="4" max="4" width="13.5546875" style="31" customWidth="1"/>
    <col min="5" max="5" width="9" style="31" customWidth="1"/>
    <col min="6" max="6" width="12.6640625" style="31" customWidth="1"/>
    <col min="7" max="7" width="11" style="12" customWidth="1"/>
    <col min="8" max="8" width="14.5546875" style="12" customWidth="1"/>
    <col min="9" max="9" width="15.109375" style="12" customWidth="1"/>
    <col min="10" max="10" width="14.88671875" style="12" bestFit="1" customWidth="1"/>
    <col min="11" max="11" width="4.6640625" customWidth="1"/>
    <col min="12" max="12" width="27.44140625" style="33" customWidth="1"/>
    <col min="13" max="13" width="9.109375" style="33"/>
  </cols>
  <sheetData>
    <row r="1" spans="1:13" ht="17.399999999999999" x14ac:dyDescent="0.3">
      <c r="A1" s="158" t="s">
        <v>6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3" ht="18.75" customHeight="1" x14ac:dyDescent="0.3">
      <c r="A2" s="159" t="s">
        <v>60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3" ht="21" x14ac:dyDescent="0.3">
      <c r="A3" s="3"/>
      <c r="B3" s="4" t="s">
        <v>59</v>
      </c>
      <c r="C3" s="5"/>
      <c r="D3" s="6"/>
      <c r="E3" s="6"/>
      <c r="F3" s="7"/>
      <c r="G3" s="8"/>
      <c r="H3" s="8"/>
      <c r="I3" s="8"/>
      <c r="J3" s="8"/>
    </row>
    <row r="4" spans="1:13" ht="51.75" customHeight="1" x14ac:dyDescent="0.3">
      <c r="A4" s="9"/>
      <c r="B4" s="10"/>
      <c r="C4" s="11"/>
      <c r="D4" s="25"/>
      <c r="E4" s="25"/>
      <c r="F4" s="160" t="s">
        <v>21</v>
      </c>
      <c r="G4" s="160"/>
      <c r="H4" s="160"/>
      <c r="I4" s="160"/>
      <c r="J4" s="160"/>
    </row>
    <row r="5" spans="1:13" ht="43.2" x14ac:dyDescent="0.3">
      <c r="A5" s="1" t="s">
        <v>0</v>
      </c>
      <c r="B5" s="1" t="s">
        <v>1</v>
      </c>
      <c r="C5" s="2" t="s">
        <v>3</v>
      </c>
      <c r="D5" s="1" t="s">
        <v>2</v>
      </c>
      <c r="E5" s="2" t="s">
        <v>36</v>
      </c>
      <c r="F5" s="1" t="s">
        <v>35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3" s="15" customFormat="1" x14ac:dyDescent="0.3">
      <c r="A6" s="22">
        <v>1</v>
      </c>
      <c r="B6" s="13" t="s">
        <v>53</v>
      </c>
      <c r="C6" s="13"/>
      <c r="D6" s="26" t="s">
        <v>5</v>
      </c>
      <c r="E6" s="26"/>
      <c r="F6" s="27">
        <f>SUM(F7:F14)</f>
        <v>651.71240000000012</v>
      </c>
      <c r="G6" s="13"/>
      <c r="H6" s="13"/>
      <c r="I6" s="14">
        <f>F6*G6</f>
        <v>0</v>
      </c>
      <c r="J6" s="13"/>
      <c r="L6" s="34"/>
      <c r="M6" s="34"/>
    </row>
    <row r="7" spans="1:13" s="15" customFormat="1" x14ac:dyDescent="0.3">
      <c r="A7" s="16"/>
      <c r="B7" s="17" t="s">
        <v>22</v>
      </c>
      <c r="C7" s="17" t="s">
        <v>27</v>
      </c>
      <c r="D7" s="28" t="s">
        <v>5</v>
      </c>
      <c r="E7" s="28">
        <v>48</v>
      </c>
      <c r="F7" s="28">
        <f>E7*0.628</f>
        <v>30.143999999999998</v>
      </c>
      <c r="G7" s="16"/>
      <c r="H7" s="16"/>
      <c r="I7" s="16"/>
      <c r="J7" s="18"/>
      <c r="L7" s="34"/>
      <c r="M7" s="34"/>
    </row>
    <row r="8" spans="1:13" s="15" customFormat="1" x14ac:dyDescent="0.3">
      <c r="A8" s="16"/>
      <c r="B8" s="17" t="s">
        <v>23</v>
      </c>
      <c r="C8" s="17" t="s">
        <v>28</v>
      </c>
      <c r="D8" s="28" t="s">
        <v>5</v>
      </c>
      <c r="E8" s="28">
        <v>12</v>
      </c>
      <c r="F8" s="28">
        <f>E8*7.065</f>
        <v>84.78</v>
      </c>
      <c r="G8" s="16"/>
      <c r="H8" s="16"/>
      <c r="I8" s="16"/>
      <c r="J8" s="18"/>
      <c r="L8" s="34"/>
      <c r="M8" s="34"/>
    </row>
    <row r="9" spans="1:13" s="15" customFormat="1" x14ac:dyDescent="0.3">
      <c r="A9" s="16"/>
      <c r="B9" s="17" t="s">
        <v>24</v>
      </c>
      <c r="C9" s="17" t="s">
        <v>29</v>
      </c>
      <c r="D9" s="28" t="s">
        <v>5</v>
      </c>
      <c r="E9" s="28">
        <v>2</v>
      </c>
      <c r="F9" s="91">
        <f>E9*9.22*1.27</f>
        <v>23.418800000000001</v>
      </c>
      <c r="G9" s="16"/>
      <c r="H9" s="16"/>
      <c r="I9" s="16"/>
      <c r="J9" s="18"/>
      <c r="L9" s="34"/>
      <c r="M9" s="34"/>
    </row>
    <row r="10" spans="1:13" s="15" customFormat="1" x14ac:dyDescent="0.3">
      <c r="A10" s="16"/>
      <c r="B10" s="17" t="s">
        <v>24</v>
      </c>
      <c r="C10" s="17" t="s">
        <v>30</v>
      </c>
      <c r="D10" s="28" t="s">
        <v>5</v>
      </c>
      <c r="E10" s="28">
        <v>4</v>
      </c>
      <c r="F10" s="91">
        <f>E10*9.22*1.35</f>
        <v>49.788000000000004</v>
      </c>
      <c r="G10" s="16"/>
      <c r="H10" s="16"/>
      <c r="I10" s="16"/>
      <c r="J10" s="18"/>
      <c r="L10" s="34"/>
      <c r="M10" s="34"/>
    </row>
    <row r="11" spans="1:13" s="15" customFormat="1" x14ac:dyDescent="0.3">
      <c r="A11" s="16"/>
      <c r="B11" s="17" t="s">
        <v>24</v>
      </c>
      <c r="C11" s="17" t="s">
        <v>31</v>
      </c>
      <c r="D11" s="28" t="s">
        <v>5</v>
      </c>
      <c r="E11" s="28">
        <v>6</v>
      </c>
      <c r="F11" s="91">
        <f>E11*9.22*2.29</f>
        <v>126.68280000000001</v>
      </c>
      <c r="G11" s="16"/>
      <c r="H11" s="16"/>
      <c r="I11" s="16"/>
      <c r="J11" s="18"/>
      <c r="L11" s="34"/>
      <c r="M11" s="34"/>
    </row>
    <row r="12" spans="1:13" s="19" customFormat="1" x14ac:dyDescent="0.3">
      <c r="A12" s="16"/>
      <c r="B12" s="17" t="s">
        <v>24</v>
      </c>
      <c r="C12" s="17" t="s">
        <v>32</v>
      </c>
      <c r="D12" s="28" t="s">
        <v>5</v>
      </c>
      <c r="E12" s="28">
        <v>6</v>
      </c>
      <c r="F12" s="91">
        <f>E12*9.22*2.37</f>
        <v>131.10840000000002</v>
      </c>
      <c r="G12" s="16"/>
      <c r="H12" s="16"/>
      <c r="I12" s="16"/>
      <c r="J12" s="18"/>
      <c r="L12" s="35"/>
      <c r="M12" s="35"/>
    </row>
    <row r="13" spans="1:13" s="19" customFormat="1" x14ac:dyDescent="0.3">
      <c r="A13" s="16"/>
      <c r="B13" s="17" t="s">
        <v>24</v>
      </c>
      <c r="C13" s="17" t="s">
        <v>33</v>
      </c>
      <c r="D13" s="28" t="s">
        <v>5</v>
      </c>
      <c r="E13" s="28">
        <v>4</v>
      </c>
      <c r="F13" s="91">
        <f>E13*9.22*2.73</f>
        <v>100.6824</v>
      </c>
      <c r="G13" s="16"/>
      <c r="H13" s="16"/>
      <c r="I13" s="16"/>
      <c r="J13" s="18"/>
      <c r="L13" s="35"/>
      <c r="M13" s="35"/>
    </row>
    <row r="14" spans="1:13" s="19" customFormat="1" x14ac:dyDescent="0.3">
      <c r="A14" s="16"/>
      <c r="B14" s="17" t="s">
        <v>24</v>
      </c>
      <c r="C14" s="17" t="s">
        <v>34</v>
      </c>
      <c r="D14" s="28" t="s">
        <v>5</v>
      </c>
      <c r="E14" s="28">
        <v>2</v>
      </c>
      <c r="F14" s="91">
        <f>E14*9.22*5.7</f>
        <v>105.108</v>
      </c>
      <c r="G14" s="16"/>
      <c r="H14" s="16"/>
      <c r="I14" s="16"/>
      <c r="J14" s="18"/>
      <c r="L14" s="35"/>
      <c r="M14" s="35"/>
    </row>
    <row r="15" spans="1:13" s="19" customFormat="1" x14ac:dyDescent="0.3">
      <c r="A15" s="16"/>
      <c r="B15" s="16" t="s">
        <v>25</v>
      </c>
      <c r="C15" s="17" t="s">
        <v>26</v>
      </c>
      <c r="D15" s="28" t="s">
        <v>4</v>
      </c>
      <c r="E15" s="28">
        <v>48</v>
      </c>
      <c r="F15" s="28"/>
      <c r="G15" s="16"/>
      <c r="H15" s="16"/>
      <c r="I15" s="16"/>
      <c r="J15" s="18"/>
      <c r="L15" s="35"/>
      <c r="M15" s="35"/>
    </row>
    <row r="16" spans="1:13" s="15" customFormat="1" x14ac:dyDescent="0.3">
      <c r="A16" s="13">
        <v>2</v>
      </c>
      <c r="B16" s="13" t="s">
        <v>54</v>
      </c>
      <c r="C16" s="13"/>
      <c r="D16" s="26" t="s">
        <v>5</v>
      </c>
      <c r="E16" s="26"/>
      <c r="F16" s="92">
        <f>SUM(F17:F24)</f>
        <v>651.71240000000012</v>
      </c>
      <c r="G16" s="13"/>
      <c r="H16" s="13"/>
      <c r="I16" s="14">
        <f>F16*G16</f>
        <v>0</v>
      </c>
      <c r="J16" s="13"/>
      <c r="L16" s="34"/>
      <c r="M16" s="34"/>
    </row>
    <row r="17" spans="1:13" s="19" customFormat="1" x14ac:dyDescent="0.3">
      <c r="A17" s="16"/>
      <c r="B17" s="17" t="s">
        <v>22</v>
      </c>
      <c r="C17" s="17" t="s">
        <v>27</v>
      </c>
      <c r="D17" s="28" t="s">
        <v>5</v>
      </c>
      <c r="E17" s="28">
        <v>48</v>
      </c>
      <c r="F17" s="28">
        <f>E17*0.628</f>
        <v>30.143999999999998</v>
      </c>
      <c r="G17" s="16"/>
      <c r="H17" s="16"/>
      <c r="I17" s="16"/>
      <c r="J17" s="18"/>
      <c r="L17" s="35"/>
      <c r="M17" s="35"/>
    </row>
    <row r="18" spans="1:13" s="19" customFormat="1" x14ac:dyDescent="0.3">
      <c r="A18" s="16"/>
      <c r="B18" s="17" t="s">
        <v>23</v>
      </c>
      <c r="C18" s="17" t="s">
        <v>28</v>
      </c>
      <c r="D18" s="28" t="s">
        <v>5</v>
      </c>
      <c r="E18" s="28">
        <v>12</v>
      </c>
      <c r="F18" s="28">
        <f>E18*7.065</f>
        <v>84.78</v>
      </c>
      <c r="G18" s="16"/>
      <c r="H18" s="16"/>
      <c r="I18" s="16"/>
      <c r="J18" s="18"/>
      <c r="L18" s="35"/>
      <c r="M18" s="35"/>
    </row>
    <row r="19" spans="1:13" s="19" customFormat="1" x14ac:dyDescent="0.3">
      <c r="A19" s="16"/>
      <c r="B19" s="17" t="s">
        <v>24</v>
      </c>
      <c r="C19" s="17" t="s">
        <v>29</v>
      </c>
      <c r="D19" s="28" t="s">
        <v>5</v>
      </c>
      <c r="E19" s="28">
        <v>2</v>
      </c>
      <c r="F19" s="91">
        <f>E19*9.22*1.27</f>
        <v>23.418800000000001</v>
      </c>
      <c r="G19" s="16"/>
      <c r="H19" s="16"/>
      <c r="I19" s="16"/>
      <c r="J19" s="18"/>
      <c r="L19" s="35"/>
      <c r="M19" s="35"/>
    </row>
    <row r="20" spans="1:13" s="19" customFormat="1" x14ac:dyDescent="0.3">
      <c r="A20" s="16"/>
      <c r="B20" s="17" t="s">
        <v>24</v>
      </c>
      <c r="C20" s="17" t="s">
        <v>30</v>
      </c>
      <c r="D20" s="28" t="s">
        <v>5</v>
      </c>
      <c r="E20" s="28">
        <v>4</v>
      </c>
      <c r="F20" s="91">
        <f>E20*9.22*1.35</f>
        <v>49.788000000000004</v>
      </c>
      <c r="G20" s="16"/>
      <c r="H20" s="16"/>
      <c r="I20" s="16"/>
      <c r="J20" s="18"/>
      <c r="L20" s="35"/>
      <c r="M20" s="35"/>
    </row>
    <row r="21" spans="1:13" s="19" customFormat="1" x14ac:dyDescent="0.3">
      <c r="A21" s="16"/>
      <c r="B21" s="17" t="s">
        <v>24</v>
      </c>
      <c r="C21" s="17" t="s">
        <v>31</v>
      </c>
      <c r="D21" s="28" t="s">
        <v>5</v>
      </c>
      <c r="E21" s="28">
        <v>6</v>
      </c>
      <c r="F21" s="91">
        <f>E21*9.22*2.29</f>
        <v>126.68280000000001</v>
      </c>
      <c r="G21" s="16"/>
      <c r="H21" s="16"/>
      <c r="I21" s="16"/>
      <c r="J21" s="18"/>
      <c r="L21" s="35"/>
      <c r="M21" s="35"/>
    </row>
    <row r="22" spans="1:13" s="19" customFormat="1" x14ac:dyDescent="0.3">
      <c r="A22" s="16"/>
      <c r="B22" s="17" t="s">
        <v>24</v>
      </c>
      <c r="C22" s="17" t="s">
        <v>32</v>
      </c>
      <c r="D22" s="28" t="s">
        <v>5</v>
      </c>
      <c r="E22" s="28">
        <v>6</v>
      </c>
      <c r="F22" s="91">
        <f>E22*9.22*2.37</f>
        <v>131.10840000000002</v>
      </c>
      <c r="G22" s="16"/>
      <c r="H22" s="16"/>
      <c r="I22" s="16"/>
      <c r="J22" s="18"/>
      <c r="L22" s="35"/>
      <c r="M22" s="35"/>
    </row>
    <row r="23" spans="1:13" s="19" customFormat="1" x14ac:dyDescent="0.3">
      <c r="A23" s="16"/>
      <c r="B23" s="17" t="s">
        <v>24</v>
      </c>
      <c r="C23" s="17" t="s">
        <v>33</v>
      </c>
      <c r="D23" s="28" t="s">
        <v>5</v>
      </c>
      <c r="E23" s="28">
        <v>4</v>
      </c>
      <c r="F23" s="91">
        <f>E23*9.22*2.73</f>
        <v>100.6824</v>
      </c>
      <c r="G23" s="16"/>
      <c r="H23" s="16"/>
      <c r="I23" s="16"/>
      <c r="J23" s="18"/>
      <c r="L23" s="35"/>
      <c r="M23" s="35"/>
    </row>
    <row r="24" spans="1:13" s="19" customFormat="1" x14ac:dyDescent="0.3">
      <c r="A24" s="16"/>
      <c r="B24" s="17" t="s">
        <v>24</v>
      </c>
      <c r="C24" s="17" t="s">
        <v>34</v>
      </c>
      <c r="D24" s="28" t="s">
        <v>5</v>
      </c>
      <c r="E24" s="28">
        <v>2</v>
      </c>
      <c r="F24" s="91">
        <f>E24*9.22*5.7</f>
        <v>105.108</v>
      </c>
      <c r="G24" s="16"/>
      <c r="H24" s="16"/>
      <c r="I24" s="16"/>
      <c r="J24" s="18"/>
      <c r="L24" s="35"/>
      <c r="M24" s="35"/>
    </row>
    <row r="25" spans="1:13" s="19" customFormat="1" x14ac:dyDescent="0.3">
      <c r="A25" s="16"/>
      <c r="B25" s="16" t="s">
        <v>25</v>
      </c>
      <c r="C25" s="17" t="s">
        <v>26</v>
      </c>
      <c r="D25" s="28" t="s">
        <v>4</v>
      </c>
      <c r="E25" s="28">
        <v>48</v>
      </c>
      <c r="F25" s="28"/>
      <c r="G25" s="16"/>
      <c r="H25" s="16"/>
      <c r="I25" s="16"/>
      <c r="J25" s="18"/>
      <c r="L25" s="35"/>
      <c r="M25" s="35"/>
    </row>
    <row r="26" spans="1:13" s="15" customFormat="1" x14ac:dyDescent="0.3">
      <c r="A26" s="13">
        <v>3</v>
      </c>
      <c r="B26" s="13" t="s">
        <v>58</v>
      </c>
      <c r="C26" s="13"/>
      <c r="D26" s="26" t="s">
        <v>4</v>
      </c>
      <c r="E26" s="26"/>
      <c r="F26" s="26">
        <f>SUM(E27:E33)</f>
        <v>76</v>
      </c>
      <c r="G26" s="13"/>
      <c r="H26" s="13"/>
      <c r="I26" s="14">
        <f>F26*G26</f>
        <v>0</v>
      </c>
      <c r="J26" s="13"/>
      <c r="L26" s="34"/>
      <c r="M26" s="34"/>
    </row>
    <row r="27" spans="1:13" s="21" customFormat="1" x14ac:dyDescent="0.3">
      <c r="A27" s="20"/>
      <c r="B27" s="18" t="s">
        <v>37</v>
      </c>
      <c r="C27" s="18" t="s">
        <v>39</v>
      </c>
      <c r="D27" s="28" t="s">
        <v>4</v>
      </c>
      <c r="E27" s="28">
        <v>4</v>
      </c>
      <c r="F27" s="29"/>
      <c r="G27" s="20"/>
      <c r="H27" s="16"/>
      <c r="I27" s="20"/>
      <c r="J27" s="18"/>
      <c r="L27" s="36"/>
      <c r="M27" s="37"/>
    </row>
    <row r="28" spans="1:13" s="19" customFormat="1" x14ac:dyDescent="0.3">
      <c r="A28" s="16"/>
      <c r="B28" s="18" t="s">
        <v>37</v>
      </c>
      <c r="C28" s="17" t="s">
        <v>40</v>
      </c>
      <c r="D28" s="28" t="s">
        <v>4</v>
      </c>
      <c r="E28" s="28">
        <v>4</v>
      </c>
      <c r="F28" s="28"/>
      <c r="G28" s="16"/>
      <c r="H28" s="16"/>
      <c r="I28" s="16"/>
      <c r="J28" s="18"/>
      <c r="L28" s="38"/>
      <c r="M28" s="37"/>
    </row>
    <row r="29" spans="1:13" s="19" customFormat="1" x14ac:dyDescent="0.3">
      <c r="A29" s="16"/>
      <c r="B29" s="18" t="s">
        <v>37</v>
      </c>
      <c r="C29" s="17" t="s">
        <v>41</v>
      </c>
      <c r="D29" s="28" t="s">
        <v>4</v>
      </c>
      <c r="E29" s="28">
        <v>4</v>
      </c>
      <c r="F29" s="28"/>
      <c r="G29" s="16"/>
      <c r="H29" s="16"/>
      <c r="I29" s="16"/>
      <c r="J29" s="18"/>
      <c r="L29" s="38"/>
      <c r="M29" s="37"/>
    </row>
    <row r="30" spans="1:13" s="19" customFormat="1" x14ac:dyDescent="0.3">
      <c r="A30" s="16"/>
      <c r="B30" s="18" t="s">
        <v>37</v>
      </c>
      <c r="C30" s="17" t="s">
        <v>42</v>
      </c>
      <c r="D30" s="28" t="s">
        <v>4</v>
      </c>
      <c r="E30" s="28">
        <v>52</v>
      </c>
      <c r="F30" s="28"/>
      <c r="G30" s="16"/>
      <c r="H30" s="16"/>
      <c r="I30" s="16"/>
      <c r="J30" s="18"/>
      <c r="L30" s="38"/>
      <c r="M30" s="37"/>
    </row>
    <row r="31" spans="1:13" s="19" customFormat="1" x14ac:dyDescent="0.3">
      <c r="A31" s="16"/>
      <c r="B31" s="18" t="s">
        <v>37</v>
      </c>
      <c r="C31" s="17" t="s">
        <v>55</v>
      </c>
      <c r="D31" s="28" t="s">
        <v>4</v>
      </c>
      <c r="E31" s="28">
        <v>4</v>
      </c>
      <c r="F31" s="28"/>
      <c r="G31" s="16"/>
      <c r="H31" s="16"/>
      <c r="I31" s="16"/>
      <c r="J31" s="18"/>
      <c r="L31" s="38"/>
      <c r="M31" s="37"/>
    </row>
    <row r="32" spans="1:13" s="19" customFormat="1" x14ac:dyDescent="0.3">
      <c r="A32" s="16"/>
      <c r="B32" s="18" t="s">
        <v>37</v>
      </c>
      <c r="C32" s="17" t="s">
        <v>56</v>
      </c>
      <c r="D32" s="28" t="s">
        <v>4</v>
      </c>
      <c r="E32" s="28">
        <v>4</v>
      </c>
      <c r="F32" s="28"/>
      <c r="G32" s="16"/>
      <c r="H32" s="16"/>
      <c r="I32" s="16"/>
      <c r="J32" s="18"/>
      <c r="L32" s="38"/>
      <c r="M32" s="37"/>
    </row>
    <row r="33" spans="1:13" s="19" customFormat="1" x14ac:dyDescent="0.3">
      <c r="A33" s="16"/>
      <c r="B33" s="18" t="s">
        <v>37</v>
      </c>
      <c r="C33" s="17" t="s">
        <v>57</v>
      </c>
      <c r="D33" s="28" t="s">
        <v>4</v>
      </c>
      <c r="E33" s="28">
        <v>4</v>
      </c>
      <c r="F33" s="28"/>
      <c r="G33" s="16"/>
      <c r="H33" s="16"/>
      <c r="I33" s="16"/>
      <c r="J33" s="18"/>
      <c r="L33" s="38"/>
      <c r="M33" s="37"/>
    </row>
    <row r="34" spans="1:13" s="15" customFormat="1" x14ac:dyDescent="0.3">
      <c r="A34" s="13">
        <v>4</v>
      </c>
      <c r="B34" s="23" t="s">
        <v>49</v>
      </c>
      <c r="C34" s="13"/>
      <c r="D34" s="26" t="s">
        <v>46</v>
      </c>
      <c r="E34" s="26"/>
      <c r="F34" s="26">
        <f>SUM(F36:F40)/1.06</f>
        <v>0</v>
      </c>
      <c r="G34" s="13"/>
      <c r="H34" s="13"/>
      <c r="I34" s="14">
        <f>F34*G34</f>
        <v>0</v>
      </c>
      <c r="J34" s="13"/>
      <c r="L34" s="34"/>
      <c r="M34" s="34"/>
    </row>
    <row r="35" spans="1:13" s="15" customFormat="1" ht="30" customHeight="1" x14ac:dyDescent="0.3">
      <c r="A35" s="16"/>
      <c r="B35" s="17" t="s">
        <v>52</v>
      </c>
      <c r="C35" s="17"/>
      <c r="D35" s="28" t="s">
        <v>48</v>
      </c>
      <c r="E35" s="30">
        <f>(48+48)/4</f>
        <v>24</v>
      </c>
      <c r="F35" s="28"/>
      <c r="G35" s="16"/>
      <c r="H35" s="16"/>
      <c r="I35" s="16"/>
      <c r="J35" s="18"/>
      <c r="L35" s="34"/>
      <c r="M35" s="34"/>
    </row>
    <row r="36" spans="1:13" s="19" customFormat="1" ht="57.6" x14ac:dyDescent="0.3">
      <c r="A36" s="16"/>
      <c r="B36" s="17" t="s">
        <v>50</v>
      </c>
      <c r="C36" s="17"/>
      <c r="D36" s="28" t="s">
        <v>38</v>
      </c>
      <c r="E36" s="30">
        <f>(F6+F16)/1000*40</f>
        <v>52.136992000000006</v>
      </c>
      <c r="F36" s="28"/>
      <c r="G36" s="16"/>
      <c r="H36" s="16"/>
      <c r="I36" s="16"/>
      <c r="J36" s="18"/>
      <c r="L36" s="35"/>
      <c r="M36" s="35"/>
    </row>
    <row r="37" spans="1:13" s="19" customFormat="1" ht="28.8" x14ac:dyDescent="0.3">
      <c r="A37" s="16"/>
      <c r="B37" s="17" t="s">
        <v>51</v>
      </c>
      <c r="C37" s="17"/>
      <c r="D37" s="28" t="s">
        <v>38</v>
      </c>
      <c r="E37" s="30">
        <f>(0.04*2+0.2*2)*(0.475*E27+0.975*E28+1.475*E29+1.95*E30+1.575*E31+1.075*E32+0.575*E33)</f>
        <v>60.48</v>
      </c>
      <c r="F37" s="28"/>
      <c r="G37" s="16"/>
      <c r="H37" s="16"/>
      <c r="I37" s="16"/>
      <c r="J37" s="18"/>
      <c r="L37" s="35"/>
      <c r="M37" s="35"/>
    </row>
    <row r="38" spans="1:13" s="19" customFormat="1" ht="28.8" x14ac:dyDescent="0.3">
      <c r="A38" s="16"/>
      <c r="B38" s="17" t="s">
        <v>47</v>
      </c>
      <c r="C38" s="17"/>
      <c r="D38" s="28" t="s">
        <v>43</v>
      </c>
      <c r="E38" s="28">
        <f>1.27*(E19+E9)+1.35*(E20+E10)+2.73*(E13+E23)+5.7*(E14+E24)</f>
        <v>60.519999999999996</v>
      </c>
      <c r="G38" s="16"/>
      <c r="H38" s="16"/>
      <c r="I38" s="16"/>
      <c r="J38" s="18"/>
      <c r="L38" s="35"/>
      <c r="M38" s="35"/>
    </row>
    <row r="39" spans="1:13" s="19" customFormat="1" x14ac:dyDescent="0.3">
      <c r="A39" s="16"/>
      <c r="B39" s="17" t="s">
        <v>44</v>
      </c>
      <c r="C39" s="17"/>
      <c r="D39" s="28" t="s">
        <v>5</v>
      </c>
      <c r="E39" s="30">
        <f>0.05*0.05*0.004*7850*(F26)*2*1.2</f>
        <v>14.318400000000002</v>
      </c>
      <c r="F39" s="28"/>
      <c r="G39" s="16"/>
      <c r="H39" s="16"/>
      <c r="I39" s="16"/>
      <c r="J39" s="18"/>
      <c r="L39" s="35"/>
      <c r="M39" s="35"/>
    </row>
    <row r="40" spans="1:13" s="19" customFormat="1" ht="28.8" x14ac:dyDescent="0.3">
      <c r="A40" s="16"/>
      <c r="B40" s="17" t="s">
        <v>45</v>
      </c>
      <c r="C40" s="17"/>
      <c r="D40" s="28" t="s">
        <v>46</v>
      </c>
      <c r="E40" s="30">
        <v>1</v>
      </c>
      <c r="F40" s="28"/>
      <c r="G40" s="16"/>
      <c r="H40" s="16"/>
      <c r="I40" s="16"/>
      <c r="J40" s="18"/>
      <c r="L40" s="35"/>
      <c r="M40" s="35"/>
    </row>
    <row r="41" spans="1:13" ht="15.6" x14ac:dyDescent="0.3">
      <c r="A41" s="24"/>
      <c r="B41" s="39" t="s">
        <v>11</v>
      </c>
      <c r="C41" s="40" t="s">
        <v>12</v>
      </c>
      <c r="D41" s="41"/>
      <c r="E41" s="41"/>
      <c r="F41" s="42"/>
      <c r="G41" s="43"/>
      <c r="H41" s="43"/>
      <c r="I41" s="43">
        <f>SUM(I6:I40)</f>
        <v>0</v>
      </c>
      <c r="J41" s="44"/>
    </row>
    <row r="42" spans="1:13" ht="15.6" x14ac:dyDescent="0.3">
      <c r="A42" s="24"/>
      <c r="B42" s="45" t="s">
        <v>13</v>
      </c>
      <c r="C42" s="46" t="s">
        <v>12</v>
      </c>
      <c r="D42" s="47"/>
      <c r="E42" s="47"/>
      <c r="F42" s="48"/>
      <c r="G42" s="49"/>
      <c r="H42" s="50"/>
      <c r="I42" s="49"/>
      <c r="J42" s="51">
        <f>SUM(J6:J40)</f>
        <v>0</v>
      </c>
    </row>
    <row r="43" spans="1:13" ht="15.6" x14ac:dyDescent="0.3">
      <c r="A43" s="24"/>
      <c r="B43" s="85" t="s">
        <v>14</v>
      </c>
      <c r="C43" s="86" t="s">
        <v>12</v>
      </c>
      <c r="D43" s="87"/>
      <c r="E43" s="87"/>
      <c r="F43" s="161"/>
      <c r="G43" s="161"/>
      <c r="H43" s="161"/>
      <c r="I43" s="161"/>
      <c r="J43" s="161"/>
    </row>
    <row r="44" spans="1:13" ht="18" thickBot="1" x14ac:dyDescent="0.35">
      <c r="A44" s="24"/>
      <c r="B44" s="88" t="s">
        <v>15</v>
      </c>
      <c r="C44" s="89" t="s">
        <v>12</v>
      </c>
      <c r="D44" s="90"/>
      <c r="E44" s="90"/>
      <c r="F44" s="162">
        <f>I41+J42+F43</f>
        <v>0</v>
      </c>
      <c r="G44" s="162"/>
      <c r="H44" s="162"/>
      <c r="I44" s="162"/>
      <c r="J44" s="162"/>
    </row>
    <row r="45" spans="1:13" ht="17.399999999999999" x14ac:dyDescent="0.3">
      <c r="A45" s="57"/>
      <c r="B45" s="82" t="s">
        <v>61</v>
      </c>
      <c r="C45" s="58"/>
      <c r="D45" s="59"/>
      <c r="E45" s="154"/>
      <c r="F45" s="154"/>
      <c r="G45" s="154"/>
      <c r="H45" s="155"/>
      <c r="I45" s="52"/>
      <c r="J45" s="52"/>
    </row>
    <row r="46" spans="1:13" ht="17.399999999999999" x14ac:dyDescent="0.3">
      <c r="A46" s="60"/>
      <c r="B46" s="83" t="s">
        <v>16</v>
      </c>
      <c r="C46" s="61" t="s">
        <v>17</v>
      </c>
      <c r="D46" s="62"/>
      <c r="E46" s="156"/>
      <c r="F46" s="156"/>
      <c r="G46" s="156"/>
      <c r="H46" s="157"/>
      <c r="I46" s="52"/>
      <c r="J46" s="52"/>
    </row>
    <row r="47" spans="1:13" ht="17.399999999999999" x14ac:dyDescent="0.3">
      <c r="A47" s="60"/>
      <c r="B47" s="83" t="s">
        <v>18</v>
      </c>
      <c r="C47" s="63"/>
      <c r="D47" s="64"/>
      <c r="E47" s="142"/>
      <c r="F47" s="142"/>
      <c r="G47" s="142"/>
      <c r="H47" s="143"/>
      <c r="I47" s="53"/>
      <c r="J47" s="53"/>
    </row>
    <row r="48" spans="1:13" ht="15.6" x14ac:dyDescent="0.3">
      <c r="A48" s="60"/>
      <c r="B48" s="83" t="s">
        <v>19</v>
      </c>
      <c r="C48" s="61" t="s">
        <v>12</v>
      </c>
      <c r="D48" s="65"/>
      <c r="E48" s="144"/>
      <c r="F48" s="144"/>
      <c r="G48" s="144"/>
      <c r="H48" s="145"/>
      <c r="I48" s="54"/>
      <c r="J48" s="54"/>
    </row>
    <row r="49" spans="1:10" ht="16.2" thickBot="1" x14ac:dyDescent="0.35">
      <c r="A49" s="66"/>
      <c r="B49" s="84" t="s">
        <v>20</v>
      </c>
      <c r="C49" s="67"/>
      <c r="D49" s="68"/>
      <c r="E49" s="146"/>
      <c r="F49" s="147"/>
      <c r="G49" s="147"/>
      <c r="H49" s="148"/>
      <c r="I49" s="54"/>
      <c r="J49" s="54"/>
    </row>
    <row r="50" spans="1:10" ht="15" customHeight="1" x14ac:dyDescent="0.3">
      <c r="A50" s="69"/>
      <c r="B50" s="70" t="s">
        <v>62</v>
      </c>
      <c r="C50" s="149" t="s">
        <v>63</v>
      </c>
      <c r="D50" s="150"/>
      <c r="E50" s="151"/>
      <c r="F50" s="71" t="s">
        <v>64</v>
      </c>
      <c r="G50" s="152" t="s">
        <v>65</v>
      </c>
      <c r="H50" s="153"/>
      <c r="I50" s="55"/>
      <c r="J50" s="55"/>
    </row>
    <row r="51" spans="1:10" ht="15" customHeight="1" x14ac:dyDescent="0.3">
      <c r="A51" s="72">
        <v>1</v>
      </c>
      <c r="B51" s="73"/>
      <c r="C51" s="136"/>
      <c r="D51" s="137"/>
      <c r="E51" s="138"/>
      <c r="F51" s="74"/>
      <c r="G51" s="75"/>
      <c r="H51" s="76"/>
      <c r="I51" s="55"/>
      <c r="J51" s="55"/>
    </row>
    <row r="52" spans="1:10" ht="15.75" customHeight="1" x14ac:dyDescent="0.3">
      <c r="A52" s="72">
        <v>2</v>
      </c>
      <c r="B52" s="73"/>
      <c r="C52" s="136"/>
      <c r="D52" s="137"/>
      <c r="E52" s="138"/>
      <c r="F52" s="74"/>
      <c r="G52" s="75"/>
      <c r="H52" s="76"/>
      <c r="I52" s="56"/>
      <c r="J52" s="56"/>
    </row>
    <row r="53" spans="1:10" ht="18" x14ac:dyDescent="0.3">
      <c r="A53" s="72">
        <v>3</v>
      </c>
      <c r="B53" s="73"/>
      <c r="C53" s="136"/>
      <c r="D53" s="137"/>
      <c r="E53" s="138"/>
      <c r="F53" s="74"/>
      <c r="G53" s="75"/>
      <c r="H53" s="76"/>
    </row>
    <row r="54" spans="1:10" ht="18.600000000000001" thickBot="1" x14ac:dyDescent="0.35">
      <c r="A54" s="77">
        <v>4</v>
      </c>
      <c r="B54" s="78"/>
      <c r="C54" s="139"/>
      <c r="D54" s="140"/>
      <c r="E54" s="141"/>
      <c r="F54" s="79"/>
      <c r="G54" s="80"/>
      <c r="H54" s="81"/>
    </row>
    <row r="55" spans="1:10" ht="15.6" x14ac:dyDescent="0.3">
      <c r="F55" s="32"/>
    </row>
    <row r="56" spans="1:10" ht="15.6" x14ac:dyDescent="0.3">
      <c r="F56" s="32"/>
    </row>
    <row r="57" spans="1:10" ht="15.6" x14ac:dyDescent="0.3">
      <c r="F57" s="32"/>
    </row>
  </sheetData>
  <mergeCells count="16">
    <mergeCell ref="E45:H45"/>
    <mergeCell ref="E46:H46"/>
    <mergeCell ref="A1:J1"/>
    <mergeCell ref="A2:J2"/>
    <mergeCell ref="F4:J4"/>
    <mergeCell ref="F43:J43"/>
    <mergeCell ref="F44:J44"/>
    <mergeCell ref="C53:E53"/>
    <mergeCell ref="C54:E54"/>
    <mergeCell ref="E47:H47"/>
    <mergeCell ref="E48:H48"/>
    <mergeCell ref="E49:H49"/>
    <mergeCell ref="C50:E50"/>
    <mergeCell ref="G50:H50"/>
    <mergeCell ref="C51:E51"/>
    <mergeCell ref="C52:E52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97"/>
  <sheetViews>
    <sheetView tabSelected="1" topLeftCell="A49" zoomScale="70" zoomScaleNormal="70" workbookViewId="0">
      <selection activeCell="K78" sqref="K78"/>
    </sheetView>
  </sheetViews>
  <sheetFormatPr defaultRowHeight="14.4" x14ac:dyDescent="0.3"/>
  <cols>
    <col min="2" max="2" width="39.33203125" customWidth="1"/>
    <col min="3" max="3" width="8.6640625" customWidth="1"/>
    <col min="4" max="4" width="11.109375" style="93" customWidth="1"/>
    <col min="5" max="5" width="10.6640625" customWidth="1"/>
    <col min="6" max="6" width="18.44140625" bestFit="1" customWidth="1"/>
    <col min="7" max="7" width="14.88671875" customWidth="1"/>
    <col min="8" max="8" width="13.6640625" customWidth="1"/>
    <col min="9" max="9" width="9.109375" style="93"/>
  </cols>
  <sheetData>
    <row r="3" spans="1:9" ht="22.8" x14ac:dyDescent="0.4">
      <c r="A3" s="163" t="s">
        <v>66</v>
      </c>
      <c r="B3" s="163"/>
      <c r="C3" s="163"/>
      <c r="D3" s="163"/>
      <c r="E3" s="163"/>
      <c r="F3" s="163"/>
      <c r="G3" s="163"/>
      <c r="H3" s="163"/>
    </row>
    <row r="4" spans="1:9" x14ac:dyDescent="0.3">
      <c r="A4" s="164" t="s">
        <v>77</v>
      </c>
      <c r="B4" s="165"/>
      <c r="C4" s="165"/>
      <c r="D4" s="165"/>
      <c r="E4" s="165"/>
      <c r="F4" s="165"/>
      <c r="G4" s="165"/>
      <c r="H4" s="165"/>
    </row>
    <row r="5" spans="1:9" ht="18" customHeight="1" x14ac:dyDescent="0.3">
      <c r="A5" s="165"/>
      <c r="B5" s="165"/>
      <c r="C5" s="165"/>
      <c r="D5" s="165"/>
      <c r="E5" s="165"/>
      <c r="F5" s="165"/>
      <c r="G5" s="165"/>
      <c r="H5" s="165"/>
    </row>
    <row r="6" spans="1:9" ht="18" customHeight="1" x14ac:dyDescent="0.3">
      <c r="A6" s="165"/>
      <c r="B6" s="165"/>
      <c r="C6" s="94"/>
      <c r="D6" s="94"/>
      <c r="E6" s="94"/>
      <c r="F6" s="94"/>
      <c r="G6" s="94"/>
      <c r="H6" s="94"/>
    </row>
    <row r="7" spans="1:9" x14ac:dyDescent="0.3">
      <c r="A7" s="95"/>
      <c r="B7" s="95"/>
      <c r="C7" s="95"/>
      <c r="D7" s="96"/>
      <c r="E7" s="95"/>
      <c r="F7" s="166" t="s">
        <v>131</v>
      </c>
      <c r="G7" s="167"/>
      <c r="H7" s="167"/>
    </row>
    <row r="8" spans="1:9" ht="15" thickBot="1" x14ac:dyDescent="0.35">
      <c r="A8" s="95"/>
      <c r="B8" s="95" t="s">
        <v>78</v>
      </c>
      <c r="C8" s="95"/>
      <c r="D8" s="96"/>
      <c r="E8" s="95"/>
      <c r="F8" s="168"/>
      <c r="G8" s="168"/>
      <c r="H8" s="168"/>
    </row>
    <row r="9" spans="1:9" ht="40.200000000000003" thickBot="1" x14ac:dyDescent="0.35">
      <c r="A9" s="97" t="s">
        <v>67</v>
      </c>
      <c r="B9" s="98" t="s">
        <v>68</v>
      </c>
      <c r="C9" s="98" t="s">
        <v>69</v>
      </c>
      <c r="D9" s="99" t="s">
        <v>70</v>
      </c>
      <c r="E9" s="98" t="s">
        <v>71</v>
      </c>
      <c r="F9" s="98" t="s">
        <v>72</v>
      </c>
      <c r="G9" s="98" t="s">
        <v>73</v>
      </c>
      <c r="H9" s="100" t="s">
        <v>74</v>
      </c>
    </row>
    <row r="10" spans="1:9" ht="17.399999999999999" x14ac:dyDescent="0.3">
      <c r="A10" s="169" t="s">
        <v>93</v>
      </c>
      <c r="B10" s="170"/>
      <c r="C10" s="170"/>
      <c r="D10" s="170"/>
      <c r="E10" s="170"/>
      <c r="F10" s="170"/>
      <c r="G10" s="170"/>
      <c r="H10" s="171"/>
    </row>
    <row r="11" spans="1:9" ht="27.6" x14ac:dyDescent="0.3">
      <c r="A11" s="101">
        <v>1</v>
      </c>
      <c r="B11" s="102" t="s">
        <v>90</v>
      </c>
      <c r="C11" s="135" t="s">
        <v>79</v>
      </c>
      <c r="D11" s="119">
        <f>SUM(D12:D19)/1.035/1000</f>
        <v>0.65171239999999997</v>
      </c>
      <c r="E11" s="103"/>
      <c r="F11" s="103">
        <f>E11*D11</f>
        <v>0</v>
      </c>
      <c r="G11" s="104"/>
      <c r="H11" s="105"/>
    </row>
    <row r="12" spans="1:9" x14ac:dyDescent="0.3">
      <c r="A12" s="101"/>
      <c r="B12" s="106" t="s">
        <v>80</v>
      </c>
      <c r="C12" s="107" t="s">
        <v>5</v>
      </c>
      <c r="D12" s="108">
        <f>'расчет дом 8,9'!F7*1.035</f>
        <v>31.199039999999997</v>
      </c>
      <c r="E12" s="109"/>
      <c r="F12" s="109"/>
      <c r="G12" s="108"/>
      <c r="H12" s="110">
        <f>G12*D12</f>
        <v>0</v>
      </c>
      <c r="I12" s="96"/>
    </row>
    <row r="13" spans="1:9" x14ac:dyDescent="0.3">
      <c r="A13" s="111"/>
      <c r="B13" s="118" t="s">
        <v>81</v>
      </c>
      <c r="C13" s="107" t="s">
        <v>5</v>
      </c>
      <c r="D13" s="108">
        <f>'расчет дом 8,9'!F8*1.035</f>
        <v>87.747299999999996</v>
      </c>
      <c r="E13" s="108"/>
      <c r="F13" s="108"/>
      <c r="G13" s="108"/>
      <c r="H13" s="110">
        <f t="shared" ref="H13:H23" si="0">G13*D13</f>
        <v>0</v>
      </c>
      <c r="I13" s="96"/>
    </row>
    <row r="14" spans="1:9" x14ac:dyDescent="0.3">
      <c r="A14" s="111"/>
      <c r="B14" s="106" t="s">
        <v>82</v>
      </c>
      <c r="C14" s="107" t="s">
        <v>5</v>
      </c>
      <c r="D14" s="108">
        <f>'расчет дом 8,9'!F9*1.035</f>
        <v>24.238457999999998</v>
      </c>
      <c r="E14" s="108"/>
      <c r="F14" s="108"/>
      <c r="G14" s="108"/>
      <c r="H14" s="110">
        <f t="shared" si="0"/>
        <v>0</v>
      </c>
      <c r="I14" s="96"/>
    </row>
    <row r="15" spans="1:9" x14ac:dyDescent="0.3">
      <c r="A15" s="111"/>
      <c r="B15" s="106" t="s">
        <v>83</v>
      </c>
      <c r="C15" s="107" t="s">
        <v>5</v>
      </c>
      <c r="D15" s="108">
        <f>'расчет дом 8,9'!F10*1.035</f>
        <v>51.53058</v>
      </c>
      <c r="E15" s="109"/>
      <c r="F15" s="109"/>
      <c r="G15" s="108"/>
      <c r="H15" s="110">
        <f t="shared" si="0"/>
        <v>0</v>
      </c>
      <c r="I15" s="96"/>
    </row>
    <row r="16" spans="1:9" x14ac:dyDescent="0.3">
      <c r="A16" s="111"/>
      <c r="B16" s="106" t="s">
        <v>84</v>
      </c>
      <c r="C16" s="107" t="s">
        <v>5</v>
      </c>
      <c r="D16" s="108">
        <f>'расчет дом 8,9'!F11*1.035</f>
        <v>131.11669800000001</v>
      </c>
      <c r="E16" s="109"/>
      <c r="F16" s="109"/>
      <c r="G16" s="112"/>
      <c r="H16" s="110">
        <f t="shared" si="0"/>
        <v>0</v>
      </c>
      <c r="I16" s="96"/>
    </row>
    <row r="17" spans="1:9" x14ac:dyDescent="0.3">
      <c r="A17" s="111"/>
      <c r="B17" s="106" t="s">
        <v>85</v>
      </c>
      <c r="C17" s="107" t="s">
        <v>5</v>
      </c>
      <c r="D17" s="108">
        <f>'расчет дом 8,9'!F12*1.035</f>
        <v>135.697194</v>
      </c>
      <c r="E17" s="115"/>
      <c r="F17" s="115"/>
      <c r="G17" s="116"/>
      <c r="H17" s="110">
        <f t="shared" si="0"/>
        <v>0</v>
      </c>
      <c r="I17" s="96"/>
    </row>
    <row r="18" spans="1:9" x14ac:dyDescent="0.3">
      <c r="A18" s="111"/>
      <c r="B18" s="106" t="s">
        <v>86</v>
      </c>
      <c r="C18" s="107" t="s">
        <v>5</v>
      </c>
      <c r="D18" s="108">
        <f>'расчет дом 8,9'!F13*1.035</f>
        <v>104.206284</v>
      </c>
      <c r="E18" s="115"/>
      <c r="F18" s="115"/>
      <c r="G18" s="116"/>
      <c r="H18" s="110">
        <f t="shared" si="0"/>
        <v>0</v>
      </c>
      <c r="I18" s="96"/>
    </row>
    <row r="19" spans="1:9" x14ac:dyDescent="0.3">
      <c r="A19" s="111"/>
      <c r="B19" s="106" t="s">
        <v>87</v>
      </c>
      <c r="C19" s="107" t="s">
        <v>5</v>
      </c>
      <c r="D19" s="108">
        <f>'расчет дом 8,9'!F14*1.035</f>
        <v>108.78677999999999</v>
      </c>
      <c r="E19" s="115"/>
      <c r="F19" s="115"/>
      <c r="G19" s="116"/>
      <c r="H19" s="110">
        <f t="shared" si="0"/>
        <v>0</v>
      </c>
      <c r="I19" s="96"/>
    </row>
    <row r="20" spans="1:9" x14ac:dyDescent="0.3">
      <c r="A20" s="111"/>
      <c r="B20" s="106" t="s">
        <v>88</v>
      </c>
      <c r="C20" s="113" t="s">
        <v>4</v>
      </c>
      <c r="D20" s="114">
        <f>'расчет дом 8,9'!E15/26</f>
        <v>1.8461538461538463</v>
      </c>
      <c r="E20" s="115"/>
      <c r="F20" s="115"/>
      <c r="G20" s="116"/>
      <c r="H20" s="110">
        <f t="shared" si="0"/>
        <v>0</v>
      </c>
      <c r="I20" s="96"/>
    </row>
    <row r="21" spans="1:9" x14ac:dyDescent="0.3">
      <c r="A21" s="111"/>
      <c r="B21" s="106" t="s">
        <v>89</v>
      </c>
      <c r="C21" s="113" t="s">
        <v>43</v>
      </c>
      <c r="D21" s="134">
        <f>0.16*'расчет дом 8,9'!E25</f>
        <v>7.68</v>
      </c>
      <c r="E21" s="115"/>
      <c r="F21" s="115"/>
      <c r="G21" s="116"/>
      <c r="H21" s="110">
        <f t="shared" si="0"/>
        <v>0</v>
      </c>
      <c r="I21" s="96"/>
    </row>
    <row r="22" spans="1:9" x14ac:dyDescent="0.3">
      <c r="A22" s="111"/>
      <c r="B22" s="106" t="s">
        <v>115</v>
      </c>
      <c r="C22" s="113" t="s">
        <v>4</v>
      </c>
      <c r="D22" s="114">
        <v>48</v>
      </c>
      <c r="E22" s="115"/>
      <c r="F22" s="115"/>
      <c r="G22" s="116"/>
      <c r="H22" s="110">
        <f t="shared" si="0"/>
        <v>0</v>
      </c>
      <c r="I22" s="96"/>
    </row>
    <row r="23" spans="1:9" x14ac:dyDescent="0.3">
      <c r="A23" s="111"/>
      <c r="B23" s="106" t="s">
        <v>116</v>
      </c>
      <c r="C23" s="113" t="s">
        <v>4</v>
      </c>
      <c r="D23" s="114">
        <v>96</v>
      </c>
      <c r="E23" s="115"/>
      <c r="F23" s="115"/>
      <c r="G23" s="116"/>
      <c r="H23" s="110">
        <f t="shared" si="0"/>
        <v>0</v>
      </c>
      <c r="I23" s="96"/>
    </row>
    <row r="24" spans="1:9" ht="27.6" x14ac:dyDescent="0.3">
      <c r="A24" s="101">
        <v>2</v>
      </c>
      <c r="B24" s="102" t="s">
        <v>108</v>
      </c>
      <c r="C24" s="135" t="s">
        <v>38</v>
      </c>
      <c r="D24" s="103">
        <f>0.3*0.3*12</f>
        <v>1.08</v>
      </c>
      <c r="E24" s="103"/>
      <c r="F24" s="103">
        <f>E24*D24</f>
        <v>0</v>
      </c>
      <c r="G24" s="104"/>
      <c r="H24" s="105"/>
      <c r="I24" s="96"/>
    </row>
    <row r="25" spans="1:9" x14ac:dyDescent="0.3">
      <c r="A25" s="101"/>
      <c r="B25" s="106" t="s">
        <v>109</v>
      </c>
      <c r="C25" s="107" t="s">
        <v>5</v>
      </c>
      <c r="D25" s="108">
        <f>2.5*D24</f>
        <v>2.7</v>
      </c>
      <c r="E25" s="109"/>
      <c r="F25" s="109"/>
      <c r="G25" s="108"/>
      <c r="H25" s="110">
        <f>G25*D25</f>
        <v>0</v>
      </c>
      <c r="I25" s="96"/>
    </row>
    <row r="26" spans="1:9" ht="27.6" x14ac:dyDescent="0.3">
      <c r="A26" s="101">
        <v>3</v>
      </c>
      <c r="B26" s="102" t="s">
        <v>107</v>
      </c>
      <c r="C26" s="135" t="s">
        <v>38</v>
      </c>
      <c r="D26" s="103">
        <f>0.4*0.4*12</f>
        <v>1.9200000000000004</v>
      </c>
      <c r="E26" s="115"/>
      <c r="F26" s="103">
        <f>E26*D26</f>
        <v>0</v>
      </c>
      <c r="G26" s="116"/>
      <c r="H26" s="110"/>
      <c r="I26" s="96"/>
    </row>
    <row r="27" spans="1:9" x14ac:dyDescent="0.3">
      <c r="A27" s="101">
        <v>4</v>
      </c>
      <c r="B27" s="102" t="s">
        <v>112</v>
      </c>
      <c r="C27" s="135" t="s">
        <v>38</v>
      </c>
      <c r="D27" s="103">
        <f>0.108*0.108*2*48+0.31*0.31*12+0.32*(1.27*2+1.35*4+2.29*6+2.37*6+2.73*4+5.7*2)</f>
        <v>20.903344000000001</v>
      </c>
      <c r="E27" s="115"/>
      <c r="F27" s="103">
        <f>E27*D27</f>
        <v>0</v>
      </c>
      <c r="G27" s="116"/>
      <c r="H27" s="117"/>
      <c r="I27" s="96"/>
    </row>
    <row r="28" spans="1:9" ht="41.4" x14ac:dyDescent="0.3">
      <c r="A28" s="111"/>
      <c r="B28" s="106" t="s">
        <v>113</v>
      </c>
      <c r="C28" s="113" t="s">
        <v>5</v>
      </c>
      <c r="D28" s="114">
        <f>0.38*D27</f>
        <v>7.9432707200000001</v>
      </c>
      <c r="E28" s="115"/>
      <c r="F28" s="115"/>
      <c r="G28" s="116"/>
      <c r="H28" s="110">
        <f>G28*D28</f>
        <v>0</v>
      </c>
      <c r="I28" s="96"/>
    </row>
    <row r="29" spans="1:9" x14ac:dyDescent="0.3">
      <c r="A29" s="111"/>
      <c r="B29" s="123" t="s">
        <v>114</v>
      </c>
      <c r="C29" s="124" t="s">
        <v>91</v>
      </c>
      <c r="D29" s="125">
        <f>(0.035*D27)*2</f>
        <v>1.4632340800000001</v>
      </c>
      <c r="E29" s="187"/>
      <c r="F29" s="115"/>
      <c r="G29" s="116"/>
      <c r="H29" s="110">
        <f>G29*D29</f>
        <v>0</v>
      </c>
      <c r="I29" s="96"/>
    </row>
    <row r="30" spans="1:9" x14ac:dyDescent="0.3">
      <c r="A30" s="101">
        <v>5</v>
      </c>
      <c r="B30" s="102" t="s">
        <v>94</v>
      </c>
      <c r="C30" s="135" t="s">
        <v>43</v>
      </c>
      <c r="D30" s="103">
        <f>0.475*D31+0.975*D32+1.475*D33+1.95*D34+1.575*D35+1.075*D36+0.575*D37</f>
        <v>62.999999999999993</v>
      </c>
      <c r="E30" s="115"/>
      <c r="F30" s="103">
        <f>E30*D30</f>
        <v>0</v>
      </c>
      <c r="G30" s="116"/>
      <c r="H30" s="117"/>
      <c r="I30" s="96"/>
    </row>
    <row r="31" spans="1:9" x14ac:dyDescent="0.3">
      <c r="A31" s="111"/>
      <c r="B31" s="106" t="s">
        <v>95</v>
      </c>
      <c r="C31" s="113" t="s">
        <v>4</v>
      </c>
      <c r="D31" s="114">
        <f>'расчет дом 8,9'!E27/2</f>
        <v>2</v>
      </c>
      <c r="E31" s="115"/>
      <c r="F31" s="115"/>
      <c r="G31" s="116"/>
      <c r="H31" s="110">
        <f t="shared" ref="H31:H39" si="1">G31*D31</f>
        <v>0</v>
      </c>
      <c r="I31" s="96"/>
    </row>
    <row r="32" spans="1:9" x14ac:dyDescent="0.3">
      <c r="A32" s="111"/>
      <c r="B32" s="106" t="s">
        <v>96</v>
      </c>
      <c r="C32" s="113" t="s">
        <v>4</v>
      </c>
      <c r="D32" s="114">
        <f>'расчет дом 8,9'!E28/2</f>
        <v>2</v>
      </c>
      <c r="E32" s="115"/>
      <c r="F32" s="115"/>
      <c r="G32" s="116"/>
      <c r="H32" s="110">
        <f t="shared" si="1"/>
        <v>0</v>
      </c>
      <c r="I32" s="96"/>
    </row>
    <row r="33" spans="1:9" x14ac:dyDescent="0.3">
      <c r="A33" s="111"/>
      <c r="B33" s="106" t="s">
        <v>97</v>
      </c>
      <c r="C33" s="113" t="s">
        <v>4</v>
      </c>
      <c r="D33" s="114">
        <f>'расчет дом 8,9'!E29/2</f>
        <v>2</v>
      </c>
      <c r="E33" s="115"/>
      <c r="F33" s="115"/>
      <c r="G33" s="116"/>
      <c r="H33" s="110">
        <f t="shared" si="1"/>
        <v>0</v>
      </c>
      <c r="I33" s="96"/>
    </row>
    <row r="34" spans="1:9" x14ac:dyDescent="0.3">
      <c r="A34" s="111"/>
      <c r="B34" s="106" t="s">
        <v>98</v>
      </c>
      <c r="C34" s="113" t="s">
        <v>4</v>
      </c>
      <c r="D34" s="114">
        <f>'расчет дом 8,9'!E30/2</f>
        <v>26</v>
      </c>
      <c r="E34" s="115"/>
      <c r="F34" s="115"/>
      <c r="G34" s="116"/>
      <c r="H34" s="110">
        <f t="shared" si="1"/>
        <v>0</v>
      </c>
      <c r="I34" s="96"/>
    </row>
    <row r="35" spans="1:9" x14ac:dyDescent="0.3">
      <c r="A35" s="111"/>
      <c r="B35" s="106" t="s">
        <v>99</v>
      </c>
      <c r="C35" s="113" t="s">
        <v>4</v>
      </c>
      <c r="D35" s="114">
        <f>'расчет дом 8,9'!E31/2</f>
        <v>2</v>
      </c>
      <c r="E35" s="115"/>
      <c r="F35" s="115"/>
      <c r="G35" s="116"/>
      <c r="H35" s="110">
        <f t="shared" si="1"/>
        <v>0</v>
      </c>
      <c r="I35" s="96"/>
    </row>
    <row r="36" spans="1:9" x14ac:dyDescent="0.3">
      <c r="A36" s="111"/>
      <c r="B36" s="106" t="s">
        <v>100</v>
      </c>
      <c r="C36" s="113" t="s">
        <v>4</v>
      </c>
      <c r="D36" s="114">
        <f>'расчет дом 8,9'!E32/2</f>
        <v>2</v>
      </c>
      <c r="E36" s="115"/>
      <c r="F36" s="115"/>
      <c r="G36" s="116"/>
      <c r="H36" s="110">
        <f t="shared" si="1"/>
        <v>0</v>
      </c>
      <c r="I36" s="96"/>
    </row>
    <row r="37" spans="1:9" x14ac:dyDescent="0.3">
      <c r="A37" s="111"/>
      <c r="B37" s="106" t="s">
        <v>101</v>
      </c>
      <c r="C37" s="113" t="s">
        <v>4</v>
      </c>
      <c r="D37" s="114">
        <f>'расчет дом 8,9'!E33/2</f>
        <v>2</v>
      </c>
      <c r="E37" s="115"/>
      <c r="F37" s="115"/>
      <c r="G37" s="116"/>
      <c r="H37" s="110">
        <f t="shared" si="1"/>
        <v>0</v>
      </c>
      <c r="I37" s="96"/>
    </row>
    <row r="38" spans="1:9" x14ac:dyDescent="0.3">
      <c r="A38" s="111"/>
      <c r="B38" s="106" t="s">
        <v>102</v>
      </c>
      <c r="C38" s="113" t="s">
        <v>5</v>
      </c>
      <c r="D38" s="114">
        <f>0.05*0.05*0.004*7850*(D30)*2</f>
        <v>9.891</v>
      </c>
      <c r="E38" s="115"/>
      <c r="F38" s="115"/>
      <c r="G38" s="116"/>
      <c r="H38" s="110">
        <f t="shared" si="1"/>
        <v>0</v>
      </c>
      <c r="I38" s="96"/>
    </row>
    <row r="39" spans="1:9" s="128" customFormat="1" ht="46.5" customHeight="1" x14ac:dyDescent="0.3">
      <c r="A39" s="111"/>
      <c r="B39" s="106" t="s">
        <v>103</v>
      </c>
      <c r="C39" s="129" t="s">
        <v>4</v>
      </c>
      <c r="D39" s="108">
        <f>SUM(D31:D37)*2</f>
        <v>76</v>
      </c>
      <c r="E39" s="126"/>
      <c r="F39" s="126"/>
      <c r="G39" s="127"/>
      <c r="H39" s="110">
        <f t="shared" si="1"/>
        <v>0</v>
      </c>
      <c r="I39" s="132"/>
    </row>
    <row r="40" spans="1:9" ht="27.6" x14ac:dyDescent="0.3">
      <c r="A40" s="101">
        <v>6</v>
      </c>
      <c r="B40" s="102" t="s">
        <v>104</v>
      </c>
      <c r="C40" s="135" t="s">
        <v>38</v>
      </c>
      <c r="D40" s="103">
        <f>D30*(0.04*2+0.2*2)+D39*0.04*0.2</f>
        <v>30.847999999999999</v>
      </c>
      <c r="E40" s="115"/>
      <c r="F40" s="103">
        <f>E40*D40</f>
        <v>0</v>
      </c>
      <c r="G40" s="116"/>
      <c r="H40" s="117"/>
      <c r="I40" s="96"/>
    </row>
    <row r="41" spans="1:9" x14ac:dyDescent="0.3">
      <c r="A41" s="111"/>
      <c r="B41" s="120" t="s">
        <v>105</v>
      </c>
      <c r="C41" s="121" t="s">
        <v>91</v>
      </c>
      <c r="D41" s="122">
        <f>0.18*D40</f>
        <v>5.5526399999999994</v>
      </c>
      <c r="E41" s="115"/>
      <c r="F41" s="115"/>
      <c r="G41" s="116"/>
      <c r="H41" s="110">
        <f t="shared" ref="H41:H42" si="2">G41*D41</f>
        <v>0</v>
      </c>
      <c r="I41" s="96"/>
    </row>
    <row r="42" spans="1:9" ht="15" thickBot="1" x14ac:dyDescent="0.35">
      <c r="A42" s="111"/>
      <c r="B42" s="120" t="s">
        <v>106</v>
      </c>
      <c r="C42" s="121" t="s">
        <v>91</v>
      </c>
      <c r="D42" s="122">
        <f>0.34*D40</f>
        <v>10.48832</v>
      </c>
      <c r="E42" s="187"/>
      <c r="F42" s="115"/>
      <c r="G42" s="116"/>
      <c r="H42" s="110">
        <f t="shared" si="2"/>
        <v>0</v>
      </c>
      <c r="I42" s="96"/>
    </row>
    <row r="43" spans="1:9" ht="17.399999999999999" x14ac:dyDescent="0.3">
      <c r="A43" s="169" t="s">
        <v>110</v>
      </c>
      <c r="B43" s="170"/>
      <c r="C43" s="170"/>
      <c r="D43" s="170"/>
      <c r="E43" s="170"/>
      <c r="F43" s="170"/>
      <c r="G43" s="170"/>
      <c r="H43" s="171"/>
      <c r="I43" s="96"/>
    </row>
    <row r="44" spans="1:9" ht="27.6" x14ac:dyDescent="0.3">
      <c r="A44" s="101">
        <v>1</v>
      </c>
      <c r="B44" s="102" t="s">
        <v>90</v>
      </c>
      <c r="C44" s="135" t="s">
        <v>79</v>
      </c>
      <c r="D44" s="119">
        <f>SUM(D45:D52)/1.035/1000</f>
        <v>0.65171239999999997</v>
      </c>
      <c r="E44" s="103"/>
      <c r="F44" s="103">
        <f>E44*D44</f>
        <v>0</v>
      </c>
      <c r="G44" s="104"/>
      <c r="H44" s="105"/>
      <c r="I44" s="96"/>
    </row>
    <row r="45" spans="1:9" x14ac:dyDescent="0.3">
      <c r="A45" s="101"/>
      <c r="B45" s="106" t="s">
        <v>80</v>
      </c>
      <c r="C45" s="107" t="s">
        <v>5</v>
      </c>
      <c r="D45" s="108">
        <f>'расчет дом 8,9'!F17*1.035</f>
        <v>31.199039999999997</v>
      </c>
      <c r="E45" s="109"/>
      <c r="F45" s="109"/>
      <c r="G45" s="108"/>
      <c r="H45" s="110">
        <f>G45*D45</f>
        <v>0</v>
      </c>
      <c r="I45" s="96"/>
    </row>
    <row r="46" spans="1:9" x14ac:dyDescent="0.3">
      <c r="A46" s="111"/>
      <c r="B46" s="118" t="s">
        <v>81</v>
      </c>
      <c r="C46" s="107" t="s">
        <v>5</v>
      </c>
      <c r="D46" s="108">
        <f>'расчет дом 8,9'!F18*1.035</f>
        <v>87.747299999999996</v>
      </c>
      <c r="E46" s="108"/>
      <c r="F46" s="108"/>
      <c r="G46" s="108"/>
      <c r="H46" s="110">
        <f t="shared" ref="H46:H56" si="3">G46*D46</f>
        <v>0</v>
      </c>
      <c r="I46" s="96"/>
    </row>
    <row r="47" spans="1:9" x14ac:dyDescent="0.3">
      <c r="A47" s="111"/>
      <c r="B47" s="106" t="s">
        <v>82</v>
      </c>
      <c r="C47" s="107" t="s">
        <v>5</v>
      </c>
      <c r="D47" s="108">
        <f>'расчет дом 8,9'!F19*1.035</f>
        <v>24.238457999999998</v>
      </c>
      <c r="E47" s="108"/>
      <c r="F47" s="108"/>
      <c r="G47" s="108"/>
      <c r="H47" s="110">
        <f t="shared" si="3"/>
        <v>0</v>
      </c>
      <c r="I47" s="96"/>
    </row>
    <row r="48" spans="1:9" x14ac:dyDescent="0.3">
      <c r="A48" s="111"/>
      <c r="B48" s="106" t="s">
        <v>83</v>
      </c>
      <c r="C48" s="107" t="s">
        <v>5</v>
      </c>
      <c r="D48" s="108">
        <f>'расчет дом 8,9'!F20*1.035</f>
        <v>51.53058</v>
      </c>
      <c r="E48" s="109"/>
      <c r="F48" s="109"/>
      <c r="G48" s="108"/>
      <c r="H48" s="110">
        <f t="shared" si="3"/>
        <v>0</v>
      </c>
      <c r="I48" s="96"/>
    </row>
    <row r="49" spans="1:9" x14ac:dyDescent="0.3">
      <c r="A49" s="111"/>
      <c r="B49" s="106" t="s">
        <v>84</v>
      </c>
      <c r="C49" s="107" t="s">
        <v>5</v>
      </c>
      <c r="D49" s="108">
        <f>'расчет дом 8,9'!F21*1.035</f>
        <v>131.11669800000001</v>
      </c>
      <c r="E49" s="109"/>
      <c r="F49" s="109"/>
      <c r="G49" s="112"/>
      <c r="H49" s="110">
        <f t="shared" si="3"/>
        <v>0</v>
      </c>
      <c r="I49" s="96"/>
    </row>
    <row r="50" spans="1:9" x14ac:dyDescent="0.3">
      <c r="A50" s="111"/>
      <c r="B50" s="106" t="s">
        <v>85</v>
      </c>
      <c r="C50" s="107" t="s">
        <v>5</v>
      </c>
      <c r="D50" s="108">
        <f>'расчет дом 8,9'!F22*1.035</f>
        <v>135.697194</v>
      </c>
      <c r="E50" s="115"/>
      <c r="F50" s="115"/>
      <c r="G50" s="116"/>
      <c r="H50" s="110">
        <f t="shared" si="3"/>
        <v>0</v>
      </c>
      <c r="I50" s="96"/>
    </row>
    <row r="51" spans="1:9" x14ac:dyDescent="0.3">
      <c r="A51" s="111"/>
      <c r="B51" s="106" t="s">
        <v>86</v>
      </c>
      <c r="C51" s="107" t="s">
        <v>5</v>
      </c>
      <c r="D51" s="108">
        <f>'расчет дом 8,9'!F23*1.035</f>
        <v>104.206284</v>
      </c>
      <c r="E51" s="115"/>
      <c r="F51" s="115"/>
      <c r="G51" s="116"/>
      <c r="H51" s="110">
        <f t="shared" si="3"/>
        <v>0</v>
      </c>
      <c r="I51" s="96"/>
    </row>
    <row r="52" spans="1:9" x14ac:dyDescent="0.3">
      <c r="A52" s="111"/>
      <c r="B52" s="106" t="s">
        <v>87</v>
      </c>
      <c r="C52" s="107" t="s">
        <v>5</v>
      </c>
      <c r="D52" s="108">
        <f>'расчет дом 8,9'!F24*1.035</f>
        <v>108.78677999999999</v>
      </c>
      <c r="E52" s="115"/>
      <c r="F52" s="115"/>
      <c r="G52" s="116"/>
      <c r="H52" s="110">
        <f t="shared" si="3"/>
        <v>0</v>
      </c>
      <c r="I52" s="96"/>
    </row>
    <row r="53" spans="1:9" x14ac:dyDescent="0.3">
      <c r="A53" s="111"/>
      <c r="B53" s="106" t="s">
        <v>88</v>
      </c>
      <c r="C53" s="113" t="s">
        <v>4</v>
      </c>
      <c r="D53" s="114">
        <f>'расчет дом 8,9'!E25/26</f>
        <v>1.8461538461538463</v>
      </c>
      <c r="E53" s="115"/>
      <c r="F53" s="115"/>
      <c r="G53" s="116"/>
      <c r="H53" s="110">
        <f t="shared" si="3"/>
        <v>0</v>
      </c>
      <c r="I53" s="96"/>
    </row>
    <row r="54" spans="1:9" x14ac:dyDescent="0.3">
      <c r="A54" s="111"/>
      <c r="B54" s="106" t="s">
        <v>89</v>
      </c>
      <c r="C54" s="113" t="s">
        <v>43</v>
      </c>
      <c r="D54" s="134">
        <f>0.16*'расчет дом 8,9'!E25</f>
        <v>7.68</v>
      </c>
      <c r="E54" s="115"/>
      <c r="F54" s="115"/>
      <c r="G54" s="116"/>
      <c r="H54" s="110">
        <f t="shared" si="3"/>
        <v>0</v>
      </c>
      <c r="I54" s="96"/>
    </row>
    <row r="55" spans="1:9" x14ac:dyDescent="0.3">
      <c r="A55" s="111"/>
      <c r="B55" s="106" t="s">
        <v>115</v>
      </c>
      <c r="C55" s="113" t="s">
        <v>4</v>
      </c>
      <c r="D55" s="114">
        <v>48</v>
      </c>
      <c r="E55" s="115"/>
      <c r="F55" s="115"/>
      <c r="G55" s="116"/>
      <c r="H55" s="110">
        <f t="shared" si="3"/>
        <v>0</v>
      </c>
      <c r="I55" s="96"/>
    </row>
    <row r="56" spans="1:9" x14ac:dyDescent="0.3">
      <c r="A56" s="111"/>
      <c r="B56" s="106" t="s">
        <v>116</v>
      </c>
      <c r="C56" s="113" t="s">
        <v>4</v>
      </c>
      <c r="D56" s="114">
        <v>96</v>
      </c>
      <c r="E56" s="115"/>
      <c r="F56" s="115"/>
      <c r="G56" s="116"/>
      <c r="H56" s="110">
        <f t="shared" si="3"/>
        <v>0</v>
      </c>
      <c r="I56" s="96"/>
    </row>
    <row r="57" spans="1:9" ht="27.6" x14ac:dyDescent="0.3">
      <c r="A57" s="101">
        <v>2</v>
      </c>
      <c r="B57" s="102" t="s">
        <v>108</v>
      </c>
      <c r="C57" s="135" t="s">
        <v>38</v>
      </c>
      <c r="D57" s="103">
        <f>0.3*0.3*12</f>
        <v>1.08</v>
      </c>
      <c r="E57" s="103"/>
      <c r="F57" s="103">
        <f>E57*D57</f>
        <v>0</v>
      </c>
      <c r="G57" s="104"/>
      <c r="H57" s="105"/>
      <c r="I57" s="96"/>
    </row>
    <row r="58" spans="1:9" x14ac:dyDescent="0.3">
      <c r="A58" s="101"/>
      <c r="B58" s="106" t="s">
        <v>109</v>
      </c>
      <c r="C58" s="107" t="s">
        <v>5</v>
      </c>
      <c r="D58" s="108">
        <f>2.5*D57</f>
        <v>2.7</v>
      </c>
      <c r="E58" s="109"/>
      <c r="F58" s="109"/>
      <c r="G58" s="108"/>
      <c r="H58" s="110">
        <f>G58*D58</f>
        <v>0</v>
      </c>
      <c r="I58" s="96"/>
    </row>
    <row r="59" spans="1:9" ht="27.6" x14ac:dyDescent="0.3">
      <c r="A59" s="101">
        <v>3</v>
      </c>
      <c r="B59" s="102" t="s">
        <v>107</v>
      </c>
      <c r="C59" s="135" t="s">
        <v>38</v>
      </c>
      <c r="D59" s="103">
        <f>0.4*0.4*12</f>
        <v>1.9200000000000004</v>
      </c>
      <c r="E59" s="115"/>
      <c r="F59" s="103">
        <f>E59*D59</f>
        <v>0</v>
      </c>
      <c r="G59" s="116"/>
      <c r="H59" s="110"/>
      <c r="I59" s="96"/>
    </row>
    <row r="60" spans="1:9" ht="20.25" customHeight="1" x14ac:dyDescent="0.3">
      <c r="A60" s="101">
        <v>4</v>
      </c>
      <c r="B60" s="102" t="s">
        <v>92</v>
      </c>
      <c r="C60" s="135" t="s">
        <v>38</v>
      </c>
      <c r="D60" s="103">
        <f>0.108*0.108*2*48+0.31*0.31*12+0.32*(1.27*2+1.35*4+2.29*6+2.37*6+2.73*4+5.7*2)</f>
        <v>20.903344000000001</v>
      </c>
      <c r="E60" s="115"/>
      <c r="F60" s="103">
        <f>E60*D60</f>
        <v>0</v>
      </c>
      <c r="G60" s="116"/>
      <c r="H60" s="117"/>
      <c r="I60" s="96"/>
    </row>
    <row r="61" spans="1:9" ht="41.4" x14ac:dyDescent="0.3">
      <c r="A61" s="111"/>
      <c r="B61" s="106" t="s">
        <v>113</v>
      </c>
      <c r="C61" s="130" t="s">
        <v>5</v>
      </c>
      <c r="D61" s="131">
        <f>0.38*D60</f>
        <v>7.9432707200000001</v>
      </c>
      <c r="E61" s="115"/>
      <c r="F61" s="115"/>
      <c r="G61" s="116"/>
      <c r="H61" s="110">
        <f>G61*D61</f>
        <v>0</v>
      </c>
      <c r="I61" s="96"/>
    </row>
    <row r="62" spans="1:9" x14ac:dyDescent="0.3">
      <c r="A62" s="111"/>
      <c r="B62" s="123" t="s">
        <v>114</v>
      </c>
      <c r="C62" s="124" t="s">
        <v>91</v>
      </c>
      <c r="D62" s="125">
        <f>(0.035*D60)*2</f>
        <v>1.4632340800000001</v>
      </c>
      <c r="E62" s="187"/>
      <c r="F62" s="115"/>
      <c r="G62" s="116"/>
      <c r="H62" s="110">
        <f>G62*D62</f>
        <v>0</v>
      </c>
      <c r="I62" s="96"/>
    </row>
    <row r="63" spans="1:9" x14ac:dyDescent="0.3">
      <c r="A63" s="101">
        <v>5</v>
      </c>
      <c r="B63" s="102" t="s">
        <v>94</v>
      </c>
      <c r="C63" s="135" t="s">
        <v>43</v>
      </c>
      <c r="D63" s="103">
        <f>0.475*D64+0.975*D65+1.475*D66+1.95*D67+1.575*D68+1.075*D69+0.575*D70</f>
        <v>62.999999999999993</v>
      </c>
      <c r="E63" s="115"/>
      <c r="F63" s="103">
        <f>E63*D63</f>
        <v>0</v>
      </c>
      <c r="G63" s="116"/>
      <c r="H63" s="117"/>
      <c r="I63" s="96"/>
    </row>
    <row r="64" spans="1:9" x14ac:dyDescent="0.3">
      <c r="A64" s="111"/>
      <c r="B64" s="106" t="s">
        <v>95</v>
      </c>
      <c r="C64" s="113" t="s">
        <v>4</v>
      </c>
      <c r="D64" s="114">
        <f>'расчет дом 8,9'!E27/2</f>
        <v>2</v>
      </c>
      <c r="E64" s="115"/>
      <c r="F64" s="115"/>
      <c r="G64" s="116"/>
      <c r="H64" s="110">
        <f t="shared" ref="H64:H72" si="4">G64*D64</f>
        <v>0</v>
      </c>
      <c r="I64" s="96"/>
    </row>
    <row r="65" spans="1:9" x14ac:dyDescent="0.3">
      <c r="A65" s="111"/>
      <c r="B65" s="106" t="s">
        <v>96</v>
      </c>
      <c r="C65" s="113" t="s">
        <v>4</v>
      </c>
      <c r="D65" s="114">
        <f>'расчет дом 8,9'!E28/2</f>
        <v>2</v>
      </c>
      <c r="E65" s="115"/>
      <c r="F65" s="115"/>
      <c r="G65" s="116"/>
      <c r="H65" s="110">
        <f t="shared" si="4"/>
        <v>0</v>
      </c>
      <c r="I65" s="96"/>
    </row>
    <row r="66" spans="1:9" x14ac:dyDescent="0.3">
      <c r="A66" s="111"/>
      <c r="B66" s="106" t="s">
        <v>97</v>
      </c>
      <c r="C66" s="113" t="s">
        <v>4</v>
      </c>
      <c r="D66" s="114">
        <f>'расчет дом 8,9'!E29/2</f>
        <v>2</v>
      </c>
      <c r="E66" s="115"/>
      <c r="F66" s="115"/>
      <c r="G66" s="116"/>
      <c r="H66" s="110">
        <f t="shared" si="4"/>
        <v>0</v>
      </c>
      <c r="I66" s="96"/>
    </row>
    <row r="67" spans="1:9" x14ac:dyDescent="0.3">
      <c r="A67" s="111"/>
      <c r="B67" s="106" t="s">
        <v>98</v>
      </c>
      <c r="C67" s="113" t="s">
        <v>4</v>
      </c>
      <c r="D67" s="114">
        <f>'расчет дом 8,9'!E30/2</f>
        <v>26</v>
      </c>
      <c r="E67" s="115"/>
      <c r="F67" s="115"/>
      <c r="G67" s="116"/>
      <c r="H67" s="110">
        <f t="shared" si="4"/>
        <v>0</v>
      </c>
      <c r="I67" s="96"/>
    </row>
    <row r="68" spans="1:9" x14ac:dyDescent="0.3">
      <c r="A68" s="111"/>
      <c r="B68" s="106" t="s">
        <v>99</v>
      </c>
      <c r="C68" s="113" t="s">
        <v>4</v>
      </c>
      <c r="D68" s="114">
        <f>'расчет дом 8,9'!E31/2</f>
        <v>2</v>
      </c>
      <c r="E68" s="115"/>
      <c r="F68" s="115"/>
      <c r="G68" s="116"/>
      <c r="H68" s="110">
        <f t="shared" si="4"/>
        <v>0</v>
      </c>
      <c r="I68" s="96"/>
    </row>
    <row r="69" spans="1:9" x14ac:dyDescent="0.3">
      <c r="A69" s="111"/>
      <c r="B69" s="106" t="s">
        <v>100</v>
      </c>
      <c r="C69" s="113" t="s">
        <v>4</v>
      </c>
      <c r="D69" s="114">
        <f>'расчет дом 8,9'!E32/2</f>
        <v>2</v>
      </c>
      <c r="E69" s="115"/>
      <c r="F69" s="115"/>
      <c r="G69" s="116"/>
      <c r="H69" s="110">
        <f t="shared" si="4"/>
        <v>0</v>
      </c>
      <c r="I69" s="96"/>
    </row>
    <row r="70" spans="1:9" x14ac:dyDescent="0.3">
      <c r="A70" s="111"/>
      <c r="B70" s="106" t="s">
        <v>101</v>
      </c>
      <c r="C70" s="113" t="s">
        <v>4</v>
      </c>
      <c r="D70" s="114">
        <f>'расчет дом 8,9'!E33/2</f>
        <v>2</v>
      </c>
      <c r="E70" s="115"/>
      <c r="F70" s="115"/>
      <c r="G70" s="116"/>
      <c r="H70" s="110">
        <f t="shared" si="4"/>
        <v>0</v>
      </c>
      <c r="I70" s="96"/>
    </row>
    <row r="71" spans="1:9" x14ac:dyDescent="0.3">
      <c r="A71" s="111"/>
      <c r="B71" s="106" t="s">
        <v>102</v>
      </c>
      <c r="C71" s="113" t="s">
        <v>5</v>
      </c>
      <c r="D71" s="114">
        <f>0.05*0.05*0.004*7850*(D63)*2</f>
        <v>9.891</v>
      </c>
      <c r="E71" s="115"/>
      <c r="F71" s="115"/>
      <c r="G71" s="116"/>
      <c r="H71" s="110">
        <f t="shared" si="4"/>
        <v>0</v>
      </c>
      <c r="I71" s="96"/>
    </row>
    <row r="72" spans="1:9" ht="44.25" customHeight="1" x14ac:dyDescent="0.3">
      <c r="A72" s="111"/>
      <c r="B72" s="106" t="s">
        <v>103</v>
      </c>
      <c r="C72" s="113" t="s">
        <v>4</v>
      </c>
      <c r="D72" s="114">
        <f>SUM(D64:D70)*2</f>
        <v>76</v>
      </c>
      <c r="E72" s="115"/>
      <c r="F72" s="115"/>
      <c r="G72" s="116"/>
      <c r="H72" s="110">
        <f t="shared" si="4"/>
        <v>0</v>
      </c>
      <c r="I72" s="96"/>
    </row>
    <row r="73" spans="1:9" ht="27.6" x14ac:dyDescent="0.3">
      <c r="A73" s="101">
        <v>6</v>
      </c>
      <c r="B73" s="102" t="s">
        <v>104</v>
      </c>
      <c r="C73" s="135" t="s">
        <v>38</v>
      </c>
      <c r="D73" s="103">
        <f>D63*(0.04*2+0.2*2)+D72*0.04*0.2</f>
        <v>30.847999999999999</v>
      </c>
      <c r="E73" s="115"/>
      <c r="F73" s="103">
        <f>E73*D73</f>
        <v>0</v>
      </c>
      <c r="G73" s="116"/>
      <c r="H73" s="117"/>
      <c r="I73" s="96"/>
    </row>
    <row r="74" spans="1:9" x14ac:dyDescent="0.3">
      <c r="A74" s="111"/>
      <c r="B74" s="120" t="s">
        <v>105</v>
      </c>
      <c r="C74" s="121" t="s">
        <v>91</v>
      </c>
      <c r="D74" s="122">
        <f>0.18*D73</f>
        <v>5.5526399999999994</v>
      </c>
      <c r="E74" s="115"/>
      <c r="F74" s="115"/>
      <c r="G74" s="116"/>
      <c r="H74" s="110">
        <f t="shared" ref="H74:H75" si="5">G74*D74</f>
        <v>0</v>
      </c>
      <c r="I74" s="96"/>
    </row>
    <row r="75" spans="1:9" ht="15" thickBot="1" x14ac:dyDescent="0.35">
      <c r="A75" s="221"/>
      <c r="B75" s="222" t="s">
        <v>106</v>
      </c>
      <c r="C75" s="223" t="s">
        <v>91</v>
      </c>
      <c r="D75" s="224">
        <f>0.34*D73</f>
        <v>10.48832</v>
      </c>
      <c r="E75" s="187"/>
      <c r="F75" s="225"/>
      <c r="G75" s="226"/>
      <c r="H75" s="227">
        <f t="shared" si="5"/>
        <v>0</v>
      </c>
      <c r="I75" s="96"/>
    </row>
    <row r="76" spans="1:9" ht="15.6" x14ac:dyDescent="0.3">
      <c r="A76" s="57"/>
      <c r="B76" s="233" t="s">
        <v>72</v>
      </c>
      <c r="C76" s="235" t="s">
        <v>12</v>
      </c>
      <c r="D76" s="244"/>
      <c r="E76" s="241">
        <f>SUM(F11:F42,F44:F75)</f>
        <v>0</v>
      </c>
      <c r="F76" s="230"/>
      <c r="G76" s="230"/>
      <c r="H76" s="231"/>
      <c r="I76" s="133"/>
    </row>
    <row r="77" spans="1:9" ht="15.6" x14ac:dyDescent="0.3">
      <c r="A77" s="60"/>
      <c r="B77" s="234" t="s">
        <v>75</v>
      </c>
      <c r="C77" s="236" t="s">
        <v>12</v>
      </c>
      <c r="D77" s="245"/>
      <c r="E77" s="242">
        <f>SUM(H11:H42,H44:H75)</f>
        <v>0</v>
      </c>
      <c r="F77" s="229"/>
      <c r="G77" s="229"/>
      <c r="H77" s="232"/>
      <c r="I77" s="133"/>
    </row>
    <row r="78" spans="1:9" ht="21.75" customHeight="1" x14ac:dyDescent="0.3">
      <c r="A78" s="60"/>
      <c r="B78" s="234" t="s">
        <v>76</v>
      </c>
      <c r="C78" s="236" t="s">
        <v>12</v>
      </c>
      <c r="D78" s="245"/>
      <c r="E78" s="242">
        <v>0</v>
      </c>
      <c r="F78" s="229"/>
      <c r="G78" s="229"/>
      <c r="H78" s="232"/>
    </row>
    <row r="79" spans="1:9" ht="31.5" customHeight="1" thickBot="1" x14ac:dyDescent="0.35">
      <c r="A79" s="188"/>
      <c r="B79" s="238" t="s">
        <v>111</v>
      </c>
      <c r="C79" s="237"/>
      <c r="D79" s="246"/>
      <c r="E79" s="243">
        <f>E76+E77+E78</f>
        <v>0</v>
      </c>
      <c r="F79" s="239"/>
      <c r="G79" s="239"/>
      <c r="H79" s="240"/>
    </row>
    <row r="80" spans="1:9" ht="15.6" x14ac:dyDescent="0.3">
      <c r="B80" s="184" t="s">
        <v>117</v>
      </c>
      <c r="C80" s="200"/>
      <c r="D80" s="228"/>
      <c r="E80" s="185"/>
      <c r="F80" s="185"/>
      <c r="G80" s="185"/>
      <c r="H80" s="186"/>
    </row>
    <row r="81" spans="2:8" ht="15.6" x14ac:dyDescent="0.3">
      <c r="B81" s="172" t="s">
        <v>118</v>
      </c>
      <c r="C81" s="172"/>
      <c r="D81" s="219"/>
      <c r="E81" s="173"/>
      <c r="F81" s="173"/>
      <c r="G81" s="173"/>
      <c r="H81" s="174"/>
    </row>
    <row r="82" spans="2:8" ht="15.6" x14ac:dyDescent="0.3">
      <c r="B82" s="172" t="s">
        <v>119</v>
      </c>
      <c r="C82" s="172"/>
      <c r="D82" s="207" t="s">
        <v>120</v>
      </c>
      <c r="E82" s="175"/>
      <c r="F82" s="175"/>
      <c r="G82" s="175"/>
      <c r="H82" s="176"/>
    </row>
    <row r="83" spans="2:8" ht="15.6" x14ac:dyDescent="0.3">
      <c r="B83" s="177" t="s">
        <v>121</v>
      </c>
      <c r="C83" s="172"/>
      <c r="D83" s="207" t="s">
        <v>120</v>
      </c>
      <c r="E83" s="175"/>
      <c r="F83" s="175"/>
      <c r="G83" s="175"/>
      <c r="H83" s="176"/>
    </row>
    <row r="84" spans="2:8" ht="16.2" thickBot="1" x14ac:dyDescent="0.35">
      <c r="B84" s="178" t="s">
        <v>122</v>
      </c>
      <c r="C84" s="215"/>
      <c r="D84" s="220" t="s">
        <v>120</v>
      </c>
      <c r="E84" s="179"/>
      <c r="F84" s="179"/>
      <c r="G84" s="179"/>
      <c r="H84" s="180"/>
    </row>
    <row r="85" spans="2:8" ht="31.2" x14ac:dyDescent="0.3">
      <c r="B85" s="181" t="s">
        <v>123</v>
      </c>
      <c r="C85" s="200"/>
      <c r="D85" s="216" t="s">
        <v>120</v>
      </c>
      <c r="E85" s="217"/>
      <c r="F85" s="217"/>
      <c r="G85" s="217"/>
      <c r="H85" s="218"/>
    </row>
    <row r="86" spans="2:8" ht="15.6" x14ac:dyDescent="0.3">
      <c r="B86" s="172" t="s">
        <v>124</v>
      </c>
      <c r="C86" s="172"/>
      <c r="D86" s="207" t="s">
        <v>120</v>
      </c>
      <c r="E86" s="175"/>
      <c r="F86" s="175"/>
      <c r="G86" s="175"/>
      <c r="H86" s="176"/>
    </row>
    <row r="87" spans="2:8" ht="15.6" x14ac:dyDescent="0.3">
      <c r="B87" s="172" t="s">
        <v>125</v>
      </c>
      <c r="C87" s="172"/>
      <c r="D87" s="207"/>
      <c r="E87" s="175"/>
      <c r="F87" s="175"/>
      <c r="G87" s="175"/>
      <c r="H87" s="176"/>
    </row>
    <row r="88" spans="2:8" ht="15.6" x14ac:dyDescent="0.3">
      <c r="B88" s="172" t="s">
        <v>126</v>
      </c>
      <c r="C88" s="172"/>
      <c r="D88" s="207"/>
      <c r="E88" s="175"/>
      <c r="F88" s="175"/>
      <c r="G88" s="175"/>
      <c r="H88" s="176"/>
    </row>
    <row r="89" spans="2:8" ht="15.6" x14ac:dyDescent="0.3">
      <c r="B89" s="177" t="s">
        <v>127</v>
      </c>
      <c r="C89" s="189"/>
      <c r="D89" s="208" t="s">
        <v>120</v>
      </c>
      <c r="E89" s="205"/>
      <c r="F89" s="205"/>
      <c r="G89" s="205"/>
      <c r="H89" s="209"/>
    </row>
    <row r="90" spans="2:8" ht="15.6" x14ac:dyDescent="0.3">
      <c r="B90" s="177" t="s">
        <v>128</v>
      </c>
      <c r="C90" s="177"/>
      <c r="D90" s="210" t="s">
        <v>120</v>
      </c>
      <c r="E90" s="206"/>
      <c r="F90" s="206"/>
      <c r="G90" s="206"/>
      <c r="H90" s="211"/>
    </row>
    <row r="91" spans="2:8" ht="16.2" customHeight="1" thickBot="1" x14ac:dyDescent="0.35">
      <c r="B91" s="178" t="s">
        <v>129</v>
      </c>
      <c r="C91" s="201"/>
      <c r="D91" s="212" t="s">
        <v>120</v>
      </c>
      <c r="E91" s="213"/>
      <c r="F91" s="213"/>
      <c r="G91" s="213"/>
      <c r="H91" s="214"/>
    </row>
    <row r="92" spans="2:8" ht="15.6" x14ac:dyDescent="0.3">
      <c r="B92" s="194" t="s">
        <v>130</v>
      </c>
      <c r="C92" s="199">
        <v>1</v>
      </c>
      <c r="D92" s="202"/>
      <c r="E92" s="203"/>
      <c r="F92" s="203"/>
      <c r="G92" s="203"/>
      <c r="H92" s="204"/>
    </row>
    <row r="93" spans="2:8" ht="15.6" x14ac:dyDescent="0.3">
      <c r="B93" s="195"/>
      <c r="C93" s="182">
        <v>2</v>
      </c>
      <c r="D93" s="197"/>
      <c r="E93" s="190"/>
      <c r="F93" s="190"/>
      <c r="G93" s="190"/>
      <c r="H93" s="191"/>
    </row>
    <row r="94" spans="2:8" ht="15.6" x14ac:dyDescent="0.3">
      <c r="B94" s="195"/>
      <c r="C94" s="182">
        <v>3</v>
      </c>
      <c r="D94" s="197"/>
      <c r="E94" s="190"/>
      <c r="F94" s="190"/>
      <c r="G94" s="190"/>
      <c r="H94" s="191"/>
    </row>
    <row r="95" spans="2:8" ht="15.6" x14ac:dyDescent="0.3">
      <c r="B95" s="195"/>
      <c r="C95" s="182">
        <v>4</v>
      </c>
      <c r="D95" s="197"/>
      <c r="E95" s="190"/>
      <c r="F95" s="190"/>
      <c r="G95" s="190"/>
      <c r="H95" s="191"/>
    </row>
    <row r="96" spans="2:8" ht="15.6" x14ac:dyDescent="0.3">
      <c r="B96" s="195"/>
      <c r="C96" s="182">
        <v>5</v>
      </c>
      <c r="D96" s="197"/>
      <c r="E96" s="190"/>
      <c r="F96" s="190"/>
      <c r="G96" s="190"/>
      <c r="H96" s="191"/>
    </row>
    <row r="97" spans="2:8" ht="16.2" thickBot="1" x14ac:dyDescent="0.35">
      <c r="B97" s="196"/>
      <c r="C97" s="183">
        <v>6</v>
      </c>
      <c r="D97" s="198"/>
      <c r="E97" s="192"/>
      <c r="F97" s="192"/>
      <c r="G97" s="192"/>
      <c r="H97" s="193"/>
    </row>
  </sheetData>
  <mergeCells count="29">
    <mergeCell ref="D95:H95"/>
    <mergeCell ref="D96:H96"/>
    <mergeCell ref="D97:H97"/>
    <mergeCell ref="B92:B97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A3:H3"/>
    <mergeCell ref="A4:H5"/>
    <mergeCell ref="A6:B6"/>
    <mergeCell ref="F7:H8"/>
    <mergeCell ref="A10:H10"/>
    <mergeCell ref="A43:H43"/>
    <mergeCell ref="E76:H76"/>
    <mergeCell ref="E77:H77"/>
    <mergeCell ref="E78:H78"/>
    <mergeCell ref="E79:H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дом 8,9</vt:lpstr>
      <vt:lpstr>ТЗ</vt:lpstr>
      <vt:lpstr>'расчет дом 8,9'!Область_печати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Пастух</dc:creator>
  <cp:lastModifiedBy>Дмитрий Радченко</cp:lastModifiedBy>
  <cp:lastPrinted>2019-07-26T12:21:04Z</cp:lastPrinted>
  <dcterms:created xsi:type="dcterms:W3CDTF">2019-02-27T09:36:24Z</dcterms:created>
  <dcterms:modified xsi:type="dcterms:W3CDTF">2021-06-24T14:09:56Z</dcterms:modified>
</cp:coreProperties>
</file>