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-120" yWindow="-120" windowWidth="20730" windowHeight="11160"/>
  </bookViews>
  <sheets>
    <sheet name="для подрядчиков строителей" sheetId="14" r:id="rId1"/>
  </sheets>
  <calcPr calcId="152511"/>
</workbook>
</file>

<file path=xl/calcChain.xml><?xml version="1.0" encoding="utf-8"?>
<calcChain xmlns="http://schemas.openxmlformats.org/spreadsheetml/2006/main">
  <c r="F279" i="14" l="1"/>
  <c r="I263" i="14" l="1"/>
  <c r="I258" i="14"/>
  <c r="I255" i="14"/>
  <c r="I248" i="14"/>
  <c r="I247" i="14"/>
  <c r="I246" i="14"/>
  <c r="I239" i="14"/>
  <c r="I238" i="14"/>
  <c r="I236" i="14"/>
  <c r="I227" i="14"/>
  <c r="I226" i="14"/>
  <c r="I221" i="14"/>
  <c r="I220" i="14"/>
  <c r="I218" i="14"/>
  <c r="I217" i="14"/>
  <c r="I216" i="14"/>
  <c r="I215" i="14"/>
  <c r="I214" i="14"/>
  <c r="I213" i="14"/>
  <c r="I212" i="14"/>
  <c r="I210" i="14"/>
  <c r="I205" i="14"/>
  <c r="I203" i="14"/>
  <c r="I202" i="14"/>
  <c r="I201" i="14"/>
  <c r="I200" i="14"/>
  <c r="I199" i="14"/>
  <c r="I198" i="14"/>
  <c r="I196" i="14"/>
  <c r="I193" i="14"/>
  <c r="I192" i="14"/>
  <c r="I168" i="14"/>
  <c r="I167" i="14"/>
  <c r="I166" i="14"/>
  <c r="I165" i="14"/>
  <c r="I164" i="14"/>
  <c r="I163" i="14"/>
  <c r="I162" i="14"/>
  <c r="I161" i="14"/>
  <c r="I160" i="14"/>
  <c r="I159" i="14"/>
  <c r="I158" i="14"/>
  <c r="I156" i="14"/>
  <c r="I155" i="14"/>
  <c r="I148" i="14"/>
  <c r="I141" i="14"/>
  <c r="I140" i="14"/>
  <c r="I138" i="14"/>
  <c r="I137" i="14"/>
  <c r="I136" i="14"/>
  <c r="I131" i="14"/>
  <c r="I130" i="14"/>
  <c r="I125" i="14"/>
  <c r="I124" i="14"/>
  <c r="I122" i="14"/>
  <c r="I121" i="14"/>
  <c r="I120" i="14"/>
  <c r="I119" i="14"/>
  <c r="I118" i="14"/>
  <c r="I117" i="14"/>
  <c r="I116" i="14"/>
  <c r="I102" i="14"/>
  <c r="I101" i="14"/>
  <c r="I99" i="14"/>
  <c r="I100" i="14" s="1"/>
  <c r="I96" i="14"/>
  <c r="I95" i="14"/>
  <c r="I94" i="14"/>
  <c r="I93" i="14"/>
  <c r="I90" i="14"/>
  <c r="I89" i="14"/>
  <c r="I72" i="14"/>
  <c r="I45" i="14"/>
  <c r="I42" i="14"/>
  <c r="I39" i="14"/>
  <c r="I38" i="14"/>
  <c r="I37" i="14"/>
  <c r="I36" i="14"/>
  <c r="I33" i="14"/>
  <c r="I32" i="14"/>
  <c r="I31" i="14"/>
  <c r="I30" i="14"/>
  <c r="I27" i="14"/>
  <c r="I21" i="14"/>
  <c r="I20" i="14"/>
  <c r="I16" i="14"/>
  <c r="I15" i="14"/>
  <c r="F278" i="14" l="1"/>
  <c r="F277" i="14"/>
  <c r="F273" i="14"/>
  <c r="F267" i="14"/>
  <c r="D264" i="14"/>
  <c r="F262" i="14"/>
  <c r="F261" i="14"/>
  <c r="F260" i="14"/>
  <c r="F259" i="14"/>
  <c r="F258" i="14"/>
  <c r="F257" i="14"/>
  <c r="F256" i="14"/>
  <c r="F251" i="14"/>
  <c r="F250" i="14"/>
  <c r="F249" i="14"/>
  <c r="F247" i="14"/>
  <c r="F246" i="14"/>
  <c r="D242" i="14"/>
  <c r="F242" i="14" s="1"/>
  <c r="F241" i="14"/>
  <c r="F239" i="14"/>
  <c r="F238" i="14"/>
  <c r="F237" i="14"/>
  <c r="F236" i="14"/>
  <c r="D235" i="14"/>
  <c r="D234" i="14"/>
  <c r="I234" i="14" s="1"/>
  <c r="F232" i="14"/>
  <c r="F231" i="14"/>
  <c r="F226" i="14"/>
  <c r="F218" i="14"/>
  <c r="F217" i="14"/>
  <c r="F215" i="14"/>
  <c r="F214" i="14"/>
  <c r="F213" i="14"/>
  <c r="F212" i="14"/>
  <c r="F211" i="14"/>
  <c r="F210" i="14"/>
  <c r="F203" i="14"/>
  <c r="F202" i="14"/>
  <c r="F200" i="14"/>
  <c r="F199" i="14"/>
  <c r="F198" i="14"/>
  <c r="D197" i="14"/>
  <c r="I197" i="14" s="1"/>
  <c r="F196" i="14"/>
  <c r="D194" i="14"/>
  <c r="F193" i="14"/>
  <c r="F192" i="14"/>
  <c r="D190" i="14"/>
  <c r="F190" i="14" s="1"/>
  <c r="D173" i="14"/>
  <c r="D172" i="14"/>
  <c r="I172" i="14" s="1"/>
  <c r="F155" i="14"/>
  <c r="F150" i="14"/>
  <c r="F149" i="14"/>
  <c r="F144" i="14"/>
  <c r="F143" i="14"/>
  <c r="F142" i="14"/>
  <c r="F140" i="14"/>
  <c r="F138" i="14"/>
  <c r="F137" i="14"/>
  <c r="F136" i="14"/>
  <c r="F135" i="14"/>
  <c r="F130" i="14"/>
  <c r="F122" i="14"/>
  <c r="F121" i="14"/>
  <c r="F119" i="14"/>
  <c r="F118" i="14"/>
  <c r="F117" i="14"/>
  <c r="F116" i="14"/>
  <c r="D115" i="14"/>
  <c r="F115" i="14" s="1"/>
  <c r="D114" i="14"/>
  <c r="I114" i="14" s="1"/>
  <c r="D107" i="14"/>
  <c r="D106" i="14"/>
  <c r="D104" i="14"/>
  <c r="D103" i="14"/>
  <c r="F102" i="14"/>
  <c r="F101" i="14"/>
  <c r="F99" i="14"/>
  <c r="D97" i="14"/>
  <c r="F89" i="14"/>
  <c r="D77" i="14"/>
  <c r="F76" i="14"/>
  <c r="F75" i="14"/>
  <c r="F72" i="14"/>
  <c r="D60" i="14"/>
  <c r="D48" i="14"/>
  <c r="D47" i="14"/>
  <c r="I47" i="14" s="1"/>
  <c r="D46" i="14"/>
  <c r="F46" i="14" s="1"/>
  <c r="F45" i="14"/>
  <c r="F33" i="14"/>
  <c r="F21" i="14"/>
  <c r="F20" i="14"/>
  <c r="F19" i="14"/>
  <c r="F16" i="14"/>
  <c r="F15" i="14"/>
  <c r="F11" i="14"/>
  <c r="D10" i="14"/>
  <c r="F10" i="14" s="1"/>
  <c r="D9" i="14"/>
  <c r="F9" i="14" s="1"/>
  <c r="D8" i="14"/>
  <c r="F8" i="14" s="1"/>
  <c r="F7" i="14"/>
  <c r="F6" i="14"/>
  <c r="I109" i="14" l="1"/>
  <c r="I107" i="14"/>
  <c r="F47" i="14"/>
  <c r="I98" i="14"/>
  <c r="I97" i="14"/>
  <c r="F103" i="14"/>
  <c r="I103" i="14"/>
  <c r="I105" i="14"/>
  <c r="F264" i="14"/>
  <c r="I265" i="14"/>
  <c r="I264" i="14"/>
  <c r="I51" i="14"/>
  <c r="I59" i="14"/>
  <c r="I48" i="14"/>
  <c r="I58" i="14"/>
  <c r="I57" i="14"/>
  <c r="F104" i="14"/>
  <c r="I104" i="14"/>
  <c r="I184" i="14"/>
  <c r="I180" i="14"/>
  <c r="I176" i="14"/>
  <c r="I183" i="14"/>
  <c r="I179" i="14"/>
  <c r="I175" i="14"/>
  <c r="I182" i="14"/>
  <c r="I178" i="14"/>
  <c r="I174" i="14"/>
  <c r="I185" i="14"/>
  <c r="I181" i="14"/>
  <c r="I177" i="14"/>
  <c r="I173" i="14"/>
  <c r="F194" i="14"/>
  <c r="I195" i="14"/>
  <c r="I194" i="14"/>
  <c r="F235" i="14"/>
  <c r="I235" i="14"/>
  <c r="I60" i="14"/>
  <c r="I71" i="14"/>
  <c r="I70" i="14"/>
  <c r="I69" i="14"/>
  <c r="I86" i="14"/>
  <c r="I81" i="14"/>
  <c r="I85" i="14"/>
  <c r="I80" i="14"/>
  <c r="I88" i="14"/>
  <c r="I83" i="14"/>
  <c r="I77" i="14"/>
  <c r="I87" i="14"/>
  <c r="I82" i="14"/>
  <c r="I76" i="14"/>
  <c r="F106" i="14"/>
  <c r="I106" i="14"/>
  <c r="F234" i="14"/>
  <c r="F173" i="14"/>
  <c r="F77" i="14"/>
  <c r="F97" i="14"/>
  <c r="F197" i="14"/>
  <c r="F48" i="14"/>
  <c r="F60" i="14"/>
  <c r="F114" i="14"/>
  <c r="F172" i="14"/>
  <c r="D191" i="14"/>
  <c r="I191" i="14" s="1"/>
  <c r="F107" i="14"/>
  <c r="F191" i="14" l="1"/>
</calcChain>
</file>

<file path=xl/sharedStrings.xml><?xml version="1.0" encoding="utf-8"?>
<sst xmlns="http://schemas.openxmlformats.org/spreadsheetml/2006/main" count="737" uniqueCount="239">
  <si>
    <t>№</t>
  </si>
  <si>
    <t>м2</t>
  </si>
  <si>
    <t>шт.</t>
  </si>
  <si>
    <t>м.п.</t>
  </si>
  <si>
    <t>I</t>
  </si>
  <si>
    <t>шт</t>
  </si>
  <si>
    <t>л</t>
  </si>
  <si>
    <t>Підлога</t>
  </si>
  <si>
    <t>Грунтування підлоги за 2 рази</t>
  </si>
  <si>
    <t>Стіни</t>
  </si>
  <si>
    <t>Вантажно-розвантажувальні роботи</t>
  </si>
  <si>
    <t>мішок</t>
  </si>
  <si>
    <t>м</t>
  </si>
  <si>
    <t>Набір лез для ножа 18 мм, 10 шт</t>
  </si>
  <si>
    <t>уп</t>
  </si>
  <si>
    <t>посл</t>
  </si>
  <si>
    <t>Найменування</t>
  </si>
  <si>
    <t>Од.вим</t>
  </si>
  <si>
    <t>Кіл-ть</t>
  </si>
  <si>
    <t>Ціна</t>
  </si>
  <si>
    <t>Вартість</t>
  </si>
  <si>
    <t>Додаткове посилення стін деревяним брусом</t>
  </si>
  <si>
    <t>тонна</t>
  </si>
  <si>
    <t>пог.м</t>
  </si>
  <si>
    <t>рул</t>
  </si>
  <si>
    <t>Вивіз сміття</t>
  </si>
  <si>
    <t>Демонтаж радіаторів</t>
  </si>
  <si>
    <t>Демонтажні роботи</t>
  </si>
  <si>
    <t>Акустична мінеральна вата AcousticWool Sonet 50 мм</t>
  </si>
  <si>
    <t>м/п</t>
  </si>
  <si>
    <t>Фанера влагостойкая толщ.12мм</t>
  </si>
  <si>
    <t>Саморезы 3,8х35мм по дереву</t>
  </si>
  <si>
    <t>Режущий елемент /диски ф250мм/</t>
  </si>
  <si>
    <t>ОЗДОБЛЮВАЛЬНІ РОБОТИ</t>
  </si>
  <si>
    <t>кг</t>
  </si>
  <si>
    <t>ДВП 2,5мм</t>
  </si>
  <si>
    <t>Клей монтажный Creativa</t>
  </si>
  <si>
    <t>Захисне укривання підлоги</t>
  </si>
  <si>
    <t>Картон листовий</t>
  </si>
  <si>
    <t>мп</t>
  </si>
  <si>
    <t>компл</t>
  </si>
  <si>
    <t>МОНТАЖНІ РОБОТИ</t>
  </si>
  <si>
    <t>Двері</t>
  </si>
  <si>
    <t>удлинитель профилей 60/27</t>
  </si>
  <si>
    <t>подвес с зажимом 60/27</t>
  </si>
  <si>
    <t>тяга подвеса</t>
  </si>
  <si>
    <t>шуруп 3,5х9мм</t>
  </si>
  <si>
    <t>Винт самонарезающий TN 25</t>
  </si>
  <si>
    <t>Дюбель анкерный</t>
  </si>
  <si>
    <t xml:space="preserve">Дюбель для крепления профилей ПН 28/27 </t>
  </si>
  <si>
    <t>Шпаклевка КНАУФ-Фуген (для заделки швов)</t>
  </si>
  <si>
    <t>Лента армирующая серпянка</t>
  </si>
  <si>
    <t>Лента уплотнительная и разделительная</t>
  </si>
  <si>
    <t>Круги отрезные ф125мм,230мм</t>
  </si>
  <si>
    <t xml:space="preserve">Буры ф6мм  </t>
  </si>
  <si>
    <t>Дюбель клин 6х40мм</t>
  </si>
  <si>
    <t>Улаштування  профілю під трекові світильники</t>
  </si>
  <si>
    <t>Стелі</t>
  </si>
  <si>
    <t>Монтаж дверей (погодження Замовника)</t>
  </si>
  <si>
    <t>Двері (погодження Замовника)</t>
  </si>
  <si>
    <t>магнітний трек шина (погодити з Замовником )</t>
  </si>
  <si>
    <t>Стрічка-сітка для гіпсокартону (серпянка), 50 мм,  ІМПОРТ</t>
  </si>
  <si>
    <t>Стрічка флізелінова для швів</t>
  </si>
  <si>
    <t>Шліф папір</t>
  </si>
  <si>
    <t>Шпаклівка-фінішпаста готова полімерна  для закладення стиків ГКЛ Sem Joint Compound, Semin , 25 кг</t>
  </si>
  <si>
    <t xml:space="preserve">Стрічка малярна 48 мм*50 м </t>
  </si>
  <si>
    <t>Пензель-макловиця, тип "міні", 50*150 мм</t>
  </si>
  <si>
    <t>Кут перф.пластиковий 3м (пог.м)</t>
  </si>
  <si>
    <t>Фарба (погодження замовника)</t>
  </si>
  <si>
    <t>Стикування швів стелі та стін за допомогою герметика</t>
  </si>
  <si>
    <t>CASCO AKRYL BASIC Герметик универсальный</t>
  </si>
  <si>
    <t xml:space="preserve">Монтаж LED профілю </t>
  </si>
  <si>
    <t xml:space="preserve">Алюмінієвий анодований профілі без покриття та прозорим розсіювачем </t>
  </si>
  <si>
    <t>м.п</t>
  </si>
  <si>
    <t>Улаштування гідроізоляційної ленти</t>
  </si>
  <si>
    <t>Облицювання підлоги керамогранітом</t>
  </si>
  <si>
    <t xml:space="preserve">Диск для плитки 250  дістар 7д </t>
  </si>
  <si>
    <t>Заріз кутів під 45</t>
  </si>
  <si>
    <t>Коронка для сверління керамограніту ф 67</t>
  </si>
  <si>
    <t>Влаштування отворів в плитці</t>
  </si>
  <si>
    <t>Коронка для сверління керамограніту ф 35</t>
  </si>
  <si>
    <t>Чистовий підріз керамограніту з шліфуванням</t>
  </si>
  <si>
    <t>Коронка для сверління керамограніту ф 25</t>
  </si>
  <si>
    <t>Встановлення люка ревізії прихованого монтажу</t>
  </si>
  <si>
    <t>Хрестик 1,5мм 200шт</t>
  </si>
  <si>
    <t>Клинці 200шт</t>
  </si>
  <si>
    <t>Люк ревізії прихованого монтажу під плитку  600*600мм</t>
  </si>
  <si>
    <t>Силіконовий герметик Mira</t>
  </si>
  <si>
    <t>Інші роботи</t>
  </si>
  <si>
    <t xml:space="preserve">Мешок </t>
  </si>
  <si>
    <t>Улаштування  примикання шпаклювання до профілю під трекові світильники</t>
  </si>
  <si>
    <t>Матеріали для обв'язки</t>
  </si>
  <si>
    <t>Зароблення швів ГКЛ стрічкою</t>
  </si>
  <si>
    <t xml:space="preserve">Грунтування стін (за 2 рази) </t>
  </si>
  <si>
    <t>Сітка фасадна, 5*5 мм, 160 г/кв.м, 50 м (рулон)</t>
  </si>
  <si>
    <t>рейка для вологих штукатурок Маяк 6*21мм 0,4мм Преміум 3мп</t>
  </si>
  <si>
    <t>кут для мокрої штукатурки пластик 3м</t>
  </si>
  <si>
    <t>Штукатурка стін за необхідності</t>
  </si>
  <si>
    <t>витратні матеріали</t>
  </si>
  <si>
    <t>Грунт стін перед шпаклюванням</t>
  </si>
  <si>
    <t>Шпаклювання стін старт</t>
  </si>
  <si>
    <t>Грунт стін перед поклейкою склохолста</t>
  </si>
  <si>
    <t>Поклейка склохолста на стіни</t>
  </si>
  <si>
    <t>Стеклохолст Wellton W45-50</t>
  </si>
  <si>
    <t>Шпаклювання стін фініш</t>
  </si>
  <si>
    <t>Шлифовочная сетка Hardy з.150-180 5 шт./уп</t>
  </si>
  <si>
    <t>Високоякісне фарбування стін</t>
  </si>
  <si>
    <t xml:space="preserve">Грунт стін </t>
  </si>
  <si>
    <t>Грунт укосів перед шпаклюванням</t>
  </si>
  <si>
    <t>Шпаклювання укосів старт</t>
  </si>
  <si>
    <t>Грунт укосів перед поклейкою склохолста</t>
  </si>
  <si>
    <t>Поклейка склохолста на укоси</t>
  </si>
  <si>
    <t>Шпаклювання укосів фініш</t>
  </si>
  <si>
    <t>Грунт укосів</t>
  </si>
  <si>
    <t>стрічкаSemin BANDES JOINT 50 мм х 150 м</t>
  </si>
  <si>
    <t>Високоякісне фарбування відкосів стін</t>
  </si>
  <si>
    <t>Грунт стель перед шпаклюванням</t>
  </si>
  <si>
    <t>Шпаклювання стель старт</t>
  </si>
  <si>
    <t>Грунт стель перед поклейкою склохолста</t>
  </si>
  <si>
    <t>Поклейка склохолста на стелі</t>
  </si>
  <si>
    <t>Шпаклювання стель фініш</t>
  </si>
  <si>
    <t>Грунт стель</t>
  </si>
  <si>
    <t>Високоякісне фарбування стель</t>
  </si>
  <si>
    <t>Грунт укосів ніш стель перед шпаклюванням</t>
  </si>
  <si>
    <t>Шпаклювання укосів ніш стель старт</t>
  </si>
  <si>
    <t>Грунт укосів ніш стель перед поклейкою склохолста</t>
  </si>
  <si>
    <t>Поклейка склохолста на укоси ніш стель</t>
  </si>
  <si>
    <t>Шпаклювання укосів ніш фініш</t>
  </si>
  <si>
    <t>Грунт укосів ніш стель</t>
  </si>
  <si>
    <t>SEMIN COLLE TDV Клей готовый для стеклохолста (влагостойкий) , 10 кг</t>
  </si>
  <si>
    <t>Підготовка будівельного сміття до вивезення (пакування у мішки) і виніс</t>
  </si>
  <si>
    <t>Підготовка будівельного сміття до вивезення (пакування у мішки) івиніс</t>
  </si>
  <si>
    <t>плівка захисна с маляркою</t>
  </si>
  <si>
    <t>стрічка малярна</t>
  </si>
  <si>
    <t>плівка антібриск 550мм</t>
  </si>
  <si>
    <t>Скотч 48*200 прозорий IG 02</t>
  </si>
  <si>
    <t>Ніж для ремонтних робіт ущільнений металевий 18 мм</t>
  </si>
  <si>
    <t>пач</t>
  </si>
  <si>
    <t>Силіконовий шов CS25, Ceresit, 280 мл, прозорий</t>
  </si>
  <si>
    <t>унітаз</t>
  </si>
  <si>
    <t>Комерційна пропозиція
на оздоблювальні роботи ЖК "Конкордія" кв. 31</t>
  </si>
  <si>
    <t xml:space="preserve">Демонтаж цегляних перегородок </t>
  </si>
  <si>
    <t>Демонтаж металопластикової конструкції балкону</t>
  </si>
  <si>
    <t>Демонтаж цегляних стін</t>
  </si>
  <si>
    <t>Демонтаж утеплювача с балкону</t>
  </si>
  <si>
    <t>Армування штукатурки сіткою</t>
  </si>
  <si>
    <t>КНАУФ-профиль ПН 28/27</t>
  </si>
  <si>
    <t>КНАУФ-профиль потолочный ПП 60/27</t>
  </si>
  <si>
    <t>Лента уплотнительная</t>
  </si>
  <si>
    <t>Дюбель К 6/35</t>
  </si>
  <si>
    <t>Шуруп SN 25</t>
  </si>
  <si>
    <t>Шуруп SN 39</t>
  </si>
  <si>
    <t>KNAUF Лента звукоизоляционная 70мм (30м)</t>
  </si>
  <si>
    <t>Брус обрізний, сосна, 50*100 мм, 3 м</t>
  </si>
  <si>
    <t>Улаштування укосів стін, вікон та дверей з Г/К</t>
  </si>
  <si>
    <t>стрічкаSeminBANDES JOINT 50 мм х 150м</t>
  </si>
  <si>
    <t>Стяжка міцна Siltek (Силтек) F-35 (25 кг)</t>
  </si>
  <si>
    <t>Фібра поліпропіленова для бетону 12 мм 900 г</t>
  </si>
  <si>
    <t xml:space="preserve">Грунт укосів </t>
  </si>
  <si>
    <t>Грунтування стін</t>
  </si>
  <si>
    <t>Влаштування гідроізоляції стін в с/у</t>
  </si>
  <si>
    <t xml:space="preserve">Облицювання стін керамогранітом </t>
  </si>
  <si>
    <t>Герметизація примикань герметиком</t>
  </si>
  <si>
    <t>Герметік для швів mira supersil</t>
  </si>
  <si>
    <t>Влаштування ГКЛ-конструкцій в санвузлі</t>
  </si>
  <si>
    <t>клей перлфікс 30кг</t>
  </si>
  <si>
    <t>ШТУКАТУРКА KNAUF ROTBAND PRO ГИПСОВАЯ УНИВЕРСАЛЬНАЯ, 30 КГ</t>
  </si>
  <si>
    <t>Дюбель 6/80</t>
  </si>
  <si>
    <t>плитка керамограніт 600*600(погодження замовника)</t>
  </si>
  <si>
    <t xml:space="preserve">Облицювання укосів і стін керамогранітом </t>
  </si>
  <si>
    <t>Соединитель двухуровневый 60/27</t>
  </si>
  <si>
    <t xml:space="preserve">Грунт стель </t>
  </si>
  <si>
    <t xml:space="preserve">Улаштування обшивки стелі KNAUF 
 по металевому каркасу в 1 шар
</t>
  </si>
  <si>
    <t>Обвязка світильників врізних</t>
  </si>
  <si>
    <t>Грунтування підлоги під ремонт підлоги(за 2 рази)</t>
  </si>
  <si>
    <t xml:space="preserve">Влаштування гідроізоляції підлоги </t>
  </si>
  <si>
    <t>Паперові фільтр-мішки до пилососуKarcher NT 27/1 5 шт.</t>
  </si>
  <si>
    <t>Стрічка звукоізоляційна (Діхтунг), 30 мм, 30 м</t>
  </si>
  <si>
    <t>Шліфування підлоги</t>
  </si>
  <si>
    <t>Диск шліфувальний</t>
  </si>
  <si>
    <t>Шліфувальний папір двосторонній 400мм зерно 16</t>
  </si>
  <si>
    <t>Шліфувальний папір двосторонній 400мм зерно 40</t>
  </si>
  <si>
    <t>Грунтування підлоги (за 2 рази)</t>
  </si>
  <si>
    <t xml:space="preserve">Влаштування прихованого плінтусу </t>
  </si>
  <si>
    <t>плінтус прихований</t>
  </si>
  <si>
    <t>Влаштування порогових планок</t>
  </si>
  <si>
    <t>поріг</t>
  </si>
  <si>
    <t>Влаштування стика підлогових покриттів</t>
  </si>
  <si>
    <t>профіль розділюючий</t>
  </si>
  <si>
    <t>Ремонт окремих місць  підлоги та чорнова стяжка</t>
  </si>
  <si>
    <t>Монтаж плитки ПВХ</t>
  </si>
  <si>
    <t xml:space="preserve">Устройство нивелирых полов 10мм </t>
  </si>
  <si>
    <t>Улаштування корита під душову кабіну</t>
  </si>
  <si>
    <t>Влаштування тимчасового санвузла</t>
  </si>
  <si>
    <t>гофра/ компл</t>
  </si>
  <si>
    <t>Монтаж скляних перегородок (погодження Замовника)</t>
  </si>
  <si>
    <t>скляні перегородки(погодження Замовника)</t>
  </si>
  <si>
    <t xml:space="preserve">Матеріали для улаштування конструкцій </t>
  </si>
  <si>
    <t>Улаштування обшивки стiн гiпкартонними плитами [фальшстiни] на клей</t>
  </si>
  <si>
    <t xml:space="preserve">Грунтовка глубокопроникающая Ceresit CT 17 5 л
</t>
  </si>
  <si>
    <t>Грунтовка глубокопроникающая 
Ceresit CT 17 5 л</t>
  </si>
  <si>
    <t xml:space="preserve">Самовыравнивающийся пол Siltek F-50 25 кг
</t>
  </si>
  <si>
    <t>плитка 1200*1200(погодження замовника)</t>
  </si>
  <si>
    <t>Зачищення стель і ремонт швів (частина що не зашивається ГКЛ)</t>
  </si>
  <si>
    <t>Герметизація примикань</t>
  </si>
  <si>
    <t>Шліфування існуючою штукатурки</t>
  </si>
  <si>
    <t>Влаштування ГК  зашивки окремих ділянок шириною до 0,4м в 1 шар для вирівнювання поверхонь стін</t>
  </si>
  <si>
    <t>Улаштування перегородок на металевому однорядному каркасі з обшивкою ГКЛ в 2 шари з ізоляцією</t>
  </si>
  <si>
    <t>Влаштування звукоізоляції перегородки в 2 шари до 100мм</t>
  </si>
  <si>
    <t>Улаштування обшивки стiн  ГКЛ [фальшстiни]
по металевому каркасу на 110мм (біля вентканалу -вирівнювання стіни)</t>
  </si>
  <si>
    <t>Улаштування обшивки стiн ГКЛ [фальшстiни]
по металевому каркасу  (нарощування стіни) (на вході в кабінет під скляну перегородку)</t>
  </si>
  <si>
    <t>Улаштування посилення перегородок з фанери</t>
  </si>
  <si>
    <t>Влаштування утеплювача на стіні лоджии</t>
  </si>
  <si>
    <t xml:space="preserve">Улаштування обшивки стiн ГКЛ[фальшстiни]
по металевому каркасу на лоджии </t>
  </si>
  <si>
    <t xml:space="preserve">Зароблення швів ГКЛ </t>
  </si>
  <si>
    <t>Фарбування вікон у чорний колір (комплект)</t>
  </si>
  <si>
    <t xml:space="preserve">Клей для напольных покрытий </t>
  </si>
  <si>
    <t>Пакування  стін,вікон, дверей</t>
  </si>
  <si>
    <t>Гидроизоляция Knauf Флехендихт 5 кг</t>
  </si>
  <si>
    <t>Лента KNAUF Flachendichtband (Кнауф Флехендихтбанд) гидроизоляционная,10 м.</t>
  </si>
  <si>
    <t>Ceresit СМ-17 Super Flexible эластичный клей для плитки, 25кг</t>
  </si>
  <si>
    <t>Фуга Ceresit СЕ 40 aquastatic 41 5 кг натура</t>
  </si>
  <si>
    <t>Knauf Грунтовка глубокопроникающая Tiefengrund 10 кг</t>
  </si>
  <si>
    <t>Шпаклевка Акрил-Путц ST-10 (ACRYL-PUTZ) старт+финиш 2 в 1 (20кг)</t>
  </si>
  <si>
    <t>Шпаклевка KNAUF SHEETROCK SUPER FINISH (Кнауф Шитрок Супер Финиш), 28 кг беспещанка</t>
  </si>
  <si>
    <t>профиль потолочный ПП 60/27</t>
  </si>
  <si>
    <t>профиль ПН 28/27</t>
  </si>
  <si>
    <t>профиль углозащитный (ПУ)</t>
  </si>
  <si>
    <t>профиль ПН 50/40 (75/40,100/40)</t>
  </si>
  <si>
    <t>профиль ПС 50/50 (75/50,100/50)</t>
  </si>
  <si>
    <t>профіль UA100</t>
  </si>
  <si>
    <t>Гіпсокартон  Плато вологостійкий 12,5</t>
  </si>
  <si>
    <t>Зароблення штроб  після прокладки мереж</t>
  </si>
  <si>
    <t xml:space="preserve">Улаштування ніш стелі   Г/К під штори і ролети, лед освітлення </t>
  </si>
  <si>
    <t>м/п ніши</t>
  </si>
  <si>
    <t xml:space="preserve">Улаштування пристінних ніш с укосами  стелі   Г/К </t>
  </si>
  <si>
    <t>мп ніши</t>
  </si>
  <si>
    <t>Високоякісне фарбування відкосів стель</t>
  </si>
  <si>
    <t>м.п.ніши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</si>
</sst>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"/>
  </numFmts>
  <fonts count="19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rgb="FFFF0000"/>
      <name val="Arial"/>
      <family val="2"/>
      <charset val="204"/>
    </font>
    <font>
      <i/>
      <sz val="10"/>
      <color rgb="FF7F7F7F"/>
      <name val="Arial Cyr"/>
      <family val="2"/>
      <charset val="204"/>
    </font>
    <font>
      <b/>
      <sz val="20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indexed="8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1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0" fontId="4" fillId="0" borderId="0"/>
    <xf numFmtId="0" fontId="1" fillId="0" borderId="0"/>
    <xf numFmtId="0" fontId="6" fillId="0" borderId="0"/>
    <xf numFmtId="0" fontId="7" fillId="0" borderId="0"/>
    <xf numFmtId="0" fontId="6" fillId="0" borderId="0"/>
    <xf numFmtId="0" fontId="8" fillId="0" borderId="0"/>
    <xf numFmtId="0" fontId="8" fillId="0" borderId="0"/>
    <xf numFmtId="0" fontId="3" fillId="0" borderId="0"/>
    <xf numFmtId="164" fontId="5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3" fillId="0" borderId="0"/>
    <xf numFmtId="0" fontId="3" fillId="0" borderId="0"/>
  </cellStyleXfs>
  <cellXfs count="168">
    <xf numFmtId="0" fontId="0" fillId="0" borderId="0" xfId="0"/>
    <xf numFmtId="2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9" fillId="0" borderId="1" xfId="0" applyFont="1" applyFill="1" applyBorder="1" applyAlignment="1">
      <alignment vertical="center" wrapText="1"/>
    </xf>
    <xf numFmtId="0" fontId="0" fillId="0" borderId="0" xfId="0" applyAlignment="1"/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 wrapText="1"/>
    </xf>
    <xf numFmtId="2" fontId="9" fillId="0" borderId="1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right"/>
    </xf>
    <xf numFmtId="0" fontId="9" fillId="0" borderId="1" xfId="0" applyNumberFormat="1" applyFont="1" applyFill="1" applyBorder="1" applyAlignment="1">
      <alignment wrapText="1"/>
    </xf>
    <xf numFmtId="4" fontId="9" fillId="0" borderId="1" xfId="0" applyNumberFormat="1" applyFont="1" applyBorder="1" applyAlignment="1">
      <alignment horizontal="center"/>
    </xf>
    <xf numFmtId="0" fontId="9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top" wrapText="1"/>
    </xf>
    <xf numFmtId="2" fontId="9" fillId="0" borderId="1" xfId="0" applyNumberFormat="1" applyFont="1" applyFill="1" applyBorder="1" applyAlignment="1">
      <alignment horizontal="center" vertical="top" wrapText="1"/>
    </xf>
    <xf numFmtId="2" fontId="9" fillId="0" borderId="1" xfId="0" applyNumberFormat="1" applyFont="1" applyFill="1" applyBorder="1" applyAlignment="1">
      <alignment horizontal="right" vertical="top" wrapText="1"/>
    </xf>
    <xf numFmtId="4" fontId="13" fillId="0" borderId="1" xfId="0" applyNumberFormat="1" applyFont="1" applyFill="1" applyBorder="1" applyAlignment="1">
      <alignment vertical="center" wrapText="1"/>
    </xf>
    <xf numFmtId="165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center" vertical="top" wrapText="1"/>
    </xf>
    <xf numFmtId="2" fontId="14" fillId="0" borderId="1" xfId="0" applyNumberFormat="1" applyFont="1" applyFill="1" applyBorder="1" applyAlignment="1">
      <alignment horizontal="right" vertical="top" wrapText="1"/>
    </xf>
    <xf numFmtId="0" fontId="9" fillId="0" borderId="1" xfId="11" applyFont="1" applyFill="1" applyBorder="1" applyAlignment="1">
      <alignment horizontal="left" wrapText="1"/>
    </xf>
    <xf numFmtId="4" fontId="9" fillId="0" borderId="1" xfId="0" applyNumberFormat="1" applyFont="1" applyFill="1" applyBorder="1" applyAlignment="1">
      <alignment horizontal="center" vertical="distributed" wrapText="1"/>
    </xf>
    <xf numFmtId="2" fontId="9" fillId="0" borderId="1" xfId="0" applyNumberFormat="1" applyFont="1" applyFill="1" applyBorder="1" applyAlignment="1">
      <alignment horizontal="center" vertical="distributed" wrapText="1"/>
    </xf>
    <xf numFmtId="2" fontId="9" fillId="0" borderId="1" xfId="10" applyNumberFormat="1" applyFont="1" applyFill="1" applyBorder="1" applyAlignment="1">
      <alignment horizontal="right" vertical="distributed" wrapText="1"/>
    </xf>
    <xf numFmtId="0" fontId="9" fillId="0" borderId="1" xfId="0" applyFont="1" applyFill="1" applyBorder="1" applyAlignment="1"/>
    <xf numFmtId="4" fontId="9" fillId="0" borderId="1" xfId="10" applyNumberFormat="1" applyFont="1" applyFill="1" applyBorder="1" applyAlignment="1">
      <alignment horizontal="center" vertical="center" wrapText="1"/>
    </xf>
    <xf numFmtId="4" fontId="9" fillId="0" borderId="1" xfId="10" applyNumberFormat="1" applyFont="1" applyFill="1" applyBorder="1" applyAlignment="1">
      <alignment horizontal="right" vertical="distributed" wrapText="1"/>
    </xf>
    <xf numFmtId="0" fontId="9" fillId="0" borderId="1" xfId="1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left" wrapText="1"/>
    </xf>
    <xf numFmtId="0" fontId="15" fillId="0" borderId="1" xfId="0" applyFont="1" applyFill="1" applyBorder="1" applyAlignment="1">
      <alignment horizontal="center"/>
    </xf>
    <xf numFmtId="4" fontId="15" fillId="0" borderId="1" xfId="0" applyNumberFormat="1" applyFont="1" applyFill="1" applyBorder="1" applyAlignment="1">
      <alignment horizontal="center"/>
    </xf>
    <xf numFmtId="4" fontId="15" fillId="0" borderId="1" xfId="0" applyNumberFormat="1" applyFont="1" applyFill="1" applyBorder="1" applyAlignment="1">
      <alignment horizontal="right"/>
    </xf>
    <xf numFmtId="0" fontId="15" fillId="0" borderId="1" xfId="0" applyNumberFormat="1" applyFont="1" applyFill="1" applyBorder="1" applyAlignment="1">
      <alignment wrapText="1"/>
    </xf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right"/>
    </xf>
    <xf numFmtId="4" fontId="9" fillId="0" borderId="1" xfId="0" applyNumberFormat="1" applyFont="1" applyFill="1" applyBorder="1" applyAlignment="1">
      <alignment horizontal="center"/>
    </xf>
    <xf numFmtId="0" fontId="9" fillId="3" borderId="1" xfId="10" applyFont="1" applyFill="1" applyBorder="1" applyAlignment="1">
      <alignment vertical="center" wrapText="1"/>
    </xf>
    <xf numFmtId="4" fontId="9" fillId="3" borderId="1" xfId="1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right" vertical="center"/>
    </xf>
    <xf numFmtId="0" fontId="9" fillId="4" borderId="1" xfId="0" applyFont="1" applyFill="1" applyBorder="1" applyAlignment="1"/>
    <xf numFmtId="4" fontId="9" fillId="4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wrapText="1"/>
    </xf>
    <xf numFmtId="4" fontId="9" fillId="0" borderId="1" xfId="0" applyNumberFormat="1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9" fillId="4" borderId="1" xfId="0" applyNumberFormat="1" applyFont="1" applyFill="1" applyBorder="1" applyAlignment="1">
      <alignment vertical="center" wrapText="1"/>
    </xf>
    <xf numFmtId="4" fontId="9" fillId="4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left" wrapText="1"/>
    </xf>
    <xf numFmtId="0" fontId="15" fillId="0" borderId="1" xfId="0" applyFont="1" applyBorder="1" applyAlignment="1">
      <alignment horizontal="center"/>
    </xf>
    <xf numFmtId="4" fontId="15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 wrapText="1"/>
    </xf>
    <xf numFmtId="4" fontId="9" fillId="0" borderId="1" xfId="10" applyNumberFormat="1" applyFont="1" applyFill="1" applyBorder="1" applyAlignment="1">
      <alignment horizontal="center" vertical="distributed" wrapText="1"/>
    </xf>
    <xf numFmtId="2" fontId="9" fillId="0" borderId="1" xfId="0" applyNumberFormat="1" applyFont="1" applyBorder="1" applyAlignment="1">
      <alignment horizontal="center" vertical="top" wrapText="1"/>
    </xf>
    <xf numFmtId="0" fontId="9" fillId="0" borderId="1" xfId="0" applyFont="1" applyBorder="1" applyAlignment="1">
      <alignment horizontal="left"/>
    </xf>
    <xf numFmtId="4" fontId="9" fillId="0" borderId="9" xfId="1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12" fillId="0" borderId="0" xfId="0" applyFont="1" applyBorder="1" applyAlignment="1">
      <alignment vertical="center" wrapText="1"/>
    </xf>
    <xf numFmtId="0" fontId="9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2" fillId="0" borderId="0" xfId="0" applyFont="1" applyBorder="1" applyAlignment="1">
      <alignment horizontal="right" vertical="center" wrapText="1"/>
    </xf>
    <xf numFmtId="0" fontId="9" fillId="0" borderId="9" xfId="10" applyFont="1" applyFill="1" applyBorder="1" applyAlignment="1">
      <alignment vertical="center" wrapText="1"/>
    </xf>
    <xf numFmtId="4" fontId="9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right" vertical="center"/>
    </xf>
    <xf numFmtId="0" fontId="10" fillId="4" borderId="1" xfId="10" applyFont="1" applyFill="1" applyBorder="1" applyAlignment="1">
      <alignment vertical="center" wrapText="1"/>
    </xf>
    <xf numFmtId="4" fontId="10" fillId="4" borderId="1" xfId="10" applyNumberFormat="1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right"/>
    </xf>
    <xf numFmtId="0" fontId="15" fillId="0" borderId="8" xfId="0" applyFont="1" applyBorder="1" applyAlignment="1">
      <alignment horizontal="left"/>
    </xf>
    <xf numFmtId="0" fontId="15" fillId="0" borderId="3" xfId="0" applyFont="1" applyBorder="1" applyAlignment="1">
      <alignment horizontal="center"/>
    </xf>
    <xf numFmtId="2" fontId="15" fillId="0" borderId="3" xfId="0" applyNumberFormat="1" applyFont="1" applyBorder="1" applyAlignment="1">
      <alignment horizontal="center"/>
    </xf>
    <xf numFmtId="2" fontId="15" fillId="0" borderId="3" xfId="0" applyNumberFormat="1" applyFont="1" applyBorder="1" applyAlignment="1">
      <alignment horizontal="right"/>
    </xf>
    <xf numFmtId="2" fontId="15" fillId="0" borderId="6" xfId="0" applyNumberFormat="1" applyFont="1" applyBorder="1" applyAlignment="1">
      <alignment horizontal="right"/>
    </xf>
    <xf numFmtId="0" fontId="15" fillId="0" borderId="8" xfId="0" applyFont="1" applyBorder="1" applyAlignment="1"/>
    <xf numFmtId="0" fontId="14" fillId="6" borderId="4" xfId="0" applyFont="1" applyFill="1" applyBorder="1" applyAlignment="1">
      <alignment horizontal="right" vertical="center" wrapText="1"/>
    </xf>
    <xf numFmtId="0" fontId="14" fillId="6" borderId="8" xfId="0" applyFont="1" applyFill="1" applyBorder="1" applyAlignment="1">
      <alignment horizontal="left" vertical="center" wrapText="1"/>
    </xf>
    <xf numFmtId="0" fontId="16" fillId="6" borderId="3" xfId="0" applyFont="1" applyFill="1" applyBorder="1" applyAlignment="1">
      <alignment horizontal="center" vertical="center"/>
    </xf>
    <xf numFmtId="0" fontId="16" fillId="6" borderId="3" xfId="0" applyFont="1" applyFill="1" applyBorder="1" applyAlignment="1">
      <alignment horizontal="right" vertical="center"/>
    </xf>
    <xf numFmtId="0" fontId="16" fillId="6" borderId="6" xfId="0" applyFont="1" applyFill="1" applyBorder="1" applyAlignment="1">
      <alignment horizontal="right" vertical="center"/>
    </xf>
    <xf numFmtId="0" fontId="16" fillId="6" borderId="8" xfId="0" applyFont="1" applyFill="1" applyBorder="1" applyAlignment="1">
      <alignment vertical="center"/>
    </xf>
    <xf numFmtId="0" fontId="14" fillId="2" borderId="4" xfId="0" applyFont="1" applyFill="1" applyBorder="1" applyAlignment="1">
      <alignment horizontal="right"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right" vertical="center"/>
    </xf>
    <xf numFmtId="0" fontId="16" fillId="2" borderId="6" xfId="0" applyFont="1" applyFill="1" applyBorder="1" applyAlignment="1">
      <alignment horizontal="right" vertical="center"/>
    </xf>
    <xf numFmtId="0" fontId="16" fillId="2" borderId="8" xfId="0" applyFont="1" applyFill="1" applyBorder="1" applyAlignment="1">
      <alignment vertical="center"/>
    </xf>
    <xf numFmtId="0" fontId="16" fillId="2" borderId="3" xfId="0" applyFont="1" applyFill="1" applyBorder="1" applyAlignment="1">
      <alignment vertical="center"/>
    </xf>
    <xf numFmtId="0" fontId="13" fillId="0" borderId="7" xfId="0" applyFont="1" applyFill="1" applyBorder="1" applyAlignment="1">
      <alignment horizontal="left" wrapText="1"/>
    </xf>
    <xf numFmtId="4" fontId="13" fillId="0" borderId="2" xfId="0" applyNumberFormat="1" applyFont="1" applyFill="1" applyBorder="1" applyAlignment="1">
      <alignment horizontal="right"/>
    </xf>
    <xf numFmtId="0" fontId="15" fillId="0" borderId="7" xfId="0" applyNumberFormat="1" applyFont="1" applyFill="1" applyBorder="1" applyAlignment="1">
      <alignment wrapText="1"/>
    </xf>
    <xf numFmtId="0" fontId="15" fillId="0" borderId="7" xfId="0" applyFont="1" applyFill="1" applyBorder="1" applyAlignment="1">
      <alignment horizontal="left" wrapText="1"/>
    </xf>
    <xf numFmtId="0" fontId="17" fillId="0" borderId="7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center"/>
    </xf>
    <xf numFmtId="4" fontId="17" fillId="0" borderId="1" xfId="0" applyNumberFormat="1" applyFont="1" applyFill="1" applyBorder="1" applyAlignment="1">
      <alignment horizontal="center"/>
    </xf>
    <xf numFmtId="4" fontId="17" fillId="0" borderId="10" xfId="0" applyNumberFormat="1" applyFont="1" applyFill="1" applyBorder="1" applyAlignment="1">
      <alignment horizontal="right"/>
    </xf>
    <xf numFmtId="0" fontId="17" fillId="0" borderId="7" xfId="0" applyFont="1" applyFill="1" applyBorder="1" applyAlignment="1"/>
    <xf numFmtId="0" fontId="17" fillId="0" borderId="1" xfId="0" applyFont="1" applyFill="1" applyBorder="1" applyAlignment="1"/>
    <xf numFmtId="0" fontId="15" fillId="0" borderId="7" xfId="0" applyFont="1" applyBorder="1" applyAlignment="1">
      <alignment horizontal="left" wrapText="1"/>
    </xf>
    <xf numFmtId="4" fontId="15" fillId="0" borderId="11" xfId="0" applyNumberFormat="1" applyFont="1" applyBorder="1" applyAlignment="1">
      <alignment horizontal="right"/>
    </xf>
    <xf numFmtId="0" fontId="16" fillId="5" borderId="8" xfId="0" applyFont="1" applyFill="1" applyBorder="1" applyAlignment="1">
      <alignment horizontal="left" wrapText="1"/>
    </xf>
    <xf numFmtId="0" fontId="15" fillId="5" borderId="3" xfId="0" applyFont="1" applyFill="1" applyBorder="1" applyAlignment="1">
      <alignment horizontal="center"/>
    </xf>
    <xf numFmtId="4" fontId="15" fillId="5" borderId="3" xfId="0" applyNumberFormat="1" applyFont="1" applyFill="1" applyBorder="1" applyAlignment="1">
      <alignment horizontal="center"/>
    </xf>
    <xf numFmtId="4" fontId="16" fillId="5" borderId="6" xfId="0" applyNumberFormat="1" applyFont="1" applyFill="1" applyBorder="1" applyAlignment="1">
      <alignment horizontal="right"/>
    </xf>
    <xf numFmtId="4" fontId="15" fillId="5" borderId="8" xfId="0" applyNumberFormat="1" applyFont="1" applyFill="1" applyBorder="1" applyAlignment="1"/>
    <xf numFmtId="4" fontId="15" fillId="5" borderId="3" xfId="0" applyNumberFormat="1" applyFont="1" applyFill="1" applyBorder="1" applyAlignment="1"/>
    <xf numFmtId="0" fontId="15" fillId="0" borderId="9" xfId="0" applyFont="1" applyFill="1" applyBorder="1" applyAlignment="1">
      <alignment horizontal="left" wrapText="1"/>
    </xf>
    <xf numFmtId="0" fontId="15" fillId="0" borderId="9" xfId="0" applyFont="1" applyFill="1" applyBorder="1" applyAlignment="1">
      <alignment horizontal="center"/>
    </xf>
    <xf numFmtId="4" fontId="15" fillId="0" borderId="9" xfId="0" applyNumberFormat="1" applyFont="1" applyFill="1" applyBorder="1" applyAlignment="1">
      <alignment horizontal="center"/>
    </xf>
    <xf numFmtId="4" fontId="15" fillId="0" borderId="9" xfId="0" applyNumberFormat="1" applyFont="1" applyFill="1" applyBorder="1" applyAlignment="1">
      <alignment horizontal="right"/>
    </xf>
    <xf numFmtId="0" fontId="15" fillId="0" borderId="1" xfId="0" applyFont="1" applyFill="1" applyBorder="1" applyAlignment="1">
      <alignment horizontal="left"/>
    </xf>
    <xf numFmtId="2" fontId="15" fillId="0" borderId="1" xfId="0" applyNumberFormat="1" applyFont="1" applyFill="1" applyBorder="1" applyAlignment="1">
      <alignment horizontal="center"/>
    </xf>
    <xf numFmtId="2" fontId="15" fillId="0" borderId="1" xfId="0" applyNumberFormat="1" applyFont="1" applyFill="1" applyBorder="1" applyAlignment="1">
      <alignment horizontal="right"/>
    </xf>
    <xf numFmtId="0" fontId="16" fillId="5" borderId="3" xfId="0" applyFont="1" applyFill="1" applyBorder="1" applyAlignment="1">
      <alignment horizontal="left" wrapText="1"/>
    </xf>
    <xf numFmtId="4" fontId="16" fillId="5" borderId="3" xfId="0" applyNumberFormat="1" applyFont="1" applyFill="1" applyBorder="1" applyAlignment="1">
      <alignment horizontal="right"/>
    </xf>
    <xf numFmtId="0" fontId="10" fillId="0" borderId="12" xfId="0" applyFont="1" applyFill="1" applyBorder="1" applyAlignment="1">
      <alignment horizontal="left" wrapText="1"/>
    </xf>
    <xf numFmtId="0" fontId="10" fillId="0" borderId="12" xfId="0" applyFont="1" applyFill="1" applyBorder="1" applyAlignment="1">
      <alignment horizontal="center"/>
    </xf>
    <xf numFmtId="4" fontId="10" fillId="0" borderId="12" xfId="0" applyNumberFormat="1" applyFont="1" applyFill="1" applyBorder="1" applyAlignment="1">
      <alignment horizontal="center"/>
    </xf>
    <xf numFmtId="4" fontId="10" fillId="0" borderId="12" xfId="0" applyNumberFormat="1" applyFont="1" applyFill="1" applyBorder="1" applyAlignment="1">
      <alignment horizontal="right"/>
    </xf>
    <xf numFmtId="0" fontId="10" fillId="4" borderId="12" xfId="0" applyNumberFormat="1" applyFont="1" applyFill="1" applyBorder="1" applyAlignment="1">
      <alignment wrapText="1"/>
    </xf>
    <xf numFmtId="4" fontId="10" fillId="4" borderId="12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left" wrapText="1"/>
    </xf>
    <xf numFmtId="0" fontId="10" fillId="5" borderId="1" xfId="0" applyFont="1" applyFill="1" applyBorder="1" applyAlignment="1">
      <alignment horizontal="center"/>
    </xf>
    <xf numFmtId="4" fontId="10" fillId="5" borderId="1" xfId="0" applyNumberFormat="1" applyFont="1" applyFill="1" applyBorder="1" applyAlignment="1">
      <alignment horizontal="center"/>
    </xf>
    <xf numFmtId="4" fontId="10" fillId="5" borderId="1" xfId="0" applyNumberFormat="1" applyFont="1" applyFill="1" applyBorder="1" applyAlignment="1">
      <alignment horizontal="right"/>
    </xf>
    <xf numFmtId="0" fontId="10" fillId="5" borderId="1" xfId="0" applyNumberFormat="1" applyFont="1" applyFill="1" applyBorder="1" applyAlignment="1">
      <alignment wrapText="1"/>
    </xf>
    <xf numFmtId="0" fontId="17" fillId="0" borderId="1" xfId="0" applyFont="1" applyFill="1" applyBorder="1" applyAlignment="1">
      <alignment horizontal="left" wrapText="1"/>
    </xf>
    <xf numFmtId="4" fontId="17" fillId="0" borderId="1" xfId="0" applyNumberFormat="1" applyFont="1" applyFill="1" applyBorder="1" applyAlignment="1">
      <alignment horizontal="right"/>
    </xf>
    <xf numFmtId="0" fontId="15" fillId="7" borderId="1" xfId="0" applyFont="1" applyFill="1" applyBorder="1" applyAlignment="1">
      <alignment horizontal="right"/>
    </xf>
    <xf numFmtId="0" fontId="15" fillId="7" borderId="1" xfId="0" applyFont="1" applyFill="1" applyBorder="1" applyAlignment="1">
      <alignment horizontal="left" wrapText="1"/>
    </xf>
    <xf numFmtId="0" fontId="15" fillId="7" borderId="1" xfId="0" applyFont="1" applyFill="1" applyBorder="1" applyAlignment="1">
      <alignment horizontal="center"/>
    </xf>
    <xf numFmtId="4" fontId="15" fillId="7" borderId="1" xfId="0" applyNumberFormat="1" applyFont="1" applyFill="1" applyBorder="1" applyAlignment="1">
      <alignment horizontal="center"/>
    </xf>
    <xf numFmtId="4" fontId="15" fillId="7" borderId="1" xfId="0" applyNumberFormat="1" applyFont="1" applyFill="1" applyBorder="1" applyAlignment="1">
      <alignment horizontal="right"/>
    </xf>
    <xf numFmtId="4" fontId="15" fillId="7" borderId="4" xfId="0" applyNumberFormat="1" applyFont="1" applyFill="1" applyBorder="1" applyAlignment="1">
      <alignment horizontal="right"/>
    </xf>
    <xf numFmtId="0" fontId="18" fillId="7" borderId="7" xfId="0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15" fillId="0" borderId="1" xfId="0" applyFont="1" applyBorder="1" applyAlignment="1"/>
    <xf numFmtId="0" fontId="14" fillId="2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5" borderId="4" xfId="0" applyFont="1" applyFill="1" applyBorder="1" applyAlignment="1">
      <alignment horizontal="center"/>
    </xf>
    <xf numFmtId="0" fontId="15" fillId="5" borderId="9" xfId="0" applyFont="1" applyFill="1" applyBorder="1" applyAlignment="1">
      <alignment horizontal="center"/>
    </xf>
    <xf numFmtId="0" fontId="9" fillId="0" borderId="1" xfId="0" applyFont="1" applyBorder="1" applyAlignment="1"/>
    <xf numFmtId="0" fontId="10" fillId="5" borderId="1" xfId="0" applyFont="1" applyFill="1" applyBorder="1" applyAlignment="1"/>
    <xf numFmtId="2" fontId="14" fillId="0" borderId="1" xfId="0" applyNumberFormat="1" applyFont="1" applyFill="1" applyBorder="1" applyAlignment="1">
      <alignment horizontal="center" vertical="top" wrapText="1"/>
    </xf>
    <xf numFmtId="2" fontId="9" fillId="0" borderId="1" xfId="12" applyNumberFormat="1" applyFont="1" applyFill="1" applyBorder="1" applyAlignment="1">
      <alignment horizontal="center" vertical="center" wrapText="1"/>
    </xf>
    <xf numFmtId="4" fontId="9" fillId="5" borderId="3" xfId="0" applyNumberFormat="1" applyFont="1" applyFill="1" applyBorder="1" applyAlignment="1">
      <alignment horizontal="center"/>
    </xf>
    <xf numFmtId="2" fontId="9" fillId="0" borderId="9" xfId="10" applyNumberFormat="1" applyFont="1" applyFill="1" applyBorder="1" applyAlignment="1">
      <alignment vertical="center" wrapText="1"/>
    </xf>
    <xf numFmtId="2" fontId="9" fillId="0" borderId="1" xfId="10" applyNumberFormat="1" applyFont="1" applyFill="1" applyBorder="1" applyAlignment="1">
      <alignment vertical="center" wrapText="1"/>
    </xf>
    <xf numFmtId="2" fontId="9" fillId="3" borderId="1" xfId="10" applyNumberFormat="1" applyFont="1" applyFill="1" applyBorder="1" applyAlignment="1">
      <alignment vertical="center" wrapText="1"/>
    </xf>
    <xf numFmtId="0" fontId="10" fillId="4" borderId="12" xfId="0" applyFont="1" applyFill="1" applyBorder="1" applyAlignment="1"/>
    <xf numFmtId="2" fontId="10" fillId="4" borderId="1" xfId="10" applyNumberFormat="1" applyFont="1" applyFill="1" applyBorder="1" applyAlignment="1">
      <alignment vertical="center" wrapText="1"/>
    </xf>
    <xf numFmtId="0" fontId="9" fillId="5" borderId="1" xfId="10" applyFont="1" applyFill="1" applyBorder="1" applyAlignment="1">
      <alignment vertical="center" wrapText="1"/>
    </xf>
    <xf numFmtId="4" fontId="9" fillId="5" borderId="1" xfId="1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/>
    </xf>
    <xf numFmtId="0" fontId="9" fillId="8" borderId="1" xfId="0" applyFont="1" applyFill="1" applyBorder="1" applyAlignment="1">
      <alignment horizontal="left" wrapText="1"/>
    </xf>
    <xf numFmtId="2" fontId="9" fillId="8" borderId="1" xfId="0" applyNumberFormat="1" applyFont="1" applyFill="1" applyBorder="1" applyAlignment="1">
      <alignment horizontal="center"/>
    </xf>
    <xf numFmtId="2" fontId="9" fillId="8" borderId="1" xfId="0" applyNumberFormat="1" applyFont="1" applyFill="1" applyBorder="1" applyAlignment="1">
      <alignment horizontal="right"/>
    </xf>
    <xf numFmtId="0" fontId="12" fillId="0" borderId="0" xfId="0" applyFont="1" applyBorder="1" applyAlignment="1">
      <alignment horizontal="center" vertical="center" wrapText="1"/>
    </xf>
  </cellXfs>
  <cellStyles count="13">
    <cellStyle name="Обычный" xfId="0" builtinId="0"/>
    <cellStyle name="Обычный 2" xfId="4"/>
    <cellStyle name="Обычный 2 2" xfId="8"/>
    <cellStyle name="Обычный 2 3" xfId="1"/>
    <cellStyle name="Обычный 2 3 2" xfId="3"/>
    <cellStyle name="Обычный 2 6" xfId="7"/>
    <cellStyle name="Обычный 3" xfId="2"/>
    <cellStyle name="Обычный 4 2 2 2" xfId="6"/>
    <cellStyle name="Обычный 9" xfId="5"/>
    <cellStyle name="Обычный_для Спектор 22.12.06 (17.30)" xfId="12"/>
    <cellStyle name="Обычный_Спектор посл" xfId="11"/>
    <cellStyle name="Пояснение" xfId="10" builtinId="53"/>
    <cellStyle name="Финансовый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9"/>
  <sheetViews>
    <sheetView tabSelected="1" view="pageBreakPreview" zoomScale="60" zoomScaleNormal="100" workbookViewId="0">
      <selection activeCell="N27" sqref="N27"/>
    </sheetView>
  </sheetViews>
  <sheetFormatPr defaultRowHeight="15"/>
  <cols>
    <col min="1" max="1" width="5.7109375" style="2" customWidth="1"/>
    <col min="2" max="2" width="53" style="64" customWidth="1"/>
    <col min="3" max="3" width="9.140625" style="68"/>
    <col min="4" max="4" width="9.140625" style="69"/>
    <col min="5" max="5" width="12.7109375" style="1" customWidth="1"/>
    <col min="6" max="6" width="13.85546875" style="1" customWidth="1"/>
    <col min="7" max="7" width="45.140625" style="4" customWidth="1"/>
    <col min="8" max="8" width="9.140625" style="68"/>
    <col min="9" max="9" width="10" style="68" bestFit="1" customWidth="1"/>
  </cols>
  <sheetData>
    <row r="1" spans="1:9" ht="26.25">
      <c r="B1" s="63"/>
      <c r="C1" s="167" t="s">
        <v>140</v>
      </c>
      <c r="D1" s="167"/>
      <c r="E1" s="167"/>
      <c r="F1" s="167"/>
      <c r="G1" s="167"/>
      <c r="H1" s="167"/>
      <c r="I1" s="167"/>
    </row>
    <row r="2" spans="1:9" ht="27" thickBot="1">
      <c r="B2" s="63"/>
      <c r="C2" s="162"/>
      <c r="D2" s="162"/>
      <c r="E2" s="70"/>
      <c r="F2" s="70"/>
      <c r="G2" s="65"/>
      <c r="H2" s="162"/>
      <c r="I2" s="162"/>
    </row>
    <row r="3" spans="1:9" ht="15.75" thickBot="1">
      <c r="A3" s="76" t="s">
        <v>0</v>
      </c>
      <c r="B3" s="77" t="s">
        <v>16</v>
      </c>
      <c r="C3" s="78" t="s">
        <v>17</v>
      </c>
      <c r="D3" s="79" t="s">
        <v>18</v>
      </c>
      <c r="E3" s="80" t="s">
        <v>19</v>
      </c>
      <c r="F3" s="81" t="s">
        <v>20</v>
      </c>
      <c r="G3" s="82" t="s">
        <v>16</v>
      </c>
      <c r="H3" s="78" t="s">
        <v>17</v>
      </c>
      <c r="I3" s="79" t="s">
        <v>18</v>
      </c>
    </row>
    <row r="4" spans="1:9" ht="15.75" thickBot="1">
      <c r="A4" s="83" t="s">
        <v>4</v>
      </c>
      <c r="B4" s="84" t="s">
        <v>33</v>
      </c>
      <c r="C4" s="85"/>
      <c r="D4" s="85"/>
      <c r="E4" s="86"/>
      <c r="F4" s="87"/>
      <c r="G4" s="88"/>
      <c r="H4" s="85"/>
      <c r="I4" s="85"/>
    </row>
    <row r="5" spans="1:9" ht="15.75" thickBot="1">
      <c r="A5" s="89">
        <v>1</v>
      </c>
      <c r="B5" s="90" t="s">
        <v>27</v>
      </c>
      <c r="C5" s="91"/>
      <c r="D5" s="91"/>
      <c r="E5" s="92"/>
      <c r="F5" s="93"/>
      <c r="G5" s="94"/>
      <c r="H5" s="91"/>
      <c r="I5" s="91"/>
    </row>
    <row r="6" spans="1:9">
      <c r="A6" s="146">
        <v>1</v>
      </c>
      <c r="B6" s="96" t="s">
        <v>142</v>
      </c>
      <c r="C6" s="29" t="s">
        <v>2</v>
      </c>
      <c r="D6" s="30">
        <v>1</v>
      </c>
      <c r="E6" s="30">
        <v>600</v>
      </c>
      <c r="F6" s="97">
        <f t="shared" ref="F6:F11" si="0">D6*E6</f>
        <v>600</v>
      </c>
      <c r="G6" s="98"/>
      <c r="H6" s="144"/>
      <c r="I6" s="56"/>
    </row>
    <row r="7" spans="1:9">
      <c r="A7" s="147">
        <v>2</v>
      </c>
      <c r="B7" s="99" t="s">
        <v>26</v>
      </c>
      <c r="C7" s="29" t="s">
        <v>2</v>
      </c>
      <c r="D7" s="30">
        <v>1</v>
      </c>
      <c r="E7" s="30">
        <v>250.00000000000003</v>
      </c>
      <c r="F7" s="31">
        <f t="shared" si="0"/>
        <v>250.00000000000003</v>
      </c>
      <c r="G7" s="98"/>
      <c r="H7" s="67"/>
      <c r="I7" s="56"/>
    </row>
    <row r="8" spans="1:9">
      <c r="A8" s="146">
        <v>3</v>
      </c>
      <c r="B8" s="99" t="s">
        <v>141</v>
      </c>
      <c r="C8" s="29" t="s">
        <v>1</v>
      </c>
      <c r="D8" s="30">
        <f>2.063*3.02-0.847*2</f>
        <v>4.5362600000000004</v>
      </c>
      <c r="E8" s="30">
        <v>300</v>
      </c>
      <c r="F8" s="31">
        <f t="shared" si="0"/>
        <v>1360.8780000000002</v>
      </c>
      <c r="G8" s="98"/>
      <c r="H8" s="67"/>
      <c r="I8" s="56"/>
    </row>
    <row r="9" spans="1:9">
      <c r="A9" s="147">
        <v>4</v>
      </c>
      <c r="B9" s="99" t="s">
        <v>143</v>
      </c>
      <c r="C9" s="29" t="s">
        <v>1</v>
      </c>
      <c r="D9" s="30">
        <f>0.27*3.02+0.576*0.573+1.376*0.569</f>
        <v>1.9283919999999999</v>
      </c>
      <c r="E9" s="30">
        <v>300</v>
      </c>
      <c r="F9" s="31">
        <f t="shared" si="0"/>
        <v>578.51760000000002</v>
      </c>
      <c r="G9" s="98" t="s">
        <v>25</v>
      </c>
      <c r="H9" s="67" t="s">
        <v>15</v>
      </c>
      <c r="I9" s="56">
        <v>2</v>
      </c>
    </row>
    <row r="10" spans="1:9">
      <c r="A10" s="146">
        <v>5</v>
      </c>
      <c r="B10" s="99" t="s">
        <v>144</v>
      </c>
      <c r="C10" s="29" t="s">
        <v>1</v>
      </c>
      <c r="D10" s="30">
        <f>(1.321+1.226+0.246+0.205+0.242)*3.02</f>
        <v>9.7847999999999988</v>
      </c>
      <c r="E10" s="30">
        <v>30</v>
      </c>
      <c r="F10" s="31">
        <f t="shared" si="0"/>
        <v>293.54399999999998</v>
      </c>
      <c r="G10" s="98"/>
      <c r="H10" s="67"/>
      <c r="I10" s="56"/>
    </row>
    <row r="11" spans="1:9" ht="29.25">
      <c r="A11" s="147">
        <v>6</v>
      </c>
      <c r="B11" s="100" t="s">
        <v>130</v>
      </c>
      <c r="C11" s="101" t="s">
        <v>11</v>
      </c>
      <c r="D11" s="102">
        <v>500</v>
      </c>
      <c r="E11" s="37">
        <v>15</v>
      </c>
      <c r="F11" s="103">
        <f t="shared" si="0"/>
        <v>7500</v>
      </c>
      <c r="G11" s="104" t="s">
        <v>89</v>
      </c>
      <c r="H11" s="105" t="s">
        <v>5</v>
      </c>
      <c r="I11" s="101">
        <v>500</v>
      </c>
    </row>
    <row r="12" spans="1:9" ht="15.75" thickBot="1">
      <c r="A12" s="147"/>
      <c r="B12" s="106"/>
      <c r="C12" s="55"/>
      <c r="D12" s="56"/>
      <c r="E12" s="56"/>
      <c r="F12" s="107"/>
      <c r="G12" s="98"/>
      <c r="H12" s="67"/>
      <c r="I12" s="56"/>
    </row>
    <row r="13" spans="1:9" ht="15.75" thickBot="1">
      <c r="A13" s="145"/>
      <c r="B13" s="90" t="s">
        <v>41</v>
      </c>
      <c r="C13" s="91"/>
      <c r="D13" s="91"/>
      <c r="E13" s="91"/>
      <c r="F13" s="93"/>
      <c r="G13" s="94"/>
      <c r="H13" s="95"/>
      <c r="I13" s="91"/>
    </row>
    <row r="14" spans="1:9" ht="15.75" thickBot="1">
      <c r="A14" s="148"/>
      <c r="B14" s="108" t="s">
        <v>9</v>
      </c>
      <c r="C14" s="109"/>
      <c r="D14" s="110"/>
      <c r="E14" s="110"/>
      <c r="F14" s="111"/>
      <c r="G14" s="112"/>
      <c r="H14" s="113"/>
      <c r="I14" s="110"/>
    </row>
    <row r="15" spans="1:9" ht="28.5">
      <c r="A15" s="115">
        <v>1</v>
      </c>
      <c r="B15" s="114" t="s">
        <v>93</v>
      </c>
      <c r="C15" s="115" t="s">
        <v>1</v>
      </c>
      <c r="D15" s="116">
        <v>15</v>
      </c>
      <c r="E15" s="116">
        <v>15</v>
      </c>
      <c r="F15" s="117">
        <f>D15*E15</f>
        <v>225</v>
      </c>
      <c r="G15" s="71" t="s">
        <v>222</v>
      </c>
      <c r="H15" s="155" t="s">
        <v>6</v>
      </c>
      <c r="I15" s="62">
        <f>D15*0.2</f>
        <v>3</v>
      </c>
    </row>
    <row r="16" spans="1:9" ht="28.5">
      <c r="A16" s="29">
        <v>2</v>
      </c>
      <c r="B16" s="118" t="s">
        <v>97</v>
      </c>
      <c r="C16" s="29" t="s">
        <v>1</v>
      </c>
      <c r="D16" s="119">
        <v>15</v>
      </c>
      <c r="E16" s="119">
        <v>120</v>
      </c>
      <c r="F16" s="120">
        <f>D16*E16</f>
        <v>1800</v>
      </c>
      <c r="G16" s="27" t="s">
        <v>166</v>
      </c>
      <c r="H16" s="27" t="s">
        <v>5</v>
      </c>
      <c r="I16" s="59">
        <f>D16*1*10/30</f>
        <v>5</v>
      </c>
    </row>
    <row r="17" spans="1:9" ht="29.25">
      <c r="A17" s="29"/>
      <c r="B17" s="40"/>
      <c r="C17" s="41"/>
      <c r="D17" s="72"/>
      <c r="E17" s="42"/>
      <c r="F17" s="73"/>
      <c r="G17" s="46" t="s">
        <v>95</v>
      </c>
      <c r="H17" s="24" t="s">
        <v>5</v>
      </c>
      <c r="I17" s="37">
        <v>10</v>
      </c>
    </row>
    <row r="18" spans="1:9">
      <c r="A18" s="115"/>
      <c r="B18" s="40"/>
      <c r="C18" s="41"/>
      <c r="D18" s="72"/>
      <c r="E18" s="42"/>
      <c r="F18" s="73"/>
      <c r="G18" s="46" t="s">
        <v>96</v>
      </c>
      <c r="H18" s="24" t="s">
        <v>5</v>
      </c>
      <c r="I18" s="37">
        <v>10</v>
      </c>
    </row>
    <row r="19" spans="1:9" ht="29.25">
      <c r="A19" s="115">
        <v>3</v>
      </c>
      <c r="B19" s="40" t="s">
        <v>145</v>
      </c>
      <c r="C19" s="41" t="s">
        <v>1</v>
      </c>
      <c r="D19" s="72">
        <v>15</v>
      </c>
      <c r="E19" s="42">
        <v>30</v>
      </c>
      <c r="F19" s="73">
        <f>D19*E19</f>
        <v>450</v>
      </c>
      <c r="G19" s="46" t="s">
        <v>94</v>
      </c>
      <c r="H19" s="24" t="s">
        <v>24</v>
      </c>
      <c r="I19" s="37">
        <v>1</v>
      </c>
    </row>
    <row r="20" spans="1:9">
      <c r="A20" s="29">
        <v>4</v>
      </c>
      <c r="B20" s="40" t="s">
        <v>205</v>
      </c>
      <c r="C20" s="41" t="s">
        <v>1</v>
      </c>
      <c r="D20" s="41">
        <v>25</v>
      </c>
      <c r="E20" s="42">
        <v>45</v>
      </c>
      <c r="F20" s="73">
        <f>E20*D20</f>
        <v>1125</v>
      </c>
      <c r="G20" s="46" t="s">
        <v>98</v>
      </c>
      <c r="H20" s="24" t="s">
        <v>1</v>
      </c>
      <c r="I20" s="37">
        <f>D20</f>
        <v>25</v>
      </c>
    </row>
    <row r="21" spans="1:9" ht="42.75">
      <c r="A21" s="5">
        <v>5</v>
      </c>
      <c r="B21" s="11" t="s">
        <v>206</v>
      </c>
      <c r="C21" s="12" t="s">
        <v>73</v>
      </c>
      <c r="D21" s="12">
        <v>8</v>
      </c>
      <c r="E21" s="13">
        <v>170</v>
      </c>
      <c r="F21" s="14">
        <f>E21*D21</f>
        <v>1360</v>
      </c>
      <c r="G21" s="15" t="s">
        <v>231</v>
      </c>
      <c r="H21" s="15" t="s">
        <v>1</v>
      </c>
      <c r="I21" s="16">
        <f>1*D21*1.15*0.4</f>
        <v>3.6799999999999997</v>
      </c>
    </row>
    <row r="22" spans="1:9">
      <c r="A22" s="5"/>
      <c r="B22" s="17"/>
      <c r="C22" s="18"/>
      <c r="D22" s="18"/>
      <c r="E22" s="152"/>
      <c r="F22" s="19"/>
      <c r="G22" s="15" t="s">
        <v>226</v>
      </c>
      <c r="H22" s="15" t="s">
        <v>39</v>
      </c>
      <c r="I22" s="16">
        <v>18</v>
      </c>
    </row>
    <row r="23" spans="1:9">
      <c r="A23" s="5"/>
      <c r="B23" s="17"/>
      <c r="C23" s="18"/>
      <c r="D23" s="18"/>
      <c r="E23" s="152"/>
      <c r="F23" s="19"/>
      <c r="G23" s="15" t="s">
        <v>225</v>
      </c>
      <c r="H23" s="15" t="s">
        <v>39</v>
      </c>
      <c r="I23" s="16">
        <v>18</v>
      </c>
    </row>
    <row r="24" spans="1:9">
      <c r="A24" s="5"/>
      <c r="B24" s="17"/>
      <c r="C24" s="18"/>
      <c r="D24" s="18"/>
      <c r="E24" s="152"/>
      <c r="F24" s="19"/>
      <c r="G24" s="15" t="s">
        <v>44</v>
      </c>
      <c r="H24" s="15" t="s">
        <v>5</v>
      </c>
      <c r="I24" s="16">
        <v>22</v>
      </c>
    </row>
    <row r="25" spans="1:9">
      <c r="A25" s="5"/>
      <c r="B25" s="17"/>
      <c r="C25" s="18"/>
      <c r="D25" s="18"/>
      <c r="E25" s="152"/>
      <c r="F25" s="19"/>
      <c r="G25" s="15" t="s">
        <v>148</v>
      </c>
      <c r="H25" s="15" t="s">
        <v>39</v>
      </c>
      <c r="I25" s="16">
        <v>7</v>
      </c>
    </row>
    <row r="26" spans="1:9">
      <c r="A26" s="5"/>
      <c r="B26" s="17"/>
      <c r="C26" s="18"/>
      <c r="D26" s="18"/>
      <c r="E26" s="152"/>
      <c r="F26" s="19"/>
      <c r="G26" s="15" t="s">
        <v>149</v>
      </c>
      <c r="H26" s="15" t="s">
        <v>5</v>
      </c>
      <c r="I26" s="16">
        <v>15</v>
      </c>
    </row>
    <row r="27" spans="1:9">
      <c r="A27" s="5"/>
      <c r="B27" s="20"/>
      <c r="C27" s="21"/>
      <c r="D27" s="22"/>
      <c r="E27" s="153"/>
      <c r="F27" s="23"/>
      <c r="G27" s="24" t="s">
        <v>47</v>
      </c>
      <c r="H27" s="156" t="s">
        <v>5</v>
      </c>
      <c r="I27" s="25">
        <f>D21*15*1.15</f>
        <v>138</v>
      </c>
    </row>
    <row r="28" spans="1:9">
      <c r="A28" s="5"/>
      <c r="B28" s="20"/>
      <c r="C28" s="21"/>
      <c r="D28" s="22"/>
      <c r="E28" s="153"/>
      <c r="F28" s="23"/>
      <c r="G28" s="27" t="s">
        <v>43</v>
      </c>
      <c r="H28" s="156" t="s">
        <v>5</v>
      </c>
      <c r="I28" s="25">
        <v>9</v>
      </c>
    </row>
    <row r="29" spans="1:9">
      <c r="A29" s="5"/>
      <c r="B29" s="20"/>
      <c r="C29" s="21"/>
      <c r="D29" s="22"/>
      <c r="E29" s="153"/>
      <c r="F29" s="23"/>
      <c r="G29" s="24" t="s">
        <v>51</v>
      </c>
      <c r="H29" s="156" t="s">
        <v>39</v>
      </c>
      <c r="I29" s="25">
        <v>11</v>
      </c>
    </row>
    <row r="30" spans="1:9" ht="28.5">
      <c r="A30" s="5"/>
      <c r="B30" s="17"/>
      <c r="C30" s="18"/>
      <c r="D30" s="18"/>
      <c r="E30" s="152"/>
      <c r="F30" s="19"/>
      <c r="G30" s="15" t="s">
        <v>50</v>
      </c>
      <c r="H30" s="15" t="s">
        <v>34</v>
      </c>
      <c r="I30" s="16">
        <f>0.75*D21*1.1</f>
        <v>6.6000000000000005</v>
      </c>
    </row>
    <row r="31" spans="1:9" ht="28.5">
      <c r="A31" s="5"/>
      <c r="B31" s="17"/>
      <c r="C31" s="18"/>
      <c r="D31" s="18"/>
      <c r="E31" s="152"/>
      <c r="F31" s="19"/>
      <c r="G31" s="15" t="s">
        <v>222</v>
      </c>
      <c r="H31" s="15" t="s">
        <v>6</v>
      </c>
      <c r="I31" s="16">
        <f>D21*0.2</f>
        <v>1.6</v>
      </c>
    </row>
    <row r="32" spans="1:9">
      <c r="A32" s="5"/>
      <c r="B32" s="17"/>
      <c r="C32" s="18"/>
      <c r="D32" s="18"/>
      <c r="E32" s="152"/>
      <c r="F32" s="19"/>
      <c r="G32" s="15" t="s">
        <v>227</v>
      </c>
      <c r="H32" s="15" t="s">
        <v>39</v>
      </c>
      <c r="I32" s="16">
        <f>D21</f>
        <v>8</v>
      </c>
    </row>
    <row r="33" spans="1:9" ht="43.5">
      <c r="A33" s="5">
        <v>6</v>
      </c>
      <c r="B33" s="20" t="s">
        <v>207</v>
      </c>
      <c r="C33" s="21" t="s">
        <v>1</v>
      </c>
      <c r="D33" s="22">
        <v>24</v>
      </c>
      <c r="E33" s="153">
        <v>230</v>
      </c>
      <c r="F33" s="23">
        <f>D33*E33</f>
        <v>5520</v>
      </c>
      <c r="G33" s="27" t="s">
        <v>231</v>
      </c>
      <c r="H33" s="156" t="s">
        <v>1</v>
      </c>
      <c r="I33" s="25">
        <f>4*D33*1.15</f>
        <v>110.39999999999999</v>
      </c>
    </row>
    <row r="34" spans="1:9">
      <c r="A34" s="5"/>
      <c r="B34" s="20"/>
      <c r="C34" s="21"/>
      <c r="D34" s="22"/>
      <c r="E34" s="153"/>
      <c r="F34" s="23"/>
      <c r="G34" s="27" t="s">
        <v>228</v>
      </c>
      <c r="H34" s="156" t="s">
        <v>39</v>
      </c>
      <c r="I34" s="25">
        <v>54</v>
      </c>
    </row>
    <row r="35" spans="1:9">
      <c r="A35" s="5"/>
      <c r="B35" s="20"/>
      <c r="C35" s="21"/>
      <c r="D35" s="22"/>
      <c r="E35" s="153"/>
      <c r="F35" s="23"/>
      <c r="G35" s="27" t="s">
        <v>229</v>
      </c>
      <c r="H35" s="156" t="s">
        <v>39</v>
      </c>
      <c r="I35" s="25">
        <v>36</v>
      </c>
    </row>
    <row r="36" spans="1:9">
      <c r="A36" s="5"/>
      <c r="B36" s="20"/>
      <c r="C36" s="21"/>
      <c r="D36" s="22"/>
      <c r="E36" s="153"/>
      <c r="F36" s="23"/>
      <c r="G36" s="27" t="s">
        <v>150</v>
      </c>
      <c r="H36" s="156" t="s">
        <v>5</v>
      </c>
      <c r="I36" s="25">
        <f>30*D33*1.1</f>
        <v>792.00000000000011</v>
      </c>
    </row>
    <row r="37" spans="1:9">
      <c r="A37" s="5"/>
      <c r="B37" s="20"/>
      <c r="C37" s="21"/>
      <c r="D37" s="22"/>
      <c r="E37" s="153"/>
      <c r="F37" s="23"/>
      <c r="G37" s="27" t="s">
        <v>151</v>
      </c>
      <c r="H37" s="156" t="s">
        <v>5</v>
      </c>
      <c r="I37" s="25">
        <f>30*D33*1.1</f>
        <v>792.00000000000011</v>
      </c>
    </row>
    <row r="38" spans="1:9" ht="28.5">
      <c r="A38" s="5"/>
      <c r="B38" s="20"/>
      <c r="C38" s="21"/>
      <c r="D38" s="22"/>
      <c r="E38" s="153"/>
      <c r="F38" s="23"/>
      <c r="G38" s="27" t="s">
        <v>50</v>
      </c>
      <c r="H38" s="156" t="s">
        <v>34</v>
      </c>
      <c r="I38" s="25">
        <f>1.5*D33*1.1</f>
        <v>39.6</v>
      </c>
    </row>
    <row r="39" spans="1:9" ht="28.5">
      <c r="A39" s="5"/>
      <c r="B39" s="20"/>
      <c r="C39" s="21"/>
      <c r="D39" s="22"/>
      <c r="E39" s="153"/>
      <c r="F39" s="23"/>
      <c r="G39" s="27" t="s">
        <v>222</v>
      </c>
      <c r="H39" s="156" t="s">
        <v>6</v>
      </c>
      <c r="I39" s="25">
        <f>D33*0.2</f>
        <v>4.8000000000000007</v>
      </c>
    </row>
    <row r="40" spans="1:9">
      <c r="A40" s="5"/>
      <c r="B40" s="20"/>
      <c r="C40" s="21"/>
      <c r="D40" s="22"/>
      <c r="E40" s="153"/>
      <c r="F40" s="23"/>
      <c r="G40" s="27" t="s">
        <v>149</v>
      </c>
      <c r="H40" s="156" t="s">
        <v>5</v>
      </c>
      <c r="I40" s="25">
        <v>43</v>
      </c>
    </row>
    <row r="41" spans="1:9">
      <c r="A41" s="5"/>
      <c r="B41" s="20"/>
      <c r="C41" s="21"/>
      <c r="D41" s="22"/>
      <c r="E41" s="153"/>
      <c r="F41" s="23"/>
      <c r="G41" s="27" t="s">
        <v>148</v>
      </c>
      <c r="H41" s="156" t="s">
        <v>39</v>
      </c>
      <c r="I41" s="25">
        <v>32</v>
      </c>
    </row>
    <row r="42" spans="1:9">
      <c r="A42" s="5"/>
      <c r="B42" s="20"/>
      <c r="C42" s="21"/>
      <c r="D42" s="22"/>
      <c r="E42" s="153"/>
      <c r="F42" s="23"/>
      <c r="G42" s="27" t="s">
        <v>227</v>
      </c>
      <c r="H42" s="156" t="s">
        <v>39</v>
      </c>
      <c r="I42" s="25">
        <f>0.5*D33</f>
        <v>12</v>
      </c>
    </row>
    <row r="43" spans="1:9">
      <c r="A43" s="5"/>
      <c r="B43" s="20"/>
      <c r="C43" s="21"/>
      <c r="D43" s="22"/>
      <c r="E43" s="153"/>
      <c r="F43" s="23"/>
      <c r="G43" s="160" t="s">
        <v>230</v>
      </c>
      <c r="H43" s="156" t="s">
        <v>39</v>
      </c>
      <c r="I43" s="161">
        <v>12</v>
      </c>
    </row>
    <row r="44" spans="1:9" ht="29.25">
      <c r="A44" s="5"/>
      <c r="B44" s="33"/>
      <c r="C44" s="34"/>
      <c r="D44" s="35"/>
      <c r="E44" s="35"/>
      <c r="F44" s="36"/>
      <c r="G44" s="9" t="s">
        <v>152</v>
      </c>
      <c r="H44" s="24" t="s">
        <v>12</v>
      </c>
      <c r="I44" s="37">
        <v>85</v>
      </c>
    </row>
    <row r="45" spans="1:9">
      <c r="A45" s="5">
        <v>7</v>
      </c>
      <c r="B45" s="28" t="s">
        <v>21</v>
      </c>
      <c r="C45" s="29" t="s">
        <v>3</v>
      </c>
      <c r="D45" s="30">
        <v>10</v>
      </c>
      <c r="E45" s="30">
        <v>30</v>
      </c>
      <c r="F45" s="31">
        <f>D45*E45</f>
        <v>300</v>
      </c>
      <c r="G45" s="32" t="s">
        <v>153</v>
      </c>
      <c r="H45" s="67" t="s">
        <v>23</v>
      </c>
      <c r="I45" s="30">
        <f>D45*1.1</f>
        <v>11</v>
      </c>
    </row>
    <row r="46" spans="1:9" ht="29.25">
      <c r="A46" s="5">
        <v>8</v>
      </c>
      <c r="B46" s="20" t="s">
        <v>208</v>
      </c>
      <c r="C46" s="21" t="s">
        <v>1</v>
      </c>
      <c r="D46" s="22">
        <f>D33</f>
        <v>24</v>
      </c>
      <c r="E46" s="153">
        <v>40</v>
      </c>
      <c r="F46" s="23">
        <f>D46*E46</f>
        <v>960</v>
      </c>
      <c r="G46" s="38" t="s">
        <v>28</v>
      </c>
      <c r="H46" s="157" t="s">
        <v>1</v>
      </c>
      <c r="I46" s="39">
        <v>53</v>
      </c>
    </row>
    <row r="47" spans="1:9">
      <c r="A47" s="5">
        <v>9</v>
      </c>
      <c r="B47" s="6" t="s">
        <v>154</v>
      </c>
      <c r="C47" s="5" t="s">
        <v>29</v>
      </c>
      <c r="D47" s="7">
        <f>28+3</f>
        <v>31</v>
      </c>
      <c r="E47" s="7">
        <v>130</v>
      </c>
      <c r="F47" s="8">
        <f>D47*E47</f>
        <v>4030</v>
      </c>
      <c r="G47" s="9" t="s">
        <v>231</v>
      </c>
      <c r="H47" s="24" t="s">
        <v>1</v>
      </c>
      <c r="I47" s="10">
        <f>D47*0.5</f>
        <v>15.5</v>
      </c>
    </row>
    <row r="48" spans="1:9" ht="43.5">
      <c r="A48" s="5">
        <v>10</v>
      </c>
      <c r="B48" s="28" t="s">
        <v>209</v>
      </c>
      <c r="C48" s="29" t="s">
        <v>1</v>
      </c>
      <c r="D48" s="30">
        <f>0.932*3.02*1.1</f>
        <v>3.0961040000000004</v>
      </c>
      <c r="E48" s="30">
        <v>170</v>
      </c>
      <c r="F48" s="31">
        <f>D48*E48</f>
        <v>526.33768000000009</v>
      </c>
      <c r="G48" s="32" t="s">
        <v>231</v>
      </c>
      <c r="H48" s="67" t="s">
        <v>1</v>
      </c>
      <c r="I48" s="30">
        <f>2*D48*1.15</f>
        <v>7.1210392000000002</v>
      </c>
    </row>
    <row r="49" spans="1:9">
      <c r="A49" s="5"/>
      <c r="B49" s="17"/>
      <c r="C49" s="18"/>
      <c r="D49" s="18"/>
      <c r="E49" s="152"/>
      <c r="F49" s="19"/>
      <c r="G49" s="15" t="s">
        <v>146</v>
      </c>
      <c r="H49" s="15" t="s">
        <v>39</v>
      </c>
      <c r="I49" s="16">
        <v>3</v>
      </c>
    </row>
    <row r="50" spans="1:9">
      <c r="A50" s="5"/>
      <c r="B50" s="17"/>
      <c r="C50" s="18"/>
      <c r="D50" s="18"/>
      <c r="E50" s="152"/>
      <c r="F50" s="19"/>
      <c r="G50" s="15" t="s">
        <v>147</v>
      </c>
      <c r="H50" s="15" t="s">
        <v>39</v>
      </c>
      <c r="I50" s="16">
        <v>9</v>
      </c>
    </row>
    <row r="51" spans="1:9">
      <c r="A51" s="5"/>
      <c r="B51" s="17"/>
      <c r="C51" s="18"/>
      <c r="D51" s="18"/>
      <c r="E51" s="152"/>
      <c r="F51" s="19"/>
      <c r="G51" s="15" t="s">
        <v>44</v>
      </c>
      <c r="H51" s="15" t="s">
        <v>5</v>
      </c>
      <c r="I51" s="16">
        <f>D48*0.7*1.1</f>
        <v>2.3840000800000003</v>
      </c>
    </row>
    <row r="52" spans="1:9">
      <c r="A52" s="5"/>
      <c r="B52" s="17"/>
      <c r="C52" s="18"/>
      <c r="D52" s="18"/>
      <c r="E52" s="152"/>
      <c r="F52" s="19"/>
      <c r="G52" s="15" t="s">
        <v>148</v>
      </c>
      <c r="H52" s="15" t="s">
        <v>39</v>
      </c>
      <c r="I52" s="16">
        <v>3</v>
      </c>
    </row>
    <row r="53" spans="1:9">
      <c r="A53" s="5"/>
      <c r="B53" s="17"/>
      <c r="C53" s="18"/>
      <c r="D53" s="18"/>
      <c r="E53" s="152"/>
      <c r="F53" s="19"/>
      <c r="G53" s="15" t="s">
        <v>149</v>
      </c>
      <c r="H53" s="15" t="s">
        <v>5</v>
      </c>
      <c r="I53" s="16">
        <v>6</v>
      </c>
    </row>
    <row r="54" spans="1:9">
      <c r="A54" s="5"/>
      <c r="B54" s="20"/>
      <c r="C54" s="21"/>
      <c r="D54" s="22"/>
      <c r="E54" s="153"/>
      <c r="F54" s="23"/>
      <c r="G54" s="24" t="s">
        <v>47</v>
      </c>
      <c r="H54" s="156" t="s">
        <v>5</v>
      </c>
      <c r="I54" s="25">
        <v>57</v>
      </c>
    </row>
    <row r="55" spans="1:9">
      <c r="A55" s="5"/>
      <c r="B55" s="20"/>
      <c r="C55" s="21"/>
      <c r="D55" s="22"/>
      <c r="E55" s="153"/>
      <c r="F55" s="23"/>
      <c r="G55" s="27" t="s">
        <v>43</v>
      </c>
      <c r="H55" s="156" t="s">
        <v>5</v>
      </c>
      <c r="I55" s="25">
        <v>4</v>
      </c>
    </row>
    <row r="56" spans="1:9">
      <c r="A56" s="5"/>
      <c r="B56" s="20"/>
      <c r="C56" s="21"/>
      <c r="D56" s="22"/>
      <c r="E56" s="153"/>
      <c r="F56" s="23"/>
      <c r="G56" s="24" t="s">
        <v>51</v>
      </c>
      <c r="H56" s="156" t="s">
        <v>39</v>
      </c>
      <c r="I56" s="25">
        <v>4</v>
      </c>
    </row>
    <row r="57" spans="1:9" ht="28.5">
      <c r="A57" s="5"/>
      <c r="B57" s="17"/>
      <c r="C57" s="18"/>
      <c r="D57" s="18"/>
      <c r="E57" s="152"/>
      <c r="F57" s="19"/>
      <c r="G57" s="15" t="s">
        <v>50</v>
      </c>
      <c r="H57" s="15" t="s">
        <v>34</v>
      </c>
      <c r="I57" s="16">
        <f>0.75*D48*1.1</f>
        <v>2.5542858000000006</v>
      </c>
    </row>
    <row r="58" spans="1:9" ht="28.5">
      <c r="A58" s="5"/>
      <c r="B58" s="17"/>
      <c r="C58" s="18"/>
      <c r="D58" s="18"/>
      <c r="E58" s="152"/>
      <c r="F58" s="19"/>
      <c r="G58" s="15" t="s">
        <v>222</v>
      </c>
      <c r="H58" s="15" t="s">
        <v>6</v>
      </c>
      <c r="I58" s="16">
        <f>D48*0.2</f>
        <v>0.61922080000000013</v>
      </c>
    </row>
    <row r="59" spans="1:9">
      <c r="A59" s="5"/>
      <c r="B59" s="17"/>
      <c r="C59" s="18"/>
      <c r="D59" s="18"/>
      <c r="E59" s="152"/>
      <c r="F59" s="19"/>
      <c r="G59" s="15" t="s">
        <v>227</v>
      </c>
      <c r="H59" s="15" t="s">
        <v>39</v>
      </c>
      <c r="I59" s="16">
        <f>D48</f>
        <v>3.0961040000000004</v>
      </c>
    </row>
    <row r="60" spans="1:9" ht="43.5">
      <c r="A60" s="5">
        <v>11</v>
      </c>
      <c r="B60" s="28" t="s">
        <v>210</v>
      </c>
      <c r="C60" s="29" t="s">
        <v>1</v>
      </c>
      <c r="D60" s="30">
        <f>(0.382+0.3+0.382)*3.02</f>
        <v>3.2132800000000001</v>
      </c>
      <c r="E60" s="30">
        <v>170</v>
      </c>
      <c r="F60" s="31">
        <f>D60*E60</f>
        <v>546.25760000000002</v>
      </c>
      <c r="G60" s="32" t="s">
        <v>231</v>
      </c>
      <c r="H60" s="67" t="s">
        <v>1</v>
      </c>
      <c r="I60" s="30">
        <f>2*D60*1.15</f>
        <v>7.3905439999999993</v>
      </c>
    </row>
    <row r="61" spans="1:9">
      <c r="A61" s="5"/>
      <c r="B61" s="17"/>
      <c r="C61" s="18"/>
      <c r="D61" s="18"/>
      <c r="E61" s="152"/>
      <c r="F61" s="19"/>
      <c r="G61" s="15" t="s">
        <v>226</v>
      </c>
      <c r="H61" s="15" t="s">
        <v>39</v>
      </c>
      <c r="I61" s="16">
        <v>3</v>
      </c>
    </row>
    <row r="62" spans="1:9">
      <c r="A62" s="5"/>
      <c r="B62" s="17"/>
      <c r="C62" s="18"/>
      <c r="D62" s="18"/>
      <c r="E62" s="152"/>
      <c r="F62" s="19"/>
      <c r="G62" s="15" t="s">
        <v>225</v>
      </c>
      <c r="H62" s="15" t="s">
        <v>39</v>
      </c>
      <c r="I62" s="16">
        <v>9</v>
      </c>
    </row>
    <row r="63" spans="1:9">
      <c r="A63" s="5"/>
      <c r="B63" s="17"/>
      <c r="C63" s="18"/>
      <c r="D63" s="18"/>
      <c r="E63" s="152"/>
      <c r="F63" s="19"/>
      <c r="G63" s="15" t="s">
        <v>44</v>
      </c>
      <c r="H63" s="15" t="s">
        <v>5</v>
      </c>
      <c r="I63" s="16">
        <v>3</v>
      </c>
    </row>
    <row r="64" spans="1:9">
      <c r="A64" s="5"/>
      <c r="B64" s="17"/>
      <c r="C64" s="18"/>
      <c r="D64" s="18"/>
      <c r="E64" s="152"/>
      <c r="F64" s="19"/>
      <c r="G64" s="15" t="s">
        <v>148</v>
      </c>
      <c r="H64" s="15" t="s">
        <v>39</v>
      </c>
      <c r="I64" s="16">
        <v>3</v>
      </c>
    </row>
    <row r="65" spans="1:9">
      <c r="A65" s="5"/>
      <c r="B65" s="17"/>
      <c r="C65" s="18"/>
      <c r="D65" s="18"/>
      <c r="E65" s="152"/>
      <c r="F65" s="19"/>
      <c r="G65" s="15" t="s">
        <v>149</v>
      </c>
      <c r="H65" s="15" t="s">
        <v>5</v>
      </c>
      <c r="I65" s="16">
        <v>6</v>
      </c>
    </row>
    <row r="66" spans="1:9">
      <c r="A66" s="5"/>
      <c r="B66" s="20"/>
      <c r="C66" s="21"/>
      <c r="D66" s="22"/>
      <c r="E66" s="153"/>
      <c r="F66" s="23"/>
      <c r="G66" s="24" t="s">
        <v>47</v>
      </c>
      <c r="H66" s="156" t="s">
        <v>5</v>
      </c>
      <c r="I66" s="25">
        <v>57</v>
      </c>
    </row>
    <row r="67" spans="1:9">
      <c r="A67" s="5"/>
      <c r="B67" s="20"/>
      <c r="C67" s="21"/>
      <c r="D67" s="22"/>
      <c r="E67" s="153"/>
      <c r="F67" s="23"/>
      <c r="G67" s="27" t="s">
        <v>43</v>
      </c>
      <c r="H67" s="156" t="s">
        <v>5</v>
      </c>
      <c r="I67" s="25">
        <v>4</v>
      </c>
    </row>
    <row r="68" spans="1:9">
      <c r="A68" s="5"/>
      <c r="B68" s="20"/>
      <c r="C68" s="21"/>
      <c r="D68" s="22"/>
      <c r="E68" s="153"/>
      <c r="F68" s="23"/>
      <c r="G68" s="24" t="s">
        <v>51</v>
      </c>
      <c r="H68" s="156" t="s">
        <v>39</v>
      </c>
      <c r="I68" s="25">
        <v>4</v>
      </c>
    </row>
    <row r="69" spans="1:9" ht="28.5">
      <c r="A69" s="5"/>
      <c r="B69" s="17"/>
      <c r="C69" s="18"/>
      <c r="D69" s="18"/>
      <c r="E69" s="152"/>
      <c r="F69" s="19"/>
      <c r="G69" s="15" t="s">
        <v>50</v>
      </c>
      <c r="H69" s="15" t="s">
        <v>34</v>
      </c>
      <c r="I69" s="16">
        <f>0.75*D60*1.1</f>
        <v>2.6509559999999999</v>
      </c>
    </row>
    <row r="70" spans="1:9" ht="28.5">
      <c r="A70" s="5"/>
      <c r="B70" s="17"/>
      <c r="C70" s="18"/>
      <c r="D70" s="18"/>
      <c r="E70" s="152"/>
      <c r="F70" s="19"/>
      <c r="G70" s="15" t="s">
        <v>222</v>
      </c>
      <c r="H70" s="15" t="s">
        <v>6</v>
      </c>
      <c r="I70" s="16">
        <f>D60*0.2</f>
        <v>0.64265600000000012</v>
      </c>
    </row>
    <row r="71" spans="1:9">
      <c r="A71" s="5"/>
      <c r="B71" s="17"/>
      <c r="C71" s="18"/>
      <c r="D71" s="18"/>
      <c r="E71" s="152"/>
      <c r="F71" s="19"/>
      <c r="G71" s="15" t="s">
        <v>227</v>
      </c>
      <c r="H71" s="15" t="s">
        <v>39</v>
      </c>
      <c r="I71" s="16">
        <f>D60</f>
        <v>3.2132800000000001</v>
      </c>
    </row>
    <row r="72" spans="1:9">
      <c r="A72" s="115">
        <v>12</v>
      </c>
      <c r="B72" s="28" t="s">
        <v>211</v>
      </c>
      <c r="C72" s="29" t="s">
        <v>1</v>
      </c>
      <c r="D72" s="30">
        <v>12</v>
      </c>
      <c r="E72" s="30">
        <v>40</v>
      </c>
      <c r="F72" s="31">
        <f>E72*D72</f>
        <v>480</v>
      </c>
      <c r="G72" s="32" t="s">
        <v>30</v>
      </c>
      <c r="H72" s="67" t="s">
        <v>1</v>
      </c>
      <c r="I72" s="30">
        <f>D72*1.1</f>
        <v>13.200000000000001</v>
      </c>
    </row>
    <row r="73" spans="1:9">
      <c r="A73" s="29"/>
      <c r="B73" s="28"/>
      <c r="C73" s="29"/>
      <c r="D73" s="30"/>
      <c r="E73" s="30"/>
      <c r="F73" s="31"/>
      <c r="G73" s="32" t="s">
        <v>31</v>
      </c>
      <c r="H73" s="67" t="s">
        <v>5</v>
      </c>
      <c r="I73" s="30">
        <v>255</v>
      </c>
    </row>
    <row r="74" spans="1:9">
      <c r="A74" s="115"/>
      <c r="B74" s="28"/>
      <c r="C74" s="29"/>
      <c r="D74" s="30"/>
      <c r="E74" s="30"/>
      <c r="F74" s="31"/>
      <c r="G74" s="32" t="s">
        <v>32</v>
      </c>
      <c r="H74" s="67" t="s">
        <v>5</v>
      </c>
      <c r="I74" s="30">
        <v>2</v>
      </c>
    </row>
    <row r="75" spans="1:9">
      <c r="A75" s="29">
        <v>13</v>
      </c>
      <c r="B75" s="28" t="s">
        <v>164</v>
      </c>
      <c r="C75" s="29" t="s">
        <v>2</v>
      </c>
      <c r="D75" s="30">
        <v>1</v>
      </c>
      <c r="E75" s="37">
        <v>1000</v>
      </c>
      <c r="F75" s="31">
        <f>D75*E75</f>
        <v>1000</v>
      </c>
      <c r="G75" s="32" t="s">
        <v>197</v>
      </c>
      <c r="H75" s="67" t="s">
        <v>5</v>
      </c>
      <c r="I75" s="30">
        <v>1</v>
      </c>
    </row>
    <row r="76" spans="1:9" ht="28.5">
      <c r="A76" s="5">
        <v>14</v>
      </c>
      <c r="B76" s="20" t="s">
        <v>212</v>
      </c>
      <c r="C76" s="21" t="s">
        <v>1</v>
      </c>
      <c r="D76" s="22">
        <v>4</v>
      </c>
      <c r="E76" s="153">
        <v>40</v>
      </c>
      <c r="F76" s="23">
        <f>D76*E76</f>
        <v>160</v>
      </c>
      <c r="G76" s="38" t="s">
        <v>28</v>
      </c>
      <c r="H76" s="157" t="s">
        <v>1</v>
      </c>
      <c r="I76" s="39">
        <f>1*D77*1.1*2</f>
        <v>8.8000000000000007</v>
      </c>
    </row>
    <row r="77" spans="1:9" ht="29.25">
      <c r="A77" s="5">
        <v>15</v>
      </c>
      <c r="B77" s="28" t="s">
        <v>213</v>
      </c>
      <c r="C77" s="29" t="s">
        <v>1</v>
      </c>
      <c r="D77" s="30">
        <f>4</f>
        <v>4</v>
      </c>
      <c r="E77" s="30">
        <v>170</v>
      </c>
      <c r="F77" s="31">
        <f>D77*E77</f>
        <v>680</v>
      </c>
      <c r="G77" s="32" t="s">
        <v>231</v>
      </c>
      <c r="H77" s="67" t="s">
        <v>1</v>
      </c>
      <c r="I77" s="30">
        <f>2*D77*1.15</f>
        <v>9.1999999999999993</v>
      </c>
    </row>
    <row r="78" spans="1:9">
      <c r="A78" s="5"/>
      <c r="B78" s="17"/>
      <c r="C78" s="18"/>
      <c r="D78" s="18"/>
      <c r="E78" s="152"/>
      <c r="F78" s="19"/>
      <c r="G78" s="15" t="s">
        <v>226</v>
      </c>
      <c r="H78" s="15" t="s">
        <v>39</v>
      </c>
      <c r="I78" s="16">
        <v>3</v>
      </c>
    </row>
    <row r="79" spans="1:9">
      <c r="A79" s="5"/>
      <c r="B79" s="17"/>
      <c r="C79" s="18"/>
      <c r="D79" s="18"/>
      <c r="E79" s="152"/>
      <c r="F79" s="19"/>
      <c r="G79" s="15" t="s">
        <v>225</v>
      </c>
      <c r="H79" s="15" t="s">
        <v>39</v>
      </c>
      <c r="I79" s="16">
        <v>9</v>
      </c>
    </row>
    <row r="80" spans="1:9">
      <c r="A80" s="5"/>
      <c r="B80" s="17"/>
      <c r="C80" s="18"/>
      <c r="D80" s="18"/>
      <c r="E80" s="152"/>
      <c r="F80" s="19"/>
      <c r="G80" s="15" t="s">
        <v>44</v>
      </c>
      <c r="H80" s="15" t="s">
        <v>5</v>
      </c>
      <c r="I80" s="16">
        <f>D77*0.7*1.1</f>
        <v>3.08</v>
      </c>
    </row>
    <row r="81" spans="1:9">
      <c r="A81" s="5"/>
      <c r="B81" s="17"/>
      <c r="C81" s="18"/>
      <c r="D81" s="18"/>
      <c r="E81" s="152"/>
      <c r="F81" s="19"/>
      <c r="G81" s="15" t="s">
        <v>148</v>
      </c>
      <c r="H81" s="15" t="s">
        <v>39</v>
      </c>
      <c r="I81" s="16">
        <f>D77*0.8*1.1</f>
        <v>3.5200000000000005</v>
      </c>
    </row>
    <row r="82" spans="1:9">
      <c r="A82" s="5"/>
      <c r="B82" s="17"/>
      <c r="C82" s="18"/>
      <c r="D82" s="18"/>
      <c r="E82" s="152"/>
      <c r="F82" s="19"/>
      <c r="G82" s="15" t="s">
        <v>149</v>
      </c>
      <c r="H82" s="15" t="s">
        <v>5</v>
      </c>
      <c r="I82" s="16">
        <f>1.6*D77*1.1</f>
        <v>7.0400000000000009</v>
      </c>
    </row>
    <row r="83" spans="1:9">
      <c r="A83" s="5"/>
      <c r="B83" s="20"/>
      <c r="C83" s="21"/>
      <c r="D83" s="22"/>
      <c r="E83" s="153"/>
      <c r="F83" s="23"/>
      <c r="G83" s="24" t="s">
        <v>47</v>
      </c>
      <c r="H83" s="156" t="s">
        <v>5</v>
      </c>
      <c r="I83" s="25">
        <f>D77*15*1.15</f>
        <v>69</v>
      </c>
    </row>
    <row r="84" spans="1:9">
      <c r="A84" s="5"/>
      <c r="B84" s="20"/>
      <c r="C84" s="21"/>
      <c r="D84" s="22"/>
      <c r="E84" s="153"/>
      <c r="F84" s="23"/>
      <c r="G84" s="27" t="s">
        <v>43</v>
      </c>
      <c r="H84" s="156" t="s">
        <v>5</v>
      </c>
      <c r="I84" s="25">
        <v>5</v>
      </c>
    </row>
    <row r="85" spans="1:9">
      <c r="A85" s="5"/>
      <c r="B85" s="20"/>
      <c r="C85" s="21"/>
      <c r="D85" s="22"/>
      <c r="E85" s="153"/>
      <c r="F85" s="23"/>
      <c r="G85" s="24" t="s">
        <v>51</v>
      </c>
      <c r="H85" s="156" t="s">
        <v>39</v>
      </c>
      <c r="I85" s="25">
        <f>D77*1.1*1.15</f>
        <v>5.0599999999999996</v>
      </c>
    </row>
    <row r="86" spans="1:9" ht="28.5">
      <c r="A86" s="5"/>
      <c r="B86" s="17"/>
      <c r="C86" s="18"/>
      <c r="D86" s="18"/>
      <c r="E86" s="152"/>
      <c r="F86" s="19"/>
      <c r="G86" s="15" t="s">
        <v>50</v>
      </c>
      <c r="H86" s="15" t="s">
        <v>34</v>
      </c>
      <c r="I86" s="16">
        <f>0.75*D77*1.1</f>
        <v>3.3000000000000003</v>
      </c>
    </row>
    <row r="87" spans="1:9" ht="28.5">
      <c r="A87" s="5"/>
      <c r="B87" s="17"/>
      <c r="C87" s="18"/>
      <c r="D87" s="18"/>
      <c r="E87" s="152"/>
      <c r="F87" s="19"/>
      <c r="G87" s="15" t="s">
        <v>222</v>
      </c>
      <c r="H87" s="15" t="s">
        <v>6</v>
      </c>
      <c r="I87" s="16">
        <f>D77*0.2</f>
        <v>0.8</v>
      </c>
    </row>
    <row r="88" spans="1:9">
      <c r="A88" s="5"/>
      <c r="B88" s="17"/>
      <c r="C88" s="18"/>
      <c r="D88" s="18"/>
      <c r="E88" s="152"/>
      <c r="F88" s="19"/>
      <c r="G88" s="15" t="s">
        <v>227</v>
      </c>
      <c r="H88" s="15" t="s">
        <v>39</v>
      </c>
      <c r="I88" s="16">
        <f>D77</f>
        <v>4</v>
      </c>
    </row>
    <row r="89" spans="1:9" ht="29.25">
      <c r="A89" s="5">
        <v>16</v>
      </c>
      <c r="B89" s="28" t="s">
        <v>198</v>
      </c>
      <c r="C89" s="29" t="s">
        <v>1</v>
      </c>
      <c r="D89" s="30">
        <v>56.3</v>
      </c>
      <c r="E89" s="30">
        <v>135</v>
      </c>
      <c r="F89" s="31">
        <f>D89*E89</f>
        <v>7600.5</v>
      </c>
      <c r="G89" s="32" t="s">
        <v>231</v>
      </c>
      <c r="H89" s="67" t="s">
        <v>1</v>
      </c>
      <c r="I89" s="30">
        <f>D89*1.1</f>
        <v>61.93</v>
      </c>
    </row>
    <row r="90" spans="1:9">
      <c r="A90" s="5"/>
      <c r="B90" s="17"/>
      <c r="C90" s="18"/>
      <c r="D90" s="18"/>
      <c r="E90" s="152"/>
      <c r="F90" s="19"/>
      <c r="G90" s="15" t="s">
        <v>148</v>
      </c>
      <c r="H90" s="15" t="s">
        <v>39</v>
      </c>
      <c r="I90" s="16">
        <f>D89*0.8*1.1</f>
        <v>49.544000000000004</v>
      </c>
    </row>
    <row r="91" spans="1:9">
      <c r="A91" s="5"/>
      <c r="B91" s="17"/>
      <c r="C91" s="18"/>
      <c r="D91" s="18"/>
      <c r="E91" s="152"/>
      <c r="F91" s="19"/>
      <c r="G91" s="15" t="s">
        <v>167</v>
      </c>
      <c r="H91" s="15" t="s">
        <v>5</v>
      </c>
      <c r="I91" s="16">
        <v>1239</v>
      </c>
    </row>
    <row r="92" spans="1:9">
      <c r="A92" s="5"/>
      <c r="B92" s="20"/>
      <c r="C92" s="21"/>
      <c r="D92" s="22"/>
      <c r="E92" s="153"/>
      <c r="F92" s="23"/>
      <c r="G92" s="24" t="s">
        <v>51</v>
      </c>
      <c r="H92" s="156" t="s">
        <v>39</v>
      </c>
      <c r="I92" s="25">
        <v>72</v>
      </c>
    </row>
    <row r="93" spans="1:9" ht="28.5">
      <c r="A93" s="5"/>
      <c r="B93" s="17"/>
      <c r="C93" s="18"/>
      <c r="D93" s="18"/>
      <c r="E93" s="152"/>
      <c r="F93" s="19"/>
      <c r="G93" s="15" t="s">
        <v>50</v>
      </c>
      <c r="H93" s="15" t="s">
        <v>34</v>
      </c>
      <c r="I93" s="16">
        <f>0.75*D89*1.1</f>
        <v>46.447499999999998</v>
      </c>
    </row>
    <row r="94" spans="1:9" ht="28.5">
      <c r="A94" s="5"/>
      <c r="B94" s="17"/>
      <c r="C94" s="18"/>
      <c r="D94" s="18"/>
      <c r="E94" s="152"/>
      <c r="F94" s="19"/>
      <c r="G94" s="15" t="s">
        <v>222</v>
      </c>
      <c r="H94" s="15" t="s">
        <v>6</v>
      </c>
      <c r="I94" s="16">
        <f>D89*0.2</f>
        <v>11.26</v>
      </c>
    </row>
    <row r="95" spans="1:9">
      <c r="A95" s="5"/>
      <c r="B95" s="17"/>
      <c r="C95" s="18"/>
      <c r="D95" s="18"/>
      <c r="E95" s="152"/>
      <c r="F95" s="19"/>
      <c r="G95" s="15" t="s">
        <v>227</v>
      </c>
      <c r="H95" s="15" t="s">
        <v>39</v>
      </c>
      <c r="I95" s="16">
        <f>D89</f>
        <v>56.3</v>
      </c>
    </row>
    <row r="96" spans="1:9">
      <c r="A96" s="5"/>
      <c r="B96" s="17"/>
      <c r="C96" s="18"/>
      <c r="D96" s="18"/>
      <c r="E96" s="152"/>
      <c r="F96" s="19"/>
      <c r="G96" s="15" t="s">
        <v>165</v>
      </c>
      <c r="H96" s="15" t="s">
        <v>5</v>
      </c>
      <c r="I96" s="16">
        <f>D89*5*1.1/30</f>
        <v>10.321666666666667</v>
      </c>
    </row>
    <row r="97" spans="1:9">
      <c r="A97" s="5">
        <v>17</v>
      </c>
      <c r="B97" s="33" t="s">
        <v>214</v>
      </c>
      <c r="C97" s="34" t="s">
        <v>3</v>
      </c>
      <c r="D97" s="35">
        <f>(24*2+3.1+3.21+5+4+50.91)*1.5</f>
        <v>171.32999999999998</v>
      </c>
      <c r="E97" s="7">
        <v>30</v>
      </c>
      <c r="F97" s="36">
        <f>D97*E97</f>
        <v>5139.8999999999996</v>
      </c>
      <c r="G97" s="9" t="s">
        <v>155</v>
      </c>
      <c r="H97" s="24" t="s">
        <v>39</v>
      </c>
      <c r="I97" s="37">
        <f>D97*1.1</f>
        <v>188.46299999999999</v>
      </c>
    </row>
    <row r="98" spans="1:9" ht="29.25">
      <c r="A98" s="5"/>
      <c r="B98" s="33"/>
      <c r="C98" s="34"/>
      <c r="D98" s="35"/>
      <c r="E98" s="7"/>
      <c r="F98" s="36"/>
      <c r="G98" s="9" t="s">
        <v>50</v>
      </c>
      <c r="H98" s="24" t="s">
        <v>34</v>
      </c>
      <c r="I98" s="37">
        <f>D97*0.5*1.1</f>
        <v>94.231499999999997</v>
      </c>
    </row>
    <row r="99" spans="1:9">
      <c r="A99" s="5">
        <v>18</v>
      </c>
      <c r="B99" s="33" t="s">
        <v>232</v>
      </c>
      <c r="C99" s="34" t="s">
        <v>39</v>
      </c>
      <c r="D99" s="7">
        <v>55</v>
      </c>
      <c r="E99" s="35">
        <v>50</v>
      </c>
      <c r="F99" s="36">
        <f>D99*E99</f>
        <v>2750</v>
      </c>
      <c r="G99" s="27" t="s">
        <v>156</v>
      </c>
      <c r="H99" s="156" t="s">
        <v>5</v>
      </c>
      <c r="I99" s="25">
        <f>D99*2*10/25*1.1/2</f>
        <v>24.200000000000003</v>
      </c>
    </row>
    <row r="100" spans="1:9" ht="28.5">
      <c r="A100" s="5"/>
      <c r="B100" s="33"/>
      <c r="C100" s="34"/>
      <c r="D100" s="35"/>
      <c r="E100" s="35"/>
      <c r="F100" s="36"/>
      <c r="G100" s="27" t="s">
        <v>157</v>
      </c>
      <c r="H100" s="156" t="s">
        <v>5</v>
      </c>
      <c r="I100" s="25">
        <f>I99*25/400</f>
        <v>1.5125000000000002</v>
      </c>
    </row>
    <row r="101" spans="1:9" ht="28.5">
      <c r="A101" s="5">
        <v>19</v>
      </c>
      <c r="B101" s="40" t="s">
        <v>99</v>
      </c>
      <c r="C101" s="41" t="s">
        <v>1</v>
      </c>
      <c r="D101" s="42">
        <v>155.85</v>
      </c>
      <c r="E101" s="42">
        <v>15</v>
      </c>
      <c r="F101" s="43">
        <f>D101*E101</f>
        <v>2337.75</v>
      </c>
      <c r="G101" s="27" t="s">
        <v>222</v>
      </c>
      <c r="H101" s="156" t="s">
        <v>6</v>
      </c>
      <c r="I101" s="25">
        <f>D101*0.2</f>
        <v>31.17</v>
      </c>
    </row>
    <row r="102" spans="1:9" ht="28.5">
      <c r="A102" s="5">
        <v>20</v>
      </c>
      <c r="B102" s="40" t="s">
        <v>100</v>
      </c>
      <c r="C102" s="41" t="s">
        <v>1</v>
      </c>
      <c r="D102" s="42">
        <v>155.85</v>
      </c>
      <c r="E102" s="42">
        <v>70</v>
      </c>
      <c r="F102" s="43">
        <f>D102*E102</f>
        <v>10909.5</v>
      </c>
      <c r="G102" s="27" t="s">
        <v>223</v>
      </c>
      <c r="H102" s="156" t="s">
        <v>34</v>
      </c>
      <c r="I102" s="25">
        <f>D102*1.5*3</f>
        <v>701.32499999999993</v>
      </c>
    </row>
    <row r="103" spans="1:9" ht="28.5">
      <c r="A103" s="5">
        <v>21</v>
      </c>
      <c r="B103" s="40" t="s">
        <v>101</v>
      </c>
      <c r="C103" s="41" t="s">
        <v>1</v>
      </c>
      <c r="D103" s="42">
        <f>155.85-22.82-21.876-17.214</f>
        <v>93.94</v>
      </c>
      <c r="E103" s="42">
        <v>15</v>
      </c>
      <c r="F103" s="43">
        <f>D103*E103</f>
        <v>1409.1</v>
      </c>
      <c r="G103" s="27" t="s">
        <v>222</v>
      </c>
      <c r="H103" s="156" t="s">
        <v>6</v>
      </c>
      <c r="I103" s="25">
        <f>D103*0.2</f>
        <v>18.788</v>
      </c>
    </row>
    <row r="104" spans="1:9">
      <c r="A104" s="5">
        <v>22</v>
      </c>
      <c r="B104" s="40" t="s">
        <v>102</v>
      </c>
      <c r="C104" s="41" t="s">
        <v>1</v>
      </c>
      <c r="D104" s="42">
        <f>155.85-22.82-21.876-17.214</f>
        <v>93.94</v>
      </c>
      <c r="E104" s="42">
        <v>81</v>
      </c>
      <c r="F104" s="43">
        <f>D104*E104</f>
        <v>7609.1399999999994</v>
      </c>
      <c r="G104" s="27" t="s">
        <v>103</v>
      </c>
      <c r="H104" s="156" t="s">
        <v>1</v>
      </c>
      <c r="I104" s="25">
        <f>D104*1.1</f>
        <v>103.334</v>
      </c>
    </row>
    <row r="105" spans="1:9" ht="28.5">
      <c r="A105" s="5"/>
      <c r="B105" s="40"/>
      <c r="C105" s="41"/>
      <c r="D105" s="42"/>
      <c r="E105" s="42"/>
      <c r="F105" s="43"/>
      <c r="G105" s="27" t="s">
        <v>129</v>
      </c>
      <c r="H105" s="156" t="s">
        <v>6</v>
      </c>
      <c r="I105" s="25">
        <f>D103*0.5</f>
        <v>46.97</v>
      </c>
    </row>
    <row r="106" spans="1:9" ht="28.5">
      <c r="A106" s="5">
        <v>23</v>
      </c>
      <c r="B106" s="40" t="s">
        <v>107</v>
      </c>
      <c r="C106" s="41" t="s">
        <v>1</v>
      </c>
      <c r="D106" s="42">
        <f>155.85-22.82</f>
        <v>133.03</v>
      </c>
      <c r="E106" s="42">
        <v>15</v>
      </c>
      <c r="F106" s="43">
        <f>D106*E106</f>
        <v>1995.45</v>
      </c>
      <c r="G106" s="27" t="s">
        <v>222</v>
      </c>
      <c r="H106" s="156" t="s">
        <v>6</v>
      </c>
      <c r="I106" s="25">
        <f>D106*0.2</f>
        <v>26.606000000000002</v>
      </c>
    </row>
    <row r="107" spans="1:9" ht="42.75">
      <c r="A107" s="5">
        <v>24</v>
      </c>
      <c r="B107" s="40" t="s">
        <v>104</v>
      </c>
      <c r="C107" s="41" t="s">
        <v>1</v>
      </c>
      <c r="D107" s="42">
        <f>155.85-22.82</f>
        <v>133.03</v>
      </c>
      <c r="E107" s="42">
        <v>85</v>
      </c>
      <c r="F107" s="43">
        <f>D107*E107</f>
        <v>11307.55</v>
      </c>
      <c r="G107" s="27" t="s">
        <v>224</v>
      </c>
      <c r="H107" s="156" t="s">
        <v>34</v>
      </c>
      <c r="I107" s="25">
        <f>D107*1*2</f>
        <v>266.06</v>
      </c>
    </row>
    <row r="108" spans="1:9" ht="28.5">
      <c r="A108" s="5"/>
      <c r="B108" s="40"/>
      <c r="C108" s="41"/>
      <c r="D108" s="42"/>
      <c r="E108" s="42"/>
      <c r="F108" s="43"/>
      <c r="G108" s="27" t="s">
        <v>105</v>
      </c>
      <c r="H108" s="156" t="s">
        <v>5</v>
      </c>
      <c r="I108" s="25">
        <v>2</v>
      </c>
    </row>
    <row r="109" spans="1:9">
      <c r="A109" s="5"/>
      <c r="B109" s="6"/>
      <c r="C109" s="5"/>
      <c r="D109" s="7"/>
      <c r="E109" s="7"/>
      <c r="F109" s="8"/>
      <c r="G109" s="9" t="s">
        <v>62</v>
      </c>
      <c r="H109" s="24" t="s">
        <v>12</v>
      </c>
      <c r="I109" s="37">
        <f>D107*1.5</f>
        <v>199.54500000000002</v>
      </c>
    </row>
    <row r="110" spans="1:9">
      <c r="A110" s="5"/>
      <c r="B110" s="6"/>
      <c r="C110" s="5"/>
      <c r="D110" s="7"/>
      <c r="E110" s="7"/>
      <c r="F110" s="8"/>
      <c r="G110" s="9" t="s">
        <v>63</v>
      </c>
      <c r="H110" s="24" t="s">
        <v>5</v>
      </c>
      <c r="I110" s="37">
        <v>20</v>
      </c>
    </row>
    <row r="111" spans="1:9">
      <c r="A111" s="5"/>
      <c r="B111" s="6"/>
      <c r="C111" s="5"/>
      <c r="D111" s="7"/>
      <c r="E111" s="7"/>
      <c r="F111" s="8"/>
      <c r="G111" s="9" t="s">
        <v>65</v>
      </c>
      <c r="H111" s="24" t="s">
        <v>5</v>
      </c>
      <c r="I111" s="37">
        <v>20</v>
      </c>
    </row>
    <row r="112" spans="1:9">
      <c r="A112" s="5"/>
      <c r="B112" s="6"/>
      <c r="C112" s="5"/>
      <c r="D112" s="7"/>
      <c r="E112" s="7"/>
      <c r="F112" s="8"/>
      <c r="G112" s="9" t="s">
        <v>13</v>
      </c>
      <c r="H112" s="24" t="s">
        <v>5</v>
      </c>
      <c r="I112" s="37">
        <v>8</v>
      </c>
    </row>
    <row r="113" spans="1:9">
      <c r="A113" s="5"/>
      <c r="B113" s="6"/>
      <c r="C113" s="5"/>
      <c r="D113" s="7"/>
      <c r="E113" s="7"/>
      <c r="F113" s="8"/>
      <c r="G113" s="9" t="s">
        <v>66</v>
      </c>
      <c r="H113" s="24" t="s">
        <v>5</v>
      </c>
      <c r="I113" s="37">
        <v>4</v>
      </c>
    </row>
    <row r="114" spans="1:9" ht="28.5">
      <c r="A114" s="5">
        <v>25</v>
      </c>
      <c r="B114" s="40" t="s">
        <v>107</v>
      </c>
      <c r="C114" s="41" t="s">
        <v>1</v>
      </c>
      <c r="D114" s="42">
        <f>155.85-22.82-21.876-17.214</f>
        <v>93.94</v>
      </c>
      <c r="E114" s="42">
        <v>15</v>
      </c>
      <c r="F114" s="43">
        <f t="shared" ref="F114:F119" si="1">D114*E114</f>
        <v>1409.1</v>
      </c>
      <c r="G114" s="27" t="s">
        <v>222</v>
      </c>
      <c r="H114" s="156" t="s">
        <v>6</v>
      </c>
      <c r="I114" s="25">
        <f>D114*0.2</f>
        <v>18.788</v>
      </c>
    </row>
    <row r="115" spans="1:9">
      <c r="A115" s="5">
        <v>26</v>
      </c>
      <c r="B115" s="6" t="s">
        <v>106</v>
      </c>
      <c r="C115" s="5" t="s">
        <v>1</v>
      </c>
      <c r="D115" s="7">
        <f>155.85-22.82-21.876-17.214</f>
        <v>93.94</v>
      </c>
      <c r="E115" s="7">
        <v>85</v>
      </c>
      <c r="F115" s="8">
        <f t="shared" si="1"/>
        <v>7984.9</v>
      </c>
      <c r="G115" s="44" t="s">
        <v>68</v>
      </c>
      <c r="H115" s="44" t="s">
        <v>6</v>
      </c>
      <c r="I115" s="45"/>
    </row>
    <row r="116" spans="1:9" ht="28.5">
      <c r="A116" s="5">
        <v>27</v>
      </c>
      <c r="B116" s="40" t="s">
        <v>108</v>
      </c>
      <c r="C116" s="41" t="s">
        <v>39</v>
      </c>
      <c r="D116" s="42">
        <v>31</v>
      </c>
      <c r="E116" s="42">
        <v>15</v>
      </c>
      <c r="F116" s="43">
        <f t="shared" si="1"/>
        <v>465</v>
      </c>
      <c r="G116" s="27" t="s">
        <v>222</v>
      </c>
      <c r="H116" s="156" t="s">
        <v>6</v>
      </c>
      <c r="I116" s="25">
        <f>D116*0.2</f>
        <v>6.2</v>
      </c>
    </row>
    <row r="117" spans="1:9" ht="28.5">
      <c r="A117" s="5">
        <v>28</v>
      </c>
      <c r="B117" s="40" t="s">
        <v>109</v>
      </c>
      <c r="C117" s="41" t="s">
        <v>39</v>
      </c>
      <c r="D117" s="42">
        <v>31</v>
      </c>
      <c r="E117" s="42">
        <v>70</v>
      </c>
      <c r="F117" s="43">
        <f t="shared" si="1"/>
        <v>2170</v>
      </c>
      <c r="G117" s="27" t="s">
        <v>223</v>
      </c>
      <c r="H117" s="156" t="s">
        <v>34</v>
      </c>
      <c r="I117" s="25">
        <f>D117*1.5*3</f>
        <v>139.5</v>
      </c>
    </row>
    <row r="118" spans="1:9" ht="28.5">
      <c r="A118" s="5">
        <v>29</v>
      </c>
      <c r="B118" s="40" t="s">
        <v>110</v>
      </c>
      <c r="C118" s="41" t="s">
        <v>39</v>
      </c>
      <c r="D118" s="42">
        <v>31</v>
      </c>
      <c r="E118" s="42">
        <v>15</v>
      </c>
      <c r="F118" s="43">
        <f t="shared" si="1"/>
        <v>465</v>
      </c>
      <c r="G118" s="27" t="s">
        <v>222</v>
      </c>
      <c r="H118" s="156" t="s">
        <v>6</v>
      </c>
      <c r="I118" s="25">
        <f>D118*0.2</f>
        <v>6.2</v>
      </c>
    </row>
    <row r="119" spans="1:9">
      <c r="A119" s="5">
        <v>30</v>
      </c>
      <c r="B119" s="40" t="s">
        <v>111</v>
      </c>
      <c r="C119" s="41" t="s">
        <v>39</v>
      </c>
      <c r="D119" s="42">
        <v>31</v>
      </c>
      <c r="E119" s="42">
        <v>81</v>
      </c>
      <c r="F119" s="43">
        <f t="shared" si="1"/>
        <v>2511</v>
      </c>
      <c r="G119" s="27" t="s">
        <v>103</v>
      </c>
      <c r="H119" s="156" t="s">
        <v>1</v>
      </c>
      <c r="I119" s="25">
        <f>D119*1.1</f>
        <v>34.1</v>
      </c>
    </row>
    <row r="120" spans="1:9" ht="28.5">
      <c r="A120" s="5"/>
      <c r="B120" s="40"/>
      <c r="C120" s="41"/>
      <c r="D120" s="42"/>
      <c r="E120" s="42"/>
      <c r="F120" s="43"/>
      <c r="G120" s="27" t="s">
        <v>129</v>
      </c>
      <c r="H120" s="156" t="s">
        <v>6</v>
      </c>
      <c r="I120" s="25">
        <f>D118*0.5</f>
        <v>15.5</v>
      </c>
    </row>
    <row r="121" spans="1:9" ht="28.5">
      <c r="A121" s="5">
        <v>31</v>
      </c>
      <c r="B121" s="40" t="s">
        <v>158</v>
      </c>
      <c r="C121" s="41" t="s">
        <v>39</v>
      </c>
      <c r="D121" s="42">
        <v>31</v>
      </c>
      <c r="E121" s="42">
        <v>15</v>
      </c>
      <c r="F121" s="43">
        <f>D121*E121</f>
        <v>465</v>
      </c>
      <c r="G121" s="27" t="s">
        <v>222</v>
      </c>
      <c r="H121" s="156" t="s">
        <v>6</v>
      </c>
      <c r="I121" s="25">
        <f>D121*0.2</f>
        <v>6.2</v>
      </c>
    </row>
    <row r="122" spans="1:9" ht="42.75">
      <c r="A122" s="5">
        <v>32</v>
      </c>
      <c r="B122" s="40" t="s">
        <v>112</v>
      </c>
      <c r="C122" s="41" t="s">
        <v>39</v>
      </c>
      <c r="D122" s="42">
        <v>31</v>
      </c>
      <c r="E122" s="42">
        <v>85</v>
      </c>
      <c r="F122" s="43">
        <f>D122*E122</f>
        <v>2635</v>
      </c>
      <c r="G122" s="27" t="s">
        <v>224</v>
      </c>
      <c r="H122" s="156" t="s">
        <v>34</v>
      </c>
      <c r="I122" s="25">
        <f>D122*1*2</f>
        <v>62</v>
      </c>
    </row>
    <row r="123" spans="1:9" ht="28.5">
      <c r="A123" s="5"/>
      <c r="B123" s="40"/>
      <c r="C123" s="41"/>
      <c r="D123" s="42"/>
      <c r="E123" s="42"/>
      <c r="F123" s="43"/>
      <c r="G123" s="27" t="s">
        <v>105</v>
      </c>
      <c r="H123" s="156" t="s">
        <v>5</v>
      </c>
      <c r="I123" s="25">
        <v>2</v>
      </c>
    </row>
    <row r="124" spans="1:9" ht="29.25">
      <c r="A124" s="5"/>
      <c r="B124" s="6"/>
      <c r="C124" s="5"/>
      <c r="D124" s="7"/>
      <c r="E124" s="7"/>
      <c r="F124" s="8"/>
      <c r="G124" s="9" t="s">
        <v>61</v>
      </c>
      <c r="H124" s="24" t="s">
        <v>12</v>
      </c>
      <c r="I124" s="37">
        <f>D122*1.5</f>
        <v>46.5</v>
      </c>
    </row>
    <row r="125" spans="1:9">
      <c r="A125" s="5"/>
      <c r="B125" s="6"/>
      <c r="C125" s="5"/>
      <c r="D125" s="7"/>
      <c r="E125" s="7"/>
      <c r="F125" s="8"/>
      <c r="G125" s="9" t="s">
        <v>62</v>
      </c>
      <c r="H125" s="24" t="s">
        <v>12</v>
      </c>
      <c r="I125" s="37">
        <f>D122*1.5</f>
        <v>46.5</v>
      </c>
    </row>
    <row r="126" spans="1:9">
      <c r="A126" s="5"/>
      <c r="B126" s="6"/>
      <c r="C126" s="5"/>
      <c r="D126" s="7"/>
      <c r="E126" s="7"/>
      <c r="F126" s="8"/>
      <c r="G126" s="9" t="s">
        <v>63</v>
      </c>
      <c r="H126" s="24" t="s">
        <v>5</v>
      </c>
      <c r="I126" s="37">
        <v>20</v>
      </c>
    </row>
    <row r="127" spans="1:9">
      <c r="A127" s="5"/>
      <c r="B127" s="6"/>
      <c r="C127" s="5"/>
      <c r="D127" s="7"/>
      <c r="E127" s="7"/>
      <c r="F127" s="8"/>
      <c r="G127" s="9" t="s">
        <v>65</v>
      </c>
      <c r="H127" s="24" t="s">
        <v>5</v>
      </c>
      <c r="I127" s="37">
        <v>20</v>
      </c>
    </row>
    <row r="128" spans="1:9">
      <c r="A128" s="5"/>
      <c r="B128" s="6"/>
      <c r="C128" s="5"/>
      <c r="D128" s="7"/>
      <c r="E128" s="7"/>
      <c r="F128" s="8"/>
      <c r="G128" s="9" t="s">
        <v>13</v>
      </c>
      <c r="H128" s="24" t="s">
        <v>5</v>
      </c>
      <c r="I128" s="37">
        <v>8</v>
      </c>
    </row>
    <row r="129" spans="1:9">
      <c r="A129" s="5"/>
      <c r="B129" s="6"/>
      <c r="C129" s="5"/>
      <c r="D129" s="7"/>
      <c r="E129" s="7"/>
      <c r="F129" s="8"/>
      <c r="G129" s="9" t="s">
        <v>66</v>
      </c>
      <c r="H129" s="24" t="s">
        <v>5</v>
      </c>
      <c r="I129" s="37">
        <v>4</v>
      </c>
    </row>
    <row r="130" spans="1:9" ht="28.5">
      <c r="A130" s="5">
        <v>33</v>
      </c>
      <c r="B130" s="40" t="s">
        <v>113</v>
      </c>
      <c r="C130" s="41" t="s">
        <v>39</v>
      </c>
      <c r="D130" s="42">
        <v>31</v>
      </c>
      <c r="E130" s="42">
        <v>15</v>
      </c>
      <c r="F130" s="43">
        <f>D130*E130</f>
        <v>465</v>
      </c>
      <c r="G130" s="27" t="s">
        <v>222</v>
      </c>
      <c r="H130" s="156" t="s">
        <v>6</v>
      </c>
      <c r="I130" s="25">
        <f>D130*0.2</f>
        <v>6.2</v>
      </c>
    </row>
    <row r="131" spans="1:9">
      <c r="A131" s="5"/>
      <c r="B131" s="6"/>
      <c r="C131" s="5"/>
      <c r="D131" s="7"/>
      <c r="E131" s="7"/>
      <c r="F131" s="8"/>
      <c r="G131" s="9" t="s">
        <v>67</v>
      </c>
      <c r="H131" s="24" t="s">
        <v>12</v>
      </c>
      <c r="I131" s="37">
        <f>D121*2*1.15</f>
        <v>71.3</v>
      </c>
    </row>
    <row r="132" spans="1:9">
      <c r="A132" s="5"/>
      <c r="B132" s="6"/>
      <c r="C132" s="5"/>
      <c r="D132" s="7"/>
      <c r="E132" s="7"/>
      <c r="F132" s="8"/>
      <c r="G132" s="9" t="s">
        <v>65</v>
      </c>
      <c r="H132" s="24" t="s">
        <v>5</v>
      </c>
      <c r="I132" s="37">
        <v>8</v>
      </c>
    </row>
    <row r="133" spans="1:9">
      <c r="A133" s="5"/>
      <c r="B133" s="6"/>
      <c r="C133" s="5"/>
      <c r="D133" s="7"/>
      <c r="E133" s="7"/>
      <c r="F133" s="8"/>
      <c r="G133" s="9" t="s">
        <v>13</v>
      </c>
      <c r="H133" s="24" t="s">
        <v>5</v>
      </c>
      <c r="I133" s="37">
        <v>4</v>
      </c>
    </row>
    <row r="134" spans="1:9">
      <c r="A134" s="5"/>
      <c r="B134" s="6"/>
      <c r="C134" s="5"/>
      <c r="D134" s="7"/>
      <c r="E134" s="7"/>
      <c r="F134" s="8"/>
      <c r="G134" s="9" t="s">
        <v>66</v>
      </c>
      <c r="H134" s="24" t="s">
        <v>5</v>
      </c>
      <c r="I134" s="37">
        <v>1</v>
      </c>
    </row>
    <row r="135" spans="1:9">
      <c r="A135" s="5">
        <v>34</v>
      </c>
      <c r="B135" s="6" t="s">
        <v>115</v>
      </c>
      <c r="C135" s="5" t="s">
        <v>3</v>
      </c>
      <c r="D135" s="7">
        <v>31</v>
      </c>
      <c r="E135" s="7">
        <v>85</v>
      </c>
      <c r="F135" s="8">
        <f t="shared" ref="F135:F138" si="2">D135*E135</f>
        <v>2635</v>
      </c>
      <c r="G135" s="44" t="s">
        <v>68</v>
      </c>
      <c r="H135" s="44" t="s">
        <v>6</v>
      </c>
      <c r="I135" s="45"/>
    </row>
    <row r="136" spans="1:9" ht="28.5">
      <c r="A136" s="5">
        <v>35</v>
      </c>
      <c r="B136" s="33" t="s">
        <v>159</v>
      </c>
      <c r="C136" s="34" t="s">
        <v>1</v>
      </c>
      <c r="D136" s="7">
        <v>20.09</v>
      </c>
      <c r="E136" s="35">
        <v>15</v>
      </c>
      <c r="F136" s="36">
        <f t="shared" si="2"/>
        <v>301.35000000000002</v>
      </c>
      <c r="G136" s="27" t="s">
        <v>222</v>
      </c>
      <c r="H136" s="156" t="s">
        <v>6</v>
      </c>
      <c r="I136" s="25">
        <f>D136*0.2</f>
        <v>4.0179999999999998</v>
      </c>
    </row>
    <row r="137" spans="1:9">
      <c r="A137" s="5">
        <v>36</v>
      </c>
      <c r="B137" s="6" t="s">
        <v>160</v>
      </c>
      <c r="C137" s="5" t="s">
        <v>1</v>
      </c>
      <c r="D137" s="7">
        <v>10</v>
      </c>
      <c r="E137" s="7">
        <v>75</v>
      </c>
      <c r="F137" s="8">
        <f t="shared" si="2"/>
        <v>750</v>
      </c>
      <c r="G137" s="46" t="s">
        <v>218</v>
      </c>
      <c r="H137" s="24" t="s">
        <v>34</v>
      </c>
      <c r="I137" s="37">
        <f>D137*1</f>
        <v>10</v>
      </c>
    </row>
    <row r="138" spans="1:9" ht="28.5">
      <c r="A138" s="5">
        <v>37</v>
      </c>
      <c r="B138" s="11" t="s">
        <v>161</v>
      </c>
      <c r="C138" s="12" t="s">
        <v>1</v>
      </c>
      <c r="D138" s="13">
        <v>20.09</v>
      </c>
      <c r="E138" s="13">
        <v>400</v>
      </c>
      <c r="F138" s="14">
        <f t="shared" si="2"/>
        <v>8036</v>
      </c>
      <c r="G138" s="47" t="s">
        <v>220</v>
      </c>
      <c r="H138" s="47" t="s">
        <v>5</v>
      </c>
      <c r="I138" s="48">
        <f>D138*4.2/25*1.1</f>
        <v>3.7126320000000002</v>
      </c>
    </row>
    <row r="139" spans="1:9" ht="28.5">
      <c r="A139" s="5"/>
      <c r="B139" s="11"/>
      <c r="C139" s="12"/>
      <c r="D139" s="13"/>
      <c r="E139" s="13"/>
      <c r="F139" s="14"/>
      <c r="G139" s="49" t="s">
        <v>168</v>
      </c>
      <c r="H139" s="49" t="s">
        <v>1</v>
      </c>
      <c r="I139" s="50">
        <v>20.09</v>
      </c>
    </row>
    <row r="140" spans="1:9" ht="28.5">
      <c r="A140" s="5">
        <v>38</v>
      </c>
      <c r="B140" s="11" t="s">
        <v>169</v>
      </c>
      <c r="C140" s="12" t="s">
        <v>39</v>
      </c>
      <c r="D140" s="13">
        <v>8</v>
      </c>
      <c r="E140" s="13">
        <v>400</v>
      </c>
      <c r="F140" s="14">
        <f t="shared" ref="F140" si="3">D140*E140</f>
        <v>3200</v>
      </c>
      <c r="G140" s="47" t="s">
        <v>220</v>
      </c>
      <c r="H140" s="47" t="s">
        <v>5</v>
      </c>
      <c r="I140" s="48">
        <f>D140*4.2/25*1.1</f>
        <v>1.4784000000000002</v>
      </c>
    </row>
    <row r="141" spans="1:9" ht="28.5">
      <c r="A141" s="5"/>
      <c r="B141" s="11"/>
      <c r="C141" s="12"/>
      <c r="D141" s="13"/>
      <c r="E141" s="13"/>
      <c r="F141" s="14"/>
      <c r="G141" s="49" t="s">
        <v>168</v>
      </c>
      <c r="H141" s="49" t="s">
        <v>1</v>
      </c>
      <c r="I141" s="50">
        <f>20.09*0.2</f>
        <v>4.0179999999999998</v>
      </c>
    </row>
    <row r="142" spans="1:9">
      <c r="A142" s="5">
        <v>39</v>
      </c>
      <c r="B142" s="11" t="s">
        <v>77</v>
      </c>
      <c r="C142" s="12" t="s">
        <v>73</v>
      </c>
      <c r="D142" s="13">
        <v>12</v>
      </c>
      <c r="E142" s="13">
        <v>200</v>
      </c>
      <c r="F142" s="14">
        <f>D142*E142</f>
        <v>2400</v>
      </c>
      <c r="G142" s="47" t="s">
        <v>76</v>
      </c>
      <c r="H142" s="47" t="s">
        <v>5</v>
      </c>
      <c r="I142" s="48">
        <v>1</v>
      </c>
    </row>
    <row r="143" spans="1:9">
      <c r="A143" s="5">
        <v>40</v>
      </c>
      <c r="B143" s="11" t="s">
        <v>79</v>
      </c>
      <c r="C143" s="12" t="s">
        <v>5</v>
      </c>
      <c r="D143" s="13">
        <v>15</v>
      </c>
      <c r="E143" s="13">
        <v>90</v>
      </c>
      <c r="F143" s="14">
        <f>D143*E143</f>
        <v>1350</v>
      </c>
      <c r="G143" s="47" t="s">
        <v>78</v>
      </c>
      <c r="H143" s="47" t="s">
        <v>5</v>
      </c>
      <c r="I143" s="48">
        <v>1</v>
      </c>
    </row>
    <row r="144" spans="1:9">
      <c r="A144" s="5">
        <v>41</v>
      </c>
      <c r="B144" s="11" t="s">
        <v>81</v>
      </c>
      <c r="C144" s="12" t="s">
        <v>73</v>
      </c>
      <c r="D144" s="13">
        <v>15</v>
      </c>
      <c r="E144" s="13">
        <v>100</v>
      </c>
      <c r="F144" s="14">
        <f>D144*E144</f>
        <v>1500</v>
      </c>
      <c r="G144" s="47" t="s">
        <v>80</v>
      </c>
      <c r="H144" s="47" t="s">
        <v>5</v>
      </c>
      <c r="I144" s="48">
        <v>1</v>
      </c>
    </row>
    <row r="145" spans="1:9">
      <c r="A145" s="5"/>
      <c r="B145" s="6"/>
      <c r="C145" s="5"/>
      <c r="D145" s="7"/>
      <c r="E145" s="7"/>
      <c r="F145" s="8"/>
      <c r="G145" s="24" t="s">
        <v>82</v>
      </c>
      <c r="H145" s="24" t="s">
        <v>5</v>
      </c>
      <c r="I145" s="37">
        <v>1</v>
      </c>
    </row>
    <row r="146" spans="1:9">
      <c r="A146" s="5"/>
      <c r="B146" s="6"/>
      <c r="C146" s="5"/>
      <c r="D146" s="7"/>
      <c r="E146" s="7"/>
      <c r="F146" s="8"/>
      <c r="G146" s="24" t="s">
        <v>84</v>
      </c>
      <c r="H146" s="24" t="s">
        <v>14</v>
      </c>
      <c r="I146" s="37">
        <v>2</v>
      </c>
    </row>
    <row r="147" spans="1:9">
      <c r="A147" s="5"/>
      <c r="B147" s="6"/>
      <c r="C147" s="5"/>
      <c r="D147" s="7"/>
      <c r="E147" s="7"/>
      <c r="F147" s="8"/>
      <c r="G147" s="24" t="s">
        <v>85</v>
      </c>
      <c r="H147" s="24" t="s">
        <v>14</v>
      </c>
      <c r="I147" s="37">
        <v>1</v>
      </c>
    </row>
    <row r="148" spans="1:9">
      <c r="A148" s="115"/>
      <c r="B148" s="54"/>
      <c r="C148" s="55"/>
      <c r="D148" s="56"/>
      <c r="E148" s="37"/>
      <c r="F148" s="31"/>
      <c r="G148" s="67" t="s">
        <v>221</v>
      </c>
      <c r="H148" s="67" t="s">
        <v>34</v>
      </c>
      <c r="I148" s="30">
        <f>(D138)*0.8*1.1</f>
        <v>17.679200000000002</v>
      </c>
    </row>
    <row r="149" spans="1:9">
      <c r="A149" s="5">
        <v>42</v>
      </c>
      <c r="B149" s="33" t="s">
        <v>162</v>
      </c>
      <c r="C149" s="34" t="s">
        <v>3</v>
      </c>
      <c r="D149" s="35">
        <v>9</v>
      </c>
      <c r="E149" s="35">
        <v>40</v>
      </c>
      <c r="F149" s="36">
        <f>D149*E149</f>
        <v>360</v>
      </c>
      <c r="G149" s="24" t="s">
        <v>163</v>
      </c>
      <c r="H149" s="24" t="s">
        <v>5</v>
      </c>
      <c r="I149" s="10">
        <v>1</v>
      </c>
    </row>
    <row r="150" spans="1:9" ht="15.75" thickBot="1">
      <c r="A150" s="163">
        <v>43</v>
      </c>
      <c r="B150" s="164" t="s">
        <v>215</v>
      </c>
      <c r="C150" s="163" t="s">
        <v>3</v>
      </c>
      <c r="D150" s="165">
        <v>56</v>
      </c>
      <c r="E150" s="165">
        <v>120</v>
      </c>
      <c r="F150" s="166">
        <f>D150*E150</f>
        <v>6720</v>
      </c>
      <c r="G150" s="24"/>
      <c r="H150" s="24"/>
      <c r="I150" s="10"/>
    </row>
    <row r="151" spans="1:9" ht="15.75" thickBot="1">
      <c r="A151" s="115"/>
      <c r="B151" s="121" t="s">
        <v>42</v>
      </c>
      <c r="C151" s="109"/>
      <c r="D151" s="110"/>
      <c r="E151" s="110"/>
      <c r="F151" s="122"/>
      <c r="G151" s="113"/>
      <c r="H151" s="113"/>
      <c r="I151" s="110"/>
    </row>
    <row r="152" spans="1:9" ht="29.25">
      <c r="A152" s="29">
        <v>44</v>
      </c>
      <c r="B152" s="123" t="s">
        <v>195</v>
      </c>
      <c r="C152" s="124" t="s">
        <v>5</v>
      </c>
      <c r="D152" s="125">
        <v>2</v>
      </c>
      <c r="E152" s="125"/>
      <c r="F152" s="126"/>
      <c r="G152" s="127" t="s">
        <v>196</v>
      </c>
      <c r="H152" s="158" t="s">
        <v>5</v>
      </c>
      <c r="I152" s="128">
        <v>2</v>
      </c>
    </row>
    <row r="153" spans="1:9" ht="15.75" thickBot="1">
      <c r="A153" s="29">
        <v>45</v>
      </c>
      <c r="B153" s="123" t="s">
        <v>58</v>
      </c>
      <c r="C153" s="124" t="s">
        <v>5</v>
      </c>
      <c r="D153" s="125">
        <v>2</v>
      </c>
      <c r="E153" s="125"/>
      <c r="F153" s="126"/>
      <c r="G153" s="127" t="s">
        <v>59</v>
      </c>
      <c r="H153" s="158" t="s">
        <v>5</v>
      </c>
      <c r="I153" s="128">
        <v>2</v>
      </c>
    </row>
    <row r="154" spans="1:9" ht="15.75" thickBot="1">
      <c r="A154" s="115"/>
      <c r="B154" s="121" t="s">
        <v>57</v>
      </c>
      <c r="C154" s="109"/>
      <c r="D154" s="110"/>
      <c r="E154" s="110"/>
      <c r="F154" s="122"/>
      <c r="G154" s="113"/>
      <c r="H154" s="113"/>
      <c r="I154" s="110"/>
    </row>
    <row r="155" spans="1:9" ht="43.5">
      <c r="A155" s="5">
        <v>46</v>
      </c>
      <c r="B155" s="20" t="s">
        <v>172</v>
      </c>
      <c r="C155" s="21" t="s">
        <v>1</v>
      </c>
      <c r="D155" s="22">
        <v>33.46</v>
      </c>
      <c r="E155" s="153">
        <v>230</v>
      </c>
      <c r="F155" s="23">
        <f>D155*E155</f>
        <v>7695.8</v>
      </c>
      <c r="G155" s="27" t="s">
        <v>231</v>
      </c>
      <c r="H155" s="156" t="s">
        <v>1</v>
      </c>
      <c r="I155" s="25">
        <f>D155*1.15</f>
        <v>38.478999999999999</v>
      </c>
    </row>
    <row r="156" spans="1:9">
      <c r="A156" s="5"/>
      <c r="B156" s="20"/>
      <c r="C156" s="21"/>
      <c r="D156" s="22"/>
      <c r="E156" s="153"/>
      <c r="F156" s="23"/>
      <c r="G156" s="27" t="s">
        <v>225</v>
      </c>
      <c r="H156" s="156" t="s">
        <v>39</v>
      </c>
      <c r="I156" s="25">
        <f>D155*2.9*1.1</f>
        <v>106.73740000000002</v>
      </c>
    </row>
    <row r="157" spans="1:9">
      <c r="A157" s="5"/>
      <c r="B157" s="20"/>
      <c r="C157" s="21"/>
      <c r="D157" s="22"/>
      <c r="E157" s="153"/>
      <c r="F157" s="23"/>
      <c r="G157" s="27" t="s">
        <v>226</v>
      </c>
      <c r="H157" s="156" t="s">
        <v>39</v>
      </c>
      <c r="I157" s="25">
        <v>60</v>
      </c>
    </row>
    <row r="158" spans="1:9">
      <c r="A158" s="5"/>
      <c r="B158" s="20"/>
      <c r="C158" s="21"/>
      <c r="D158" s="22"/>
      <c r="E158" s="153"/>
      <c r="F158" s="23"/>
      <c r="G158" s="27" t="s">
        <v>170</v>
      </c>
      <c r="H158" s="156" t="s">
        <v>5</v>
      </c>
      <c r="I158" s="25">
        <f>2.3*D155*1.1</f>
        <v>84.653800000000004</v>
      </c>
    </row>
    <row r="159" spans="1:9">
      <c r="A159" s="5"/>
      <c r="B159" s="20"/>
      <c r="C159" s="21"/>
      <c r="D159" s="22"/>
      <c r="E159" s="153"/>
      <c r="F159" s="23"/>
      <c r="G159" s="27" t="s">
        <v>43</v>
      </c>
      <c r="H159" s="156" t="s">
        <v>5</v>
      </c>
      <c r="I159" s="25">
        <f>D155*1*1.1</f>
        <v>36.806000000000004</v>
      </c>
    </row>
    <row r="160" spans="1:9">
      <c r="A160" s="5"/>
      <c r="B160" s="20"/>
      <c r="C160" s="21"/>
      <c r="D160" s="22"/>
      <c r="E160" s="153"/>
      <c r="F160" s="23"/>
      <c r="G160" s="27" t="s">
        <v>44</v>
      </c>
      <c r="H160" s="156" t="s">
        <v>5</v>
      </c>
      <c r="I160" s="25">
        <f>D155*1.3*1.1</f>
        <v>47.847800000000007</v>
      </c>
    </row>
    <row r="161" spans="1:9">
      <c r="A161" s="5"/>
      <c r="B161" s="20"/>
      <c r="C161" s="21"/>
      <c r="D161" s="22"/>
      <c r="E161" s="153"/>
      <c r="F161" s="23"/>
      <c r="G161" s="27" t="s">
        <v>45</v>
      </c>
      <c r="H161" s="156" t="s">
        <v>5</v>
      </c>
      <c r="I161" s="25">
        <f>D155*1.3*1.1</f>
        <v>47.847800000000007</v>
      </c>
    </row>
    <row r="162" spans="1:9">
      <c r="A162" s="5"/>
      <c r="B162" s="20"/>
      <c r="C162" s="21"/>
      <c r="D162" s="22"/>
      <c r="E162" s="153"/>
      <c r="F162" s="23"/>
      <c r="G162" s="27" t="s">
        <v>46</v>
      </c>
      <c r="H162" s="156" t="s">
        <v>5</v>
      </c>
      <c r="I162" s="25">
        <f>2*D155*1.15</f>
        <v>76.957999999999998</v>
      </c>
    </row>
    <row r="163" spans="1:9">
      <c r="A163" s="5"/>
      <c r="B163" s="20"/>
      <c r="C163" s="21"/>
      <c r="D163" s="22"/>
      <c r="E163" s="153"/>
      <c r="F163" s="23"/>
      <c r="G163" s="24" t="s">
        <v>47</v>
      </c>
      <c r="H163" s="156" t="s">
        <v>5</v>
      </c>
      <c r="I163" s="25">
        <f>D155*23*1.15</f>
        <v>885.01699999999994</v>
      </c>
    </row>
    <row r="164" spans="1:9">
      <c r="A164" s="5"/>
      <c r="B164" s="20"/>
      <c r="C164" s="21"/>
      <c r="D164" s="22"/>
      <c r="E164" s="153"/>
      <c r="F164" s="23"/>
      <c r="G164" s="24" t="s">
        <v>48</v>
      </c>
      <c r="H164" s="156" t="s">
        <v>5</v>
      </c>
      <c r="I164" s="25">
        <f>D155*1.3*1.1</f>
        <v>47.847800000000007</v>
      </c>
    </row>
    <row r="165" spans="1:9">
      <c r="A165" s="5"/>
      <c r="B165" s="20"/>
      <c r="C165" s="21"/>
      <c r="D165" s="22"/>
      <c r="E165" s="153"/>
      <c r="F165" s="23"/>
      <c r="G165" s="24" t="s">
        <v>49</v>
      </c>
      <c r="H165" s="156" t="s">
        <v>5</v>
      </c>
      <c r="I165" s="25">
        <f>4*D155*1.1</f>
        <v>147.22400000000002</v>
      </c>
    </row>
    <row r="166" spans="1:9" ht="28.5">
      <c r="A166" s="5"/>
      <c r="B166" s="20"/>
      <c r="C166" s="21"/>
      <c r="D166" s="22"/>
      <c r="E166" s="153"/>
      <c r="F166" s="23"/>
      <c r="G166" s="3" t="s">
        <v>50</v>
      </c>
      <c r="H166" s="156" t="s">
        <v>34</v>
      </c>
      <c r="I166" s="25">
        <f>0.5*D155*1.15</f>
        <v>19.2395</v>
      </c>
    </row>
    <row r="167" spans="1:9">
      <c r="A167" s="5"/>
      <c r="B167" s="20"/>
      <c r="C167" s="21"/>
      <c r="D167" s="22"/>
      <c r="E167" s="153"/>
      <c r="F167" s="23"/>
      <c r="G167" s="24" t="s">
        <v>51</v>
      </c>
      <c r="H167" s="156" t="s">
        <v>39</v>
      </c>
      <c r="I167" s="25">
        <f>D155*1.2*1.15</f>
        <v>46.174799999999998</v>
      </c>
    </row>
    <row r="168" spans="1:9">
      <c r="A168" s="5"/>
      <c r="B168" s="20"/>
      <c r="C168" s="21"/>
      <c r="D168" s="22"/>
      <c r="E168" s="153"/>
      <c r="F168" s="23"/>
      <c r="G168" s="24" t="s">
        <v>52</v>
      </c>
      <c r="H168" s="156" t="s">
        <v>39</v>
      </c>
      <c r="I168" s="25">
        <f>D155*0.8*1.15</f>
        <v>30.783199999999997</v>
      </c>
    </row>
    <row r="169" spans="1:9">
      <c r="A169" s="5"/>
      <c r="B169" s="20"/>
      <c r="C169" s="21"/>
      <c r="D169" s="22"/>
      <c r="E169" s="153"/>
      <c r="F169" s="23"/>
      <c r="G169" s="27" t="s">
        <v>53</v>
      </c>
      <c r="H169" s="156" t="s">
        <v>5</v>
      </c>
      <c r="I169" s="25">
        <v>1</v>
      </c>
    </row>
    <row r="170" spans="1:9">
      <c r="A170" s="5"/>
      <c r="B170" s="20"/>
      <c r="C170" s="21"/>
      <c r="D170" s="22"/>
      <c r="E170" s="153"/>
      <c r="F170" s="23"/>
      <c r="G170" s="27" t="s">
        <v>54</v>
      </c>
      <c r="H170" s="156" t="s">
        <v>5</v>
      </c>
      <c r="I170" s="25">
        <v>2</v>
      </c>
    </row>
    <row r="171" spans="1:9">
      <c r="A171" s="5"/>
      <c r="B171" s="20"/>
      <c r="C171" s="21"/>
      <c r="D171" s="22"/>
      <c r="E171" s="153"/>
      <c r="F171" s="23"/>
      <c r="G171" s="27" t="s">
        <v>55</v>
      </c>
      <c r="H171" s="156" t="s">
        <v>5</v>
      </c>
      <c r="I171" s="25">
        <v>50</v>
      </c>
    </row>
    <row r="172" spans="1:9">
      <c r="A172" s="5">
        <v>47</v>
      </c>
      <c r="B172" s="20" t="s">
        <v>235</v>
      </c>
      <c r="C172" s="21" t="s">
        <v>234</v>
      </c>
      <c r="D172" s="22">
        <f>6.74+2.7+2.618+1.645</f>
        <v>13.703000000000001</v>
      </c>
      <c r="E172" s="22">
        <v>190</v>
      </c>
      <c r="F172" s="23">
        <f>D172*E172</f>
        <v>2603.5700000000002</v>
      </c>
      <c r="G172" s="27" t="s">
        <v>231</v>
      </c>
      <c r="H172" s="156" t="s">
        <v>1</v>
      </c>
      <c r="I172" s="25">
        <f>D172*(0.3)*1.15</f>
        <v>4.7275349999999996</v>
      </c>
    </row>
    <row r="173" spans="1:9" ht="29.25">
      <c r="A173" s="5">
        <v>48</v>
      </c>
      <c r="B173" s="20" t="s">
        <v>233</v>
      </c>
      <c r="C173" s="21" t="s">
        <v>234</v>
      </c>
      <c r="D173" s="22">
        <f>6.74+2.7</f>
        <v>9.4400000000000013</v>
      </c>
      <c r="E173" s="22">
        <v>190</v>
      </c>
      <c r="F173" s="23">
        <f>D173*E173</f>
        <v>1793.6000000000001</v>
      </c>
      <c r="G173" s="27" t="s">
        <v>231</v>
      </c>
      <c r="H173" s="156" t="s">
        <v>1</v>
      </c>
      <c r="I173" s="25">
        <f>D173*(0.4)*1.15</f>
        <v>4.3424000000000005</v>
      </c>
    </row>
    <row r="174" spans="1:9">
      <c r="A174" s="5"/>
      <c r="B174" s="20"/>
      <c r="C174" s="21"/>
      <c r="D174" s="22"/>
      <c r="E174" s="153"/>
      <c r="F174" s="23"/>
      <c r="G174" s="27" t="s">
        <v>225</v>
      </c>
      <c r="H174" s="156" t="s">
        <v>39</v>
      </c>
      <c r="I174" s="25">
        <f>D173*3.2*1.1</f>
        <v>33.228800000000007</v>
      </c>
    </row>
    <row r="175" spans="1:9">
      <c r="A175" s="5"/>
      <c r="B175" s="20"/>
      <c r="C175" s="21"/>
      <c r="D175" s="22"/>
      <c r="E175" s="153"/>
      <c r="F175" s="23"/>
      <c r="G175" s="27" t="s">
        <v>170</v>
      </c>
      <c r="H175" s="156" t="s">
        <v>5</v>
      </c>
      <c r="I175" s="25">
        <f>2.3*D173*1.1</f>
        <v>23.883200000000002</v>
      </c>
    </row>
    <row r="176" spans="1:9">
      <c r="A176" s="5"/>
      <c r="B176" s="20"/>
      <c r="C176" s="21"/>
      <c r="D176" s="22"/>
      <c r="E176" s="153"/>
      <c r="F176" s="23"/>
      <c r="G176" s="27" t="s">
        <v>43</v>
      </c>
      <c r="H176" s="156" t="s">
        <v>5</v>
      </c>
      <c r="I176" s="25">
        <f>D173*1*1.1</f>
        <v>10.384000000000002</v>
      </c>
    </row>
    <row r="177" spans="1:9">
      <c r="A177" s="5"/>
      <c r="B177" s="20"/>
      <c r="C177" s="21"/>
      <c r="D177" s="22"/>
      <c r="E177" s="153"/>
      <c r="F177" s="23"/>
      <c r="G177" s="27" t="s">
        <v>44</v>
      </c>
      <c r="H177" s="156" t="s">
        <v>5</v>
      </c>
      <c r="I177" s="25">
        <f>D173*1.3*1.1</f>
        <v>13.499200000000004</v>
      </c>
    </row>
    <row r="178" spans="1:9">
      <c r="A178" s="5"/>
      <c r="B178" s="20"/>
      <c r="C178" s="21"/>
      <c r="D178" s="22"/>
      <c r="E178" s="153"/>
      <c r="F178" s="23"/>
      <c r="G178" s="27" t="s">
        <v>45</v>
      </c>
      <c r="H178" s="156" t="s">
        <v>5</v>
      </c>
      <c r="I178" s="25">
        <f>D173*1.3*1.1</f>
        <v>13.499200000000004</v>
      </c>
    </row>
    <row r="179" spans="1:9">
      <c r="A179" s="5"/>
      <c r="B179" s="20"/>
      <c r="C179" s="21"/>
      <c r="D179" s="22"/>
      <c r="E179" s="153"/>
      <c r="F179" s="23"/>
      <c r="G179" s="27" t="s">
        <v>46</v>
      </c>
      <c r="H179" s="156" t="s">
        <v>5</v>
      </c>
      <c r="I179" s="25">
        <f>2*D173*1.15</f>
        <v>21.712</v>
      </c>
    </row>
    <row r="180" spans="1:9">
      <c r="A180" s="5"/>
      <c r="B180" s="20"/>
      <c r="C180" s="21"/>
      <c r="D180" s="22"/>
      <c r="E180" s="153"/>
      <c r="F180" s="23"/>
      <c r="G180" s="24" t="s">
        <v>47</v>
      </c>
      <c r="H180" s="156" t="s">
        <v>5</v>
      </c>
      <c r="I180" s="25">
        <f>D173*23*1.15</f>
        <v>249.68800000000002</v>
      </c>
    </row>
    <row r="181" spans="1:9">
      <c r="A181" s="5"/>
      <c r="B181" s="20"/>
      <c r="C181" s="21"/>
      <c r="D181" s="22"/>
      <c r="E181" s="153"/>
      <c r="F181" s="23"/>
      <c r="G181" s="24" t="s">
        <v>48</v>
      </c>
      <c r="H181" s="156" t="s">
        <v>5</v>
      </c>
      <c r="I181" s="25">
        <f>D173*1.3*1.1</f>
        <v>13.499200000000004</v>
      </c>
    </row>
    <row r="182" spans="1:9">
      <c r="A182" s="5"/>
      <c r="B182" s="20"/>
      <c r="C182" s="21"/>
      <c r="D182" s="22"/>
      <c r="E182" s="153"/>
      <c r="F182" s="23"/>
      <c r="G182" s="24" t="s">
        <v>49</v>
      </c>
      <c r="H182" s="156" t="s">
        <v>5</v>
      </c>
      <c r="I182" s="25">
        <f>4*D173*1.1</f>
        <v>41.536000000000008</v>
      </c>
    </row>
    <row r="183" spans="1:9" ht="28.5">
      <c r="A183" s="5"/>
      <c r="B183" s="20"/>
      <c r="C183" s="21"/>
      <c r="D183" s="22"/>
      <c r="E183" s="153"/>
      <c r="F183" s="23"/>
      <c r="G183" s="3" t="s">
        <v>50</v>
      </c>
      <c r="H183" s="156" t="s">
        <v>34</v>
      </c>
      <c r="I183" s="25">
        <f>0.5*D173*1.15</f>
        <v>5.4279999999999999</v>
      </c>
    </row>
    <row r="184" spans="1:9">
      <c r="A184" s="5"/>
      <c r="B184" s="20"/>
      <c r="C184" s="21"/>
      <c r="D184" s="22"/>
      <c r="E184" s="153"/>
      <c r="F184" s="23"/>
      <c r="G184" s="24" t="s">
        <v>51</v>
      </c>
      <c r="H184" s="156" t="s">
        <v>39</v>
      </c>
      <c r="I184" s="25">
        <f>D173*1.2*1.15</f>
        <v>13.027200000000001</v>
      </c>
    </row>
    <row r="185" spans="1:9">
      <c r="A185" s="5"/>
      <c r="B185" s="20"/>
      <c r="C185" s="21"/>
      <c r="D185" s="22"/>
      <c r="E185" s="153"/>
      <c r="F185" s="23"/>
      <c r="G185" s="24" t="s">
        <v>52</v>
      </c>
      <c r="H185" s="156" t="s">
        <v>39</v>
      </c>
      <c r="I185" s="25">
        <f>D173*0.8*1.15</f>
        <v>8.684800000000001</v>
      </c>
    </row>
    <row r="186" spans="1:9">
      <c r="A186" s="5"/>
      <c r="B186" s="20"/>
      <c r="C186" s="21"/>
      <c r="D186" s="22"/>
      <c r="E186" s="153"/>
      <c r="F186" s="23"/>
      <c r="G186" s="27" t="s">
        <v>53</v>
      </c>
      <c r="H186" s="156" t="s">
        <v>5</v>
      </c>
      <c r="I186" s="25">
        <v>1</v>
      </c>
    </row>
    <row r="187" spans="1:9">
      <c r="A187" s="5"/>
      <c r="B187" s="20"/>
      <c r="C187" s="21"/>
      <c r="D187" s="22"/>
      <c r="E187" s="153"/>
      <c r="F187" s="23"/>
      <c r="G187" s="27" t="s">
        <v>54</v>
      </c>
      <c r="H187" s="156" t="s">
        <v>5</v>
      </c>
      <c r="I187" s="25">
        <v>2</v>
      </c>
    </row>
    <row r="188" spans="1:9">
      <c r="A188" s="5"/>
      <c r="B188" s="20"/>
      <c r="C188" s="21"/>
      <c r="D188" s="22"/>
      <c r="E188" s="153"/>
      <c r="F188" s="23"/>
      <c r="G188" s="27" t="s">
        <v>55</v>
      </c>
      <c r="H188" s="156" t="s">
        <v>5</v>
      </c>
      <c r="I188" s="25">
        <v>50</v>
      </c>
    </row>
    <row r="189" spans="1:9">
      <c r="A189" s="5"/>
      <c r="B189" s="20"/>
      <c r="C189" s="21"/>
      <c r="D189" s="22"/>
      <c r="E189" s="153"/>
      <c r="F189" s="23"/>
      <c r="G189" s="27"/>
      <c r="H189" s="156"/>
      <c r="I189" s="25"/>
    </row>
    <row r="190" spans="1:9" ht="28.5">
      <c r="A190" s="29">
        <v>49</v>
      </c>
      <c r="B190" s="20" t="s">
        <v>56</v>
      </c>
      <c r="C190" s="21" t="s">
        <v>29</v>
      </c>
      <c r="D190" s="21">
        <f>1.55+1.469</f>
        <v>3.0190000000000001</v>
      </c>
      <c r="E190" s="21">
        <v>120</v>
      </c>
      <c r="F190" s="26">
        <f>E190*D190</f>
        <v>362.28000000000003</v>
      </c>
      <c r="G190" s="74" t="s">
        <v>60</v>
      </c>
      <c r="H190" s="159" t="s">
        <v>39</v>
      </c>
      <c r="I190" s="75">
        <v>6</v>
      </c>
    </row>
    <row r="191" spans="1:9" ht="42.75">
      <c r="A191" s="115">
        <v>50</v>
      </c>
      <c r="B191" s="20" t="s">
        <v>90</v>
      </c>
      <c r="C191" s="21" t="s">
        <v>29</v>
      </c>
      <c r="D191" s="21">
        <f>D190*2</f>
        <v>6.0380000000000003</v>
      </c>
      <c r="E191" s="21">
        <v>55</v>
      </c>
      <c r="F191" s="26">
        <f>E191*D191</f>
        <v>332.09000000000003</v>
      </c>
      <c r="G191" s="27" t="s">
        <v>64</v>
      </c>
      <c r="H191" s="156" t="s">
        <v>34</v>
      </c>
      <c r="I191" s="25">
        <f>D191*0.5*1.15</f>
        <v>3.4718499999999999</v>
      </c>
    </row>
    <row r="192" spans="1:9">
      <c r="A192" s="29">
        <v>51</v>
      </c>
      <c r="B192" s="54" t="s">
        <v>173</v>
      </c>
      <c r="C192" s="55" t="s">
        <v>5</v>
      </c>
      <c r="D192" s="56">
        <v>17</v>
      </c>
      <c r="E192" s="30">
        <v>60</v>
      </c>
      <c r="F192" s="31">
        <f>D192*E192</f>
        <v>1020</v>
      </c>
      <c r="G192" s="32" t="s">
        <v>91</v>
      </c>
      <c r="H192" s="67" t="s">
        <v>40</v>
      </c>
      <c r="I192" s="30">
        <f>D192</f>
        <v>17</v>
      </c>
    </row>
    <row r="193" spans="1:9" ht="28.5">
      <c r="A193" s="29">
        <v>52</v>
      </c>
      <c r="B193" s="57" t="s">
        <v>71</v>
      </c>
      <c r="C193" s="58" t="s">
        <v>3</v>
      </c>
      <c r="D193" s="58">
        <v>2.7</v>
      </c>
      <c r="E193" s="13">
        <v>90</v>
      </c>
      <c r="F193" s="14">
        <f>D193*E193</f>
        <v>243.00000000000003</v>
      </c>
      <c r="G193" s="15" t="s">
        <v>72</v>
      </c>
      <c r="H193" s="15" t="s">
        <v>3</v>
      </c>
      <c r="I193" s="16">
        <f>D193</f>
        <v>2.7</v>
      </c>
    </row>
    <row r="194" spans="1:9">
      <c r="A194" s="5">
        <v>53</v>
      </c>
      <c r="B194" s="33" t="s">
        <v>92</v>
      </c>
      <c r="C194" s="34" t="s">
        <v>3</v>
      </c>
      <c r="D194" s="35">
        <f>33.46*1.7</f>
        <v>56.881999999999998</v>
      </c>
      <c r="E194" s="7">
        <v>40</v>
      </c>
      <c r="F194" s="8">
        <f>D194*E194</f>
        <v>2275.2799999999997</v>
      </c>
      <c r="G194" s="9" t="s">
        <v>114</v>
      </c>
      <c r="H194" s="24" t="s">
        <v>39</v>
      </c>
      <c r="I194" s="37">
        <f>D194*1.1</f>
        <v>62.5702</v>
      </c>
    </row>
    <row r="195" spans="1:9" ht="29.25">
      <c r="A195" s="5"/>
      <c r="B195" s="33"/>
      <c r="C195" s="34"/>
      <c r="D195" s="35"/>
      <c r="E195" s="7">
        <v>0</v>
      </c>
      <c r="F195" s="8"/>
      <c r="G195" s="9" t="s">
        <v>50</v>
      </c>
      <c r="H195" s="24" t="s">
        <v>34</v>
      </c>
      <c r="I195" s="37">
        <f>D194*0.5*1.15</f>
        <v>32.707149999999999</v>
      </c>
    </row>
    <row r="196" spans="1:9" ht="28.5">
      <c r="A196" s="5">
        <v>54</v>
      </c>
      <c r="B196" s="51" t="s">
        <v>203</v>
      </c>
      <c r="C196" s="52" t="s">
        <v>1</v>
      </c>
      <c r="D196" s="53">
        <v>14.34</v>
      </c>
      <c r="E196" s="42">
        <v>80</v>
      </c>
      <c r="F196" s="43">
        <f>D196*E196</f>
        <v>1147.2</v>
      </c>
      <c r="G196" s="27" t="s">
        <v>223</v>
      </c>
      <c r="H196" s="156" t="s">
        <v>34</v>
      </c>
      <c r="I196" s="25">
        <f>D196*1.5*3</f>
        <v>64.53</v>
      </c>
    </row>
    <row r="197" spans="1:9" ht="28.5">
      <c r="A197" s="5">
        <v>55</v>
      </c>
      <c r="B197" s="51" t="s">
        <v>116</v>
      </c>
      <c r="C197" s="52" t="s">
        <v>1</v>
      </c>
      <c r="D197" s="53">
        <f>34.8+14.34</f>
        <v>49.14</v>
      </c>
      <c r="E197" s="42">
        <v>15</v>
      </c>
      <c r="F197" s="43">
        <f>D197*E197</f>
        <v>737.1</v>
      </c>
      <c r="G197" s="27" t="s">
        <v>222</v>
      </c>
      <c r="H197" s="156" t="s">
        <v>6</v>
      </c>
      <c r="I197" s="25">
        <f>D197*0.2</f>
        <v>9.8280000000000012</v>
      </c>
    </row>
    <row r="198" spans="1:9" ht="28.5">
      <c r="A198" s="5">
        <v>56</v>
      </c>
      <c r="B198" s="51" t="s">
        <v>117</v>
      </c>
      <c r="C198" s="52" t="s">
        <v>1</v>
      </c>
      <c r="D198" s="53">
        <v>34.799999999999997</v>
      </c>
      <c r="E198" s="42">
        <v>81</v>
      </c>
      <c r="F198" s="43">
        <f>D198*E198</f>
        <v>2818.7999999999997</v>
      </c>
      <c r="G198" s="27" t="s">
        <v>223</v>
      </c>
      <c r="H198" s="156" t="s">
        <v>34</v>
      </c>
      <c r="I198" s="25">
        <f>D198*1.5*3</f>
        <v>156.6</v>
      </c>
    </row>
    <row r="199" spans="1:9" ht="28.5">
      <c r="A199" s="5">
        <v>57</v>
      </c>
      <c r="B199" s="51" t="s">
        <v>118</v>
      </c>
      <c r="C199" s="52" t="s">
        <v>1</v>
      </c>
      <c r="D199" s="53">
        <v>34.799999999999997</v>
      </c>
      <c r="E199" s="42">
        <v>15</v>
      </c>
      <c r="F199" s="43">
        <f>D199*E199</f>
        <v>522</v>
      </c>
      <c r="G199" s="27" t="s">
        <v>222</v>
      </c>
      <c r="H199" s="156" t="s">
        <v>6</v>
      </c>
      <c r="I199" s="25">
        <f>D199*0.2</f>
        <v>6.96</v>
      </c>
    </row>
    <row r="200" spans="1:9">
      <c r="A200" s="5">
        <v>58</v>
      </c>
      <c r="B200" s="51" t="s">
        <v>119</v>
      </c>
      <c r="C200" s="52" t="s">
        <v>1</v>
      </c>
      <c r="D200" s="53">
        <v>34.799999999999997</v>
      </c>
      <c r="E200" s="42">
        <v>90</v>
      </c>
      <c r="F200" s="43">
        <f>D200*E200</f>
        <v>3131.9999999999995</v>
      </c>
      <c r="G200" s="27" t="s">
        <v>103</v>
      </c>
      <c r="H200" s="156" t="s">
        <v>1</v>
      </c>
      <c r="I200" s="25">
        <f>D200*1.1</f>
        <v>38.28</v>
      </c>
    </row>
    <row r="201" spans="1:9" ht="28.5">
      <c r="A201" s="5"/>
      <c r="B201" s="51"/>
      <c r="C201" s="52"/>
      <c r="D201" s="53"/>
      <c r="E201" s="42"/>
      <c r="F201" s="43"/>
      <c r="G201" s="27" t="s">
        <v>129</v>
      </c>
      <c r="H201" s="156" t="s">
        <v>6</v>
      </c>
      <c r="I201" s="25">
        <f>D199*0.5</f>
        <v>17.399999999999999</v>
      </c>
    </row>
    <row r="202" spans="1:9" ht="28.5">
      <c r="A202" s="5">
        <v>59</v>
      </c>
      <c r="B202" s="51" t="s">
        <v>121</v>
      </c>
      <c r="C202" s="52" t="s">
        <v>1</v>
      </c>
      <c r="D202" s="53">
        <v>34.799999999999997</v>
      </c>
      <c r="E202" s="42">
        <v>15</v>
      </c>
      <c r="F202" s="43">
        <f>D202*E202</f>
        <v>522</v>
      </c>
      <c r="G202" s="27" t="s">
        <v>222</v>
      </c>
      <c r="H202" s="156" t="s">
        <v>6</v>
      </c>
      <c r="I202" s="25">
        <f>D202*0.2</f>
        <v>6.96</v>
      </c>
    </row>
    <row r="203" spans="1:9" ht="42.75">
      <c r="A203" s="5">
        <v>60</v>
      </c>
      <c r="B203" s="51" t="s">
        <v>120</v>
      </c>
      <c r="C203" s="52" t="s">
        <v>1</v>
      </c>
      <c r="D203" s="53">
        <v>34.799999999999997</v>
      </c>
      <c r="E203" s="42">
        <v>90</v>
      </c>
      <c r="F203" s="43">
        <f>D203*E203</f>
        <v>3131.9999999999995</v>
      </c>
      <c r="G203" s="27" t="s">
        <v>224</v>
      </c>
      <c r="H203" s="156" t="s">
        <v>34</v>
      </c>
      <c r="I203" s="25">
        <f>D203*1*2</f>
        <v>69.599999999999994</v>
      </c>
    </row>
    <row r="204" spans="1:9" ht="28.5">
      <c r="A204" s="5"/>
      <c r="B204" s="51"/>
      <c r="C204" s="52"/>
      <c r="D204" s="53"/>
      <c r="E204" s="42"/>
      <c r="F204" s="43"/>
      <c r="G204" s="27" t="s">
        <v>105</v>
      </c>
      <c r="H204" s="156" t="s">
        <v>5</v>
      </c>
      <c r="I204" s="25">
        <v>10</v>
      </c>
    </row>
    <row r="205" spans="1:9">
      <c r="A205" s="5"/>
      <c r="B205" s="33"/>
      <c r="C205" s="34"/>
      <c r="D205" s="35"/>
      <c r="E205" s="7"/>
      <c r="F205" s="8"/>
      <c r="G205" s="9" t="s">
        <v>62</v>
      </c>
      <c r="H205" s="24" t="s">
        <v>12</v>
      </c>
      <c r="I205" s="37">
        <f>D203*1.5</f>
        <v>52.199999999999996</v>
      </c>
    </row>
    <row r="206" spans="1:9">
      <c r="A206" s="5"/>
      <c r="B206" s="33"/>
      <c r="C206" s="34"/>
      <c r="D206" s="35"/>
      <c r="E206" s="7"/>
      <c r="F206" s="8"/>
      <c r="G206" s="9" t="s">
        <v>63</v>
      </c>
      <c r="H206" s="24" t="s">
        <v>5</v>
      </c>
      <c r="I206" s="37">
        <v>20</v>
      </c>
    </row>
    <row r="207" spans="1:9">
      <c r="A207" s="5"/>
      <c r="B207" s="33"/>
      <c r="C207" s="34"/>
      <c r="D207" s="35"/>
      <c r="E207" s="7"/>
      <c r="F207" s="8"/>
      <c r="G207" s="9" t="s">
        <v>65</v>
      </c>
      <c r="H207" s="24" t="s">
        <v>5</v>
      </c>
      <c r="I207" s="37">
        <v>20</v>
      </c>
    </row>
    <row r="208" spans="1:9">
      <c r="A208" s="5"/>
      <c r="B208" s="33"/>
      <c r="C208" s="34"/>
      <c r="D208" s="35"/>
      <c r="E208" s="7"/>
      <c r="F208" s="8"/>
      <c r="G208" s="9" t="s">
        <v>13</v>
      </c>
      <c r="H208" s="24" t="s">
        <v>5</v>
      </c>
      <c r="I208" s="37">
        <v>8</v>
      </c>
    </row>
    <row r="209" spans="1:9">
      <c r="A209" s="5"/>
      <c r="B209" s="33"/>
      <c r="C209" s="34"/>
      <c r="D209" s="35"/>
      <c r="E209" s="7"/>
      <c r="F209" s="8"/>
      <c r="G209" s="9" t="s">
        <v>66</v>
      </c>
      <c r="H209" s="24" t="s">
        <v>5</v>
      </c>
      <c r="I209" s="37">
        <v>4</v>
      </c>
    </row>
    <row r="210" spans="1:9" ht="28.5">
      <c r="A210" s="5">
        <v>61</v>
      </c>
      <c r="B210" s="51" t="s">
        <v>171</v>
      </c>
      <c r="C210" s="52" t="s">
        <v>1</v>
      </c>
      <c r="D210" s="53">
        <v>34.799999999999997</v>
      </c>
      <c r="E210" s="42">
        <v>15</v>
      </c>
      <c r="F210" s="43">
        <f>D210*E210</f>
        <v>522</v>
      </c>
      <c r="G210" s="27" t="s">
        <v>222</v>
      </c>
      <c r="H210" s="156" t="s">
        <v>6</v>
      </c>
      <c r="I210" s="25">
        <f>D210*0.2</f>
        <v>6.96</v>
      </c>
    </row>
    <row r="211" spans="1:9">
      <c r="A211" s="5">
        <v>62</v>
      </c>
      <c r="B211" s="33" t="s">
        <v>122</v>
      </c>
      <c r="C211" s="34" t="s">
        <v>1</v>
      </c>
      <c r="D211" s="35">
        <v>34.799999999999997</v>
      </c>
      <c r="E211" s="7">
        <v>85</v>
      </c>
      <c r="F211" s="8">
        <f t="shared" ref="F211:F215" si="4">D211*E211</f>
        <v>2957.9999999999995</v>
      </c>
      <c r="G211" s="44" t="s">
        <v>68</v>
      </c>
      <c r="H211" s="44" t="s">
        <v>6</v>
      </c>
      <c r="I211" s="45"/>
    </row>
    <row r="212" spans="1:9" ht="28.5">
      <c r="A212" s="5">
        <v>63</v>
      </c>
      <c r="B212" s="51" t="s">
        <v>123</v>
      </c>
      <c r="C212" s="52" t="s">
        <v>236</v>
      </c>
      <c r="D212" s="53">
        <v>23.14</v>
      </c>
      <c r="E212" s="42">
        <v>15</v>
      </c>
      <c r="F212" s="43">
        <f t="shared" si="4"/>
        <v>347.1</v>
      </c>
      <c r="G212" s="27" t="s">
        <v>222</v>
      </c>
      <c r="H212" s="156" t="s">
        <v>6</v>
      </c>
      <c r="I212" s="25">
        <f>D212*0.2</f>
        <v>4.6280000000000001</v>
      </c>
    </row>
    <row r="213" spans="1:9" ht="28.5">
      <c r="A213" s="5">
        <v>64</v>
      </c>
      <c r="B213" s="51" t="s">
        <v>124</v>
      </c>
      <c r="C213" s="52" t="s">
        <v>236</v>
      </c>
      <c r="D213" s="53">
        <v>23.14</v>
      </c>
      <c r="E213" s="42">
        <v>81</v>
      </c>
      <c r="F213" s="43">
        <f t="shared" si="4"/>
        <v>1874.3400000000001</v>
      </c>
      <c r="G213" s="27" t="s">
        <v>223</v>
      </c>
      <c r="H213" s="156" t="s">
        <v>34</v>
      </c>
      <c r="I213" s="25">
        <f>D213*1.5*3</f>
        <v>104.13</v>
      </c>
    </row>
    <row r="214" spans="1:9" ht="28.5">
      <c r="A214" s="5">
        <v>65</v>
      </c>
      <c r="B214" s="51" t="s">
        <v>125</v>
      </c>
      <c r="C214" s="52" t="s">
        <v>236</v>
      </c>
      <c r="D214" s="53">
        <v>23.14</v>
      </c>
      <c r="E214" s="42">
        <v>15</v>
      </c>
      <c r="F214" s="43">
        <f t="shared" si="4"/>
        <v>347.1</v>
      </c>
      <c r="G214" s="27" t="s">
        <v>222</v>
      </c>
      <c r="H214" s="156" t="s">
        <v>6</v>
      </c>
      <c r="I214" s="25">
        <f>D214*0.2</f>
        <v>4.6280000000000001</v>
      </c>
    </row>
    <row r="215" spans="1:9" ht="18" customHeight="1">
      <c r="A215" s="5">
        <v>66</v>
      </c>
      <c r="B215" s="51" t="s">
        <v>126</v>
      </c>
      <c r="C215" s="52" t="s">
        <v>236</v>
      </c>
      <c r="D215" s="53">
        <v>23.14</v>
      </c>
      <c r="E215" s="42">
        <v>90</v>
      </c>
      <c r="F215" s="43">
        <f t="shared" si="4"/>
        <v>2082.6</v>
      </c>
      <c r="G215" s="27" t="s">
        <v>103</v>
      </c>
      <c r="H215" s="156" t="s">
        <v>1</v>
      </c>
      <c r="I215" s="25">
        <f>D215*1.1</f>
        <v>25.454000000000004</v>
      </c>
    </row>
    <row r="216" spans="1:9" ht="28.5">
      <c r="A216" s="5"/>
      <c r="B216" s="51"/>
      <c r="C216" s="52"/>
      <c r="D216" s="53"/>
      <c r="E216" s="42"/>
      <c r="F216" s="43"/>
      <c r="G216" s="27" t="s">
        <v>129</v>
      </c>
      <c r="H216" s="156" t="s">
        <v>6</v>
      </c>
      <c r="I216" s="25">
        <f>D214*0.5</f>
        <v>11.57</v>
      </c>
    </row>
    <row r="217" spans="1:9" ht="28.5">
      <c r="A217" s="5">
        <v>67</v>
      </c>
      <c r="B217" s="51" t="s">
        <v>158</v>
      </c>
      <c r="C217" s="52" t="s">
        <v>236</v>
      </c>
      <c r="D217" s="53">
        <v>23.14</v>
      </c>
      <c r="E217" s="42">
        <v>15</v>
      </c>
      <c r="F217" s="43">
        <f>D217*E217</f>
        <v>347.1</v>
      </c>
      <c r="G217" s="27" t="s">
        <v>222</v>
      </c>
      <c r="H217" s="156" t="s">
        <v>6</v>
      </c>
      <c r="I217" s="25">
        <f>D217*0.2</f>
        <v>4.6280000000000001</v>
      </c>
    </row>
    <row r="218" spans="1:9" ht="42.75">
      <c r="A218" s="5">
        <v>68</v>
      </c>
      <c r="B218" s="51" t="s">
        <v>127</v>
      </c>
      <c r="C218" s="52" t="s">
        <v>236</v>
      </c>
      <c r="D218" s="53">
        <v>23.14</v>
      </c>
      <c r="E218" s="42">
        <v>90</v>
      </c>
      <c r="F218" s="43">
        <f>D218*E218</f>
        <v>2082.6</v>
      </c>
      <c r="G218" s="27" t="s">
        <v>224</v>
      </c>
      <c r="H218" s="156" t="s">
        <v>34</v>
      </c>
      <c r="I218" s="25">
        <f>D218*1*2</f>
        <v>46.28</v>
      </c>
    </row>
    <row r="219" spans="1:9" ht="28.5">
      <c r="A219" s="5"/>
      <c r="B219" s="51"/>
      <c r="C219" s="52"/>
      <c r="D219" s="53"/>
      <c r="E219" s="42"/>
      <c r="F219" s="43"/>
      <c r="G219" s="27" t="s">
        <v>105</v>
      </c>
      <c r="H219" s="156" t="s">
        <v>5</v>
      </c>
      <c r="I219" s="25">
        <v>4</v>
      </c>
    </row>
    <row r="220" spans="1:9">
      <c r="A220" s="5"/>
      <c r="B220" s="6"/>
      <c r="C220" s="5"/>
      <c r="D220" s="7"/>
      <c r="E220" s="7"/>
      <c r="F220" s="8"/>
      <c r="G220" s="9" t="s">
        <v>114</v>
      </c>
      <c r="H220" s="24" t="s">
        <v>12</v>
      </c>
      <c r="I220" s="37">
        <f>D218*2</f>
        <v>46.28</v>
      </c>
    </row>
    <row r="221" spans="1:9">
      <c r="A221" s="5"/>
      <c r="B221" s="33"/>
      <c r="C221" s="34"/>
      <c r="D221" s="35"/>
      <c r="E221" s="7"/>
      <c r="F221" s="8"/>
      <c r="G221" s="9" t="s">
        <v>62</v>
      </c>
      <c r="H221" s="24" t="s">
        <v>12</v>
      </c>
      <c r="I221" s="37">
        <f>D218*1.5</f>
        <v>34.71</v>
      </c>
    </row>
    <row r="222" spans="1:9">
      <c r="A222" s="5"/>
      <c r="B222" s="33"/>
      <c r="C222" s="34"/>
      <c r="D222" s="35"/>
      <c r="E222" s="7"/>
      <c r="F222" s="8"/>
      <c r="G222" s="9" t="s">
        <v>63</v>
      </c>
      <c r="H222" s="24" t="s">
        <v>5</v>
      </c>
      <c r="I222" s="37">
        <v>20</v>
      </c>
    </row>
    <row r="223" spans="1:9">
      <c r="A223" s="5"/>
      <c r="B223" s="33"/>
      <c r="C223" s="34"/>
      <c r="D223" s="35"/>
      <c r="E223" s="7"/>
      <c r="F223" s="8"/>
      <c r="G223" s="9" t="s">
        <v>65</v>
      </c>
      <c r="H223" s="24" t="s">
        <v>5</v>
      </c>
      <c r="I223" s="37">
        <v>20</v>
      </c>
    </row>
    <row r="224" spans="1:9">
      <c r="A224" s="5"/>
      <c r="B224" s="33"/>
      <c r="C224" s="34"/>
      <c r="D224" s="35"/>
      <c r="E224" s="7"/>
      <c r="F224" s="8"/>
      <c r="G224" s="9" t="s">
        <v>13</v>
      </c>
      <c r="H224" s="24" t="s">
        <v>5</v>
      </c>
      <c r="I224" s="37">
        <v>8</v>
      </c>
    </row>
    <row r="225" spans="1:9">
      <c r="A225" s="5"/>
      <c r="B225" s="33"/>
      <c r="C225" s="34"/>
      <c r="D225" s="35"/>
      <c r="E225" s="7"/>
      <c r="F225" s="8"/>
      <c r="G225" s="9" t="s">
        <v>66</v>
      </c>
      <c r="H225" s="24" t="s">
        <v>5</v>
      </c>
      <c r="I225" s="37">
        <v>4</v>
      </c>
    </row>
    <row r="226" spans="1:9" ht="28.5">
      <c r="A226" s="5">
        <v>69</v>
      </c>
      <c r="B226" s="51" t="s">
        <v>128</v>
      </c>
      <c r="C226" s="52" t="s">
        <v>236</v>
      </c>
      <c r="D226" s="53">
        <v>23.14</v>
      </c>
      <c r="E226" s="42">
        <v>15</v>
      </c>
      <c r="F226" s="43">
        <f>D226*E226</f>
        <v>347.1</v>
      </c>
      <c r="G226" s="27" t="s">
        <v>222</v>
      </c>
      <c r="H226" s="156" t="s">
        <v>6</v>
      </c>
      <c r="I226" s="25">
        <f>D226*0.2</f>
        <v>4.6280000000000001</v>
      </c>
    </row>
    <row r="227" spans="1:9">
      <c r="A227" s="5"/>
      <c r="B227" s="33"/>
      <c r="C227" s="34"/>
      <c r="D227" s="35"/>
      <c r="E227" s="7"/>
      <c r="F227" s="8"/>
      <c r="G227" s="9" t="s">
        <v>67</v>
      </c>
      <c r="H227" s="24" t="s">
        <v>12</v>
      </c>
      <c r="I227" s="37">
        <f>D217*2*1.15</f>
        <v>53.221999999999994</v>
      </c>
    </row>
    <row r="228" spans="1:9">
      <c r="A228" s="5"/>
      <c r="B228" s="33"/>
      <c r="C228" s="34"/>
      <c r="D228" s="35"/>
      <c r="E228" s="7"/>
      <c r="F228" s="8"/>
      <c r="G228" s="9" t="s">
        <v>65</v>
      </c>
      <c r="H228" s="24" t="s">
        <v>5</v>
      </c>
      <c r="I228" s="37">
        <v>8</v>
      </c>
    </row>
    <row r="229" spans="1:9">
      <c r="A229" s="5"/>
      <c r="B229" s="33"/>
      <c r="C229" s="34"/>
      <c r="D229" s="35"/>
      <c r="E229" s="7"/>
      <c r="F229" s="8"/>
      <c r="G229" s="9" t="s">
        <v>13</v>
      </c>
      <c r="H229" s="24" t="s">
        <v>5</v>
      </c>
      <c r="I229" s="37">
        <v>4</v>
      </c>
    </row>
    <row r="230" spans="1:9">
      <c r="A230" s="5"/>
      <c r="B230" s="33"/>
      <c r="C230" s="34"/>
      <c r="D230" s="35"/>
      <c r="E230" s="7"/>
      <c r="F230" s="8"/>
      <c r="G230" s="9" t="s">
        <v>66</v>
      </c>
      <c r="H230" s="24" t="s">
        <v>5</v>
      </c>
      <c r="I230" s="37">
        <v>1</v>
      </c>
    </row>
    <row r="231" spans="1:9">
      <c r="A231" s="5">
        <v>70</v>
      </c>
      <c r="B231" s="33" t="s">
        <v>237</v>
      </c>
      <c r="C231" s="34" t="s">
        <v>238</v>
      </c>
      <c r="D231" s="35">
        <v>23.14</v>
      </c>
      <c r="E231" s="7">
        <v>85</v>
      </c>
      <c r="F231" s="8">
        <f>D231*E231</f>
        <v>1966.9</v>
      </c>
      <c r="G231" s="44" t="s">
        <v>68</v>
      </c>
      <c r="H231" s="44" t="s">
        <v>6</v>
      </c>
      <c r="I231" s="45"/>
    </row>
    <row r="232" spans="1:9" ht="30" thickBot="1">
      <c r="A232" s="5">
        <v>71</v>
      </c>
      <c r="B232" s="33" t="s">
        <v>69</v>
      </c>
      <c r="C232" s="34" t="s">
        <v>3</v>
      </c>
      <c r="D232" s="35">
        <v>51</v>
      </c>
      <c r="E232" s="7">
        <v>60</v>
      </c>
      <c r="F232" s="8">
        <f>D232*E232</f>
        <v>3060</v>
      </c>
      <c r="G232" s="9" t="s">
        <v>70</v>
      </c>
      <c r="H232" s="24" t="s">
        <v>5</v>
      </c>
      <c r="I232" s="37">
        <v>15</v>
      </c>
    </row>
    <row r="233" spans="1:9" ht="15.75" thickBot="1">
      <c r="A233" s="115"/>
      <c r="B233" s="121" t="s">
        <v>7</v>
      </c>
      <c r="C233" s="109"/>
      <c r="D233" s="110"/>
      <c r="E233" s="154">
        <v>0</v>
      </c>
      <c r="F233" s="122"/>
      <c r="G233" s="113"/>
      <c r="H233" s="113"/>
      <c r="I233" s="110"/>
    </row>
    <row r="234" spans="1:9" ht="42.75">
      <c r="A234" s="5">
        <v>72</v>
      </c>
      <c r="B234" s="33" t="s">
        <v>174</v>
      </c>
      <c r="C234" s="34" t="s">
        <v>1</v>
      </c>
      <c r="D234" s="35">
        <f>3.79+4.08</f>
        <v>7.87</v>
      </c>
      <c r="E234" s="35">
        <v>15</v>
      </c>
      <c r="F234" s="36">
        <f>D234*E234</f>
        <v>118.05</v>
      </c>
      <c r="G234" s="27" t="s">
        <v>199</v>
      </c>
      <c r="H234" s="156" t="s">
        <v>5</v>
      </c>
      <c r="I234" s="25">
        <f>D234*0.4*1.1/5</f>
        <v>0.69256000000000006</v>
      </c>
    </row>
    <row r="235" spans="1:9">
      <c r="A235" s="5">
        <v>73</v>
      </c>
      <c r="B235" s="33" t="s">
        <v>189</v>
      </c>
      <c r="C235" s="34" t="s">
        <v>1</v>
      </c>
      <c r="D235" s="35">
        <f>3.79+4.08</f>
        <v>7.87</v>
      </c>
      <c r="E235" s="35">
        <v>120</v>
      </c>
      <c r="F235" s="36">
        <f>D235*E235</f>
        <v>944.4</v>
      </c>
      <c r="G235" s="27" t="s">
        <v>156</v>
      </c>
      <c r="H235" s="156" t="s">
        <v>5</v>
      </c>
      <c r="I235" s="25">
        <f>D235*2*50/25*1.1</f>
        <v>34.628</v>
      </c>
    </row>
    <row r="236" spans="1:9">
      <c r="A236" s="5">
        <v>74</v>
      </c>
      <c r="B236" s="33" t="s">
        <v>175</v>
      </c>
      <c r="C236" s="34" t="s">
        <v>1</v>
      </c>
      <c r="D236" s="35">
        <v>3.79</v>
      </c>
      <c r="E236" s="7">
        <v>80</v>
      </c>
      <c r="F236" s="8">
        <f t="shared" ref="F236:F239" si="5">D236*E236</f>
        <v>303.2</v>
      </c>
      <c r="G236" s="46" t="s">
        <v>218</v>
      </c>
      <c r="H236" s="24" t="s">
        <v>34</v>
      </c>
      <c r="I236" s="37">
        <f>D236*1</f>
        <v>3.79</v>
      </c>
    </row>
    <row r="237" spans="1:9" ht="28.5">
      <c r="A237" s="5">
        <v>75</v>
      </c>
      <c r="B237" s="57" t="s">
        <v>74</v>
      </c>
      <c r="C237" s="58" t="s">
        <v>73</v>
      </c>
      <c r="D237" s="60">
        <v>8.42</v>
      </c>
      <c r="E237" s="13">
        <v>60</v>
      </c>
      <c r="F237" s="14">
        <f t="shared" si="5"/>
        <v>505.2</v>
      </c>
      <c r="G237" s="47" t="s">
        <v>219</v>
      </c>
      <c r="H237" s="47" t="s">
        <v>5</v>
      </c>
      <c r="I237" s="48">
        <v>1</v>
      </c>
    </row>
    <row r="238" spans="1:9" ht="29.25">
      <c r="A238" s="5">
        <v>76</v>
      </c>
      <c r="B238" s="33" t="s">
        <v>8</v>
      </c>
      <c r="C238" s="34" t="s">
        <v>1</v>
      </c>
      <c r="D238" s="35">
        <v>49.14</v>
      </c>
      <c r="E238" s="35">
        <v>15</v>
      </c>
      <c r="F238" s="36">
        <f t="shared" si="5"/>
        <v>737.1</v>
      </c>
      <c r="G238" s="143" t="s">
        <v>200</v>
      </c>
      <c r="H238" s="150" t="s">
        <v>5</v>
      </c>
      <c r="I238" s="10">
        <f>D238*0.4*1.1/5</f>
        <v>4.3243200000000011</v>
      </c>
    </row>
    <row r="239" spans="1:9" ht="43.5">
      <c r="A239" s="5">
        <v>77</v>
      </c>
      <c r="B239" s="40" t="s">
        <v>191</v>
      </c>
      <c r="C239" s="41" t="s">
        <v>1</v>
      </c>
      <c r="D239" s="42">
        <v>49.14</v>
      </c>
      <c r="E239" s="42">
        <v>140</v>
      </c>
      <c r="F239" s="43">
        <f t="shared" si="5"/>
        <v>6879.6</v>
      </c>
      <c r="G239" s="46" t="s">
        <v>201</v>
      </c>
      <c r="H239" s="24" t="s">
        <v>5</v>
      </c>
      <c r="I239" s="37">
        <f>D239*1.7*10*1.1/25</f>
        <v>36.756720000000001</v>
      </c>
    </row>
    <row r="240" spans="1:9" ht="29.25">
      <c r="A240" s="5"/>
      <c r="B240" s="40"/>
      <c r="C240" s="41"/>
      <c r="D240" s="42"/>
      <c r="E240" s="42"/>
      <c r="F240" s="43"/>
      <c r="G240" s="46" t="s">
        <v>177</v>
      </c>
      <c r="H240" s="24" t="s">
        <v>24</v>
      </c>
      <c r="I240" s="37">
        <v>2</v>
      </c>
    </row>
    <row r="241" spans="1:9">
      <c r="A241" s="5">
        <v>78</v>
      </c>
      <c r="B241" s="40" t="s">
        <v>192</v>
      </c>
      <c r="C241" s="41" t="s">
        <v>5</v>
      </c>
      <c r="D241" s="42">
        <v>1</v>
      </c>
      <c r="E241" s="42">
        <v>500</v>
      </c>
      <c r="F241" s="43">
        <f t="shared" ref="F241" si="6">D241*E241</f>
        <v>500</v>
      </c>
      <c r="G241" s="46"/>
      <c r="H241" s="24"/>
      <c r="I241" s="37"/>
    </row>
    <row r="242" spans="1:9">
      <c r="A242" s="5">
        <v>79</v>
      </c>
      <c r="B242" s="33" t="s">
        <v>178</v>
      </c>
      <c r="C242" s="34" t="s">
        <v>1</v>
      </c>
      <c r="D242" s="35">
        <f>D239</f>
        <v>49.14</v>
      </c>
      <c r="E242" s="35">
        <v>40</v>
      </c>
      <c r="F242" s="36">
        <f>D242*E242</f>
        <v>1965.6</v>
      </c>
      <c r="G242" s="24" t="s">
        <v>179</v>
      </c>
      <c r="H242" s="24" t="s">
        <v>5</v>
      </c>
      <c r="I242" s="10">
        <v>2</v>
      </c>
    </row>
    <row r="243" spans="1:9" ht="28.5">
      <c r="A243" s="5"/>
      <c r="B243" s="33"/>
      <c r="C243" s="34"/>
      <c r="D243" s="35"/>
      <c r="E243" s="35"/>
      <c r="F243" s="36"/>
      <c r="G243" s="66" t="s">
        <v>180</v>
      </c>
      <c r="H243" s="24" t="s">
        <v>5</v>
      </c>
      <c r="I243" s="10">
        <v>2</v>
      </c>
    </row>
    <row r="244" spans="1:9" ht="28.5">
      <c r="A244" s="5"/>
      <c r="B244" s="33"/>
      <c r="C244" s="34"/>
      <c r="D244" s="35"/>
      <c r="E244" s="35"/>
      <c r="F244" s="36"/>
      <c r="G244" s="66" t="s">
        <v>181</v>
      </c>
      <c r="H244" s="24" t="s">
        <v>5</v>
      </c>
      <c r="I244" s="10">
        <v>2</v>
      </c>
    </row>
    <row r="245" spans="1:9" ht="29.25">
      <c r="A245" s="5"/>
      <c r="B245" s="40"/>
      <c r="C245" s="41"/>
      <c r="D245" s="42"/>
      <c r="E245" s="42"/>
      <c r="F245" s="43"/>
      <c r="G245" s="46" t="s">
        <v>176</v>
      </c>
      <c r="H245" s="24" t="s">
        <v>5</v>
      </c>
      <c r="I245" s="37">
        <v>1</v>
      </c>
    </row>
    <row r="246" spans="1:9" ht="42.75">
      <c r="A246" s="5">
        <v>80</v>
      </c>
      <c r="B246" s="33" t="s">
        <v>182</v>
      </c>
      <c r="C246" s="34" t="s">
        <v>1</v>
      </c>
      <c r="D246" s="35">
        <v>3.79</v>
      </c>
      <c r="E246" s="35">
        <v>15</v>
      </c>
      <c r="F246" s="36">
        <f>D246*E246</f>
        <v>56.85</v>
      </c>
      <c r="G246" s="27" t="s">
        <v>199</v>
      </c>
      <c r="H246" s="156" t="s">
        <v>5</v>
      </c>
      <c r="I246" s="25">
        <f>D246*0.4*1.1/5</f>
        <v>0.33352000000000004</v>
      </c>
    </row>
    <row r="247" spans="1:9" ht="28.5">
      <c r="A247" s="5">
        <v>81</v>
      </c>
      <c r="B247" s="57" t="s">
        <v>75</v>
      </c>
      <c r="C247" s="58" t="s">
        <v>1</v>
      </c>
      <c r="D247" s="60">
        <v>3.79</v>
      </c>
      <c r="E247" s="13">
        <v>400</v>
      </c>
      <c r="F247" s="14">
        <f>D247*E247</f>
        <v>1516</v>
      </c>
      <c r="G247" s="47" t="s">
        <v>220</v>
      </c>
      <c r="H247" s="47" t="s">
        <v>5</v>
      </c>
      <c r="I247" s="48">
        <f>D247*4.2/25*1.1</f>
        <v>0.70039200000000013</v>
      </c>
    </row>
    <row r="248" spans="1:9">
      <c r="A248" s="5"/>
      <c r="B248" s="57"/>
      <c r="C248" s="58"/>
      <c r="D248" s="60"/>
      <c r="E248" s="13"/>
      <c r="F248" s="14"/>
      <c r="G248" s="49" t="s">
        <v>202</v>
      </c>
      <c r="H248" s="49" t="s">
        <v>1</v>
      </c>
      <c r="I248" s="50">
        <f>D247*1.2</f>
        <v>4.548</v>
      </c>
    </row>
    <row r="249" spans="1:9">
      <c r="A249" s="115">
        <v>82</v>
      </c>
      <c r="B249" s="57" t="s">
        <v>77</v>
      </c>
      <c r="C249" s="58" t="s">
        <v>73</v>
      </c>
      <c r="D249" s="58">
        <v>8.42</v>
      </c>
      <c r="E249" s="13">
        <v>200</v>
      </c>
      <c r="F249" s="14">
        <f>E249*D249</f>
        <v>1684</v>
      </c>
      <c r="G249" s="15" t="s">
        <v>76</v>
      </c>
      <c r="H249" s="15" t="s">
        <v>5</v>
      </c>
      <c r="I249" s="16">
        <v>1</v>
      </c>
    </row>
    <row r="250" spans="1:9">
      <c r="A250" s="29">
        <v>83</v>
      </c>
      <c r="B250" s="57" t="s">
        <v>79</v>
      </c>
      <c r="C250" s="58" t="s">
        <v>5</v>
      </c>
      <c r="D250" s="58">
        <v>4</v>
      </c>
      <c r="E250" s="13">
        <v>90</v>
      </c>
      <c r="F250" s="14">
        <f>E250*D250</f>
        <v>360</v>
      </c>
      <c r="G250" s="15" t="s">
        <v>78</v>
      </c>
      <c r="H250" s="15" t="s">
        <v>5</v>
      </c>
      <c r="I250" s="16">
        <v>1</v>
      </c>
    </row>
    <row r="251" spans="1:9">
      <c r="A251" s="115">
        <v>84</v>
      </c>
      <c r="B251" s="57" t="s">
        <v>81</v>
      </c>
      <c r="C251" s="58" t="s">
        <v>73</v>
      </c>
      <c r="D251" s="58">
        <v>10</v>
      </c>
      <c r="E251" s="13">
        <v>100</v>
      </c>
      <c r="F251" s="14">
        <f>E251*D251</f>
        <v>1000</v>
      </c>
      <c r="G251" s="15" t="s">
        <v>80</v>
      </c>
      <c r="H251" s="15" t="s">
        <v>5</v>
      </c>
      <c r="I251" s="16">
        <v>1</v>
      </c>
    </row>
    <row r="252" spans="1:9">
      <c r="A252" s="29"/>
      <c r="B252" s="54"/>
      <c r="C252" s="55"/>
      <c r="D252" s="56"/>
      <c r="E252" s="37"/>
      <c r="F252" s="31"/>
      <c r="G252" s="67" t="s">
        <v>82</v>
      </c>
      <c r="H252" s="67" t="s">
        <v>5</v>
      </c>
      <c r="I252" s="30">
        <v>1</v>
      </c>
    </row>
    <row r="253" spans="1:9">
      <c r="A253" s="115"/>
      <c r="B253" s="54"/>
      <c r="C253" s="55"/>
      <c r="D253" s="56"/>
      <c r="E253" s="37"/>
      <c r="F253" s="31"/>
      <c r="G253" s="67" t="s">
        <v>84</v>
      </c>
      <c r="H253" s="67" t="s">
        <v>14</v>
      </c>
      <c r="I253" s="30">
        <v>2</v>
      </c>
    </row>
    <row r="254" spans="1:9">
      <c r="A254" s="29"/>
      <c r="B254" s="54"/>
      <c r="C254" s="55"/>
      <c r="D254" s="56"/>
      <c r="E254" s="37"/>
      <c r="F254" s="31"/>
      <c r="G254" s="67" t="s">
        <v>85</v>
      </c>
      <c r="H254" s="67" t="s">
        <v>14</v>
      </c>
      <c r="I254" s="30">
        <v>1</v>
      </c>
    </row>
    <row r="255" spans="1:9">
      <c r="A255" s="115"/>
      <c r="B255" s="54"/>
      <c r="C255" s="55"/>
      <c r="D255" s="56"/>
      <c r="E255" s="37"/>
      <c r="F255" s="31"/>
      <c r="G255" s="67" t="s">
        <v>221</v>
      </c>
      <c r="H255" s="67" t="s">
        <v>34</v>
      </c>
      <c r="I255" s="30">
        <f>(D247)*0.8*1.1</f>
        <v>3.3352000000000004</v>
      </c>
    </row>
    <row r="256" spans="1:9" ht="28.5">
      <c r="A256" s="29">
        <v>85</v>
      </c>
      <c r="B256" s="57" t="s">
        <v>83</v>
      </c>
      <c r="C256" s="58" t="s">
        <v>5</v>
      </c>
      <c r="D256" s="58">
        <v>1</v>
      </c>
      <c r="E256" s="13">
        <v>300</v>
      </c>
      <c r="F256" s="14">
        <f>E256*D256</f>
        <v>300</v>
      </c>
      <c r="G256" s="15" t="s">
        <v>86</v>
      </c>
      <c r="H256" s="15" t="s">
        <v>5</v>
      </c>
      <c r="I256" s="16">
        <v>1</v>
      </c>
    </row>
    <row r="257" spans="1:9">
      <c r="A257" s="115">
        <v>86</v>
      </c>
      <c r="B257" s="57" t="s">
        <v>204</v>
      </c>
      <c r="C257" s="58" t="s">
        <v>73</v>
      </c>
      <c r="D257" s="58">
        <v>8.42</v>
      </c>
      <c r="E257" s="13">
        <v>31</v>
      </c>
      <c r="F257" s="14">
        <f>E257*D257</f>
        <v>261.02</v>
      </c>
      <c r="G257" s="15" t="s">
        <v>87</v>
      </c>
      <c r="H257" s="15" t="s">
        <v>5</v>
      </c>
      <c r="I257" s="16">
        <v>4</v>
      </c>
    </row>
    <row r="258" spans="1:9" ht="42.75">
      <c r="A258" s="5">
        <v>87</v>
      </c>
      <c r="B258" s="33" t="s">
        <v>182</v>
      </c>
      <c r="C258" s="34" t="s">
        <v>1</v>
      </c>
      <c r="D258" s="35">
        <v>45.72</v>
      </c>
      <c r="E258" s="35">
        <v>15</v>
      </c>
      <c r="F258" s="36">
        <f t="shared" ref="F258:F262" si="7">D258*E258</f>
        <v>685.8</v>
      </c>
      <c r="G258" s="27" t="s">
        <v>199</v>
      </c>
      <c r="H258" s="156" t="s">
        <v>5</v>
      </c>
      <c r="I258" s="25">
        <f>D258*0.4*1.1/5</f>
        <v>4.0233600000000003</v>
      </c>
    </row>
    <row r="259" spans="1:9">
      <c r="A259" s="5">
        <v>88</v>
      </c>
      <c r="B259" s="33" t="s">
        <v>190</v>
      </c>
      <c r="C259" s="34" t="s">
        <v>1</v>
      </c>
      <c r="D259" s="35">
        <v>45.72</v>
      </c>
      <c r="E259" s="35">
        <v>120</v>
      </c>
      <c r="F259" s="36">
        <f t="shared" si="7"/>
        <v>5486.4</v>
      </c>
      <c r="G259" s="46" t="s">
        <v>216</v>
      </c>
      <c r="H259" s="24" t="s">
        <v>5</v>
      </c>
      <c r="I259" s="10">
        <v>2</v>
      </c>
    </row>
    <row r="260" spans="1:9">
      <c r="A260" s="5">
        <v>89</v>
      </c>
      <c r="B260" s="6" t="s">
        <v>183</v>
      </c>
      <c r="C260" s="5" t="s">
        <v>3</v>
      </c>
      <c r="D260" s="7">
        <v>29</v>
      </c>
      <c r="E260" s="35">
        <v>120</v>
      </c>
      <c r="F260" s="36">
        <f t="shared" si="7"/>
        <v>3480</v>
      </c>
      <c r="G260" s="44" t="s">
        <v>184</v>
      </c>
      <c r="H260" s="44"/>
      <c r="I260" s="45"/>
    </row>
    <row r="261" spans="1:9">
      <c r="A261" s="5">
        <v>90</v>
      </c>
      <c r="B261" s="33" t="s">
        <v>185</v>
      </c>
      <c r="C261" s="34" t="s">
        <v>5</v>
      </c>
      <c r="D261" s="35">
        <v>2</v>
      </c>
      <c r="E261" s="35">
        <v>120</v>
      </c>
      <c r="F261" s="36">
        <f t="shared" si="7"/>
        <v>240</v>
      </c>
      <c r="G261" s="44" t="s">
        <v>186</v>
      </c>
      <c r="H261" s="44"/>
      <c r="I261" s="45"/>
    </row>
    <row r="262" spans="1:9">
      <c r="A262" s="5">
        <v>91</v>
      </c>
      <c r="B262" s="33" t="s">
        <v>187</v>
      </c>
      <c r="C262" s="34" t="s">
        <v>3</v>
      </c>
      <c r="D262" s="35">
        <v>1</v>
      </c>
      <c r="E262" s="35">
        <v>150</v>
      </c>
      <c r="F262" s="36">
        <f t="shared" si="7"/>
        <v>150</v>
      </c>
      <c r="G262" s="24" t="s">
        <v>36</v>
      </c>
      <c r="H262" s="24" t="s">
        <v>5</v>
      </c>
      <c r="I262" s="10">
        <v>1</v>
      </c>
    </row>
    <row r="263" spans="1:9">
      <c r="A263" s="5"/>
      <c r="B263" s="33"/>
      <c r="C263" s="34"/>
      <c r="D263" s="35"/>
      <c r="E263" s="35">
        <v>0</v>
      </c>
      <c r="F263" s="36"/>
      <c r="G263" s="44" t="s">
        <v>188</v>
      </c>
      <c r="H263" s="44" t="s">
        <v>39</v>
      </c>
      <c r="I263" s="45">
        <f>D262</f>
        <v>1</v>
      </c>
    </row>
    <row r="264" spans="1:9">
      <c r="A264" s="5">
        <v>92</v>
      </c>
      <c r="B264" s="33" t="s">
        <v>37</v>
      </c>
      <c r="C264" s="34" t="s">
        <v>1</v>
      </c>
      <c r="D264" s="35">
        <f>45.72+3.79</f>
        <v>49.51</v>
      </c>
      <c r="E264" s="35">
        <v>20</v>
      </c>
      <c r="F264" s="36">
        <f>D264*E264</f>
        <v>990.19999999999993</v>
      </c>
      <c r="G264" s="24" t="s">
        <v>38</v>
      </c>
      <c r="H264" s="24" t="s">
        <v>1</v>
      </c>
      <c r="I264" s="10">
        <f>D264</f>
        <v>49.51</v>
      </c>
    </row>
    <row r="265" spans="1:9">
      <c r="A265" s="5"/>
      <c r="B265" s="33"/>
      <c r="C265" s="34"/>
      <c r="D265" s="35"/>
      <c r="E265" s="35"/>
      <c r="F265" s="36"/>
      <c r="G265" s="24" t="s">
        <v>35</v>
      </c>
      <c r="H265" s="24" t="s">
        <v>1</v>
      </c>
      <c r="I265" s="10">
        <f>D264</f>
        <v>49.51</v>
      </c>
    </row>
    <row r="266" spans="1:9">
      <c r="A266" s="149"/>
      <c r="B266" s="129" t="s">
        <v>88</v>
      </c>
      <c r="C266" s="130"/>
      <c r="D266" s="131"/>
      <c r="E266" s="131"/>
      <c r="F266" s="132"/>
      <c r="G266" s="133"/>
      <c r="H266" s="151"/>
      <c r="I266" s="131"/>
    </row>
    <row r="267" spans="1:9">
      <c r="A267" s="5">
        <v>93</v>
      </c>
      <c r="B267" s="6" t="s">
        <v>217</v>
      </c>
      <c r="C267" s="5" t="s">
        <v>1</v>
      </c>
      <c r="D267" s="7">
        <v>66</v>
      </c>
      <c r="E267" s="7">
        <v>20</v>
      </c>
      <c r="F267" s="8">
        <f>D267*E267</f>
        <v>1320</v>
      </c>
      <c r="G267" s="24" t="s">
        <v>132</v>
      </c>
      <c r="H267" s="24" t="s">
        <v>5</v>
      </c>
      <c r="I267" s="37">
        <v>2</v>
      </c>
    </row>
    <row r="268" spans="1:9">
      <c r="A268" s="5"/>
      <c r="B268" s="6"/>
      <c r="C268" s="5"/>
      <c r="D268" s="7"/>
      <c r="E268" s="7"/>
      <c r="F268" s="8"/>
      <c r="G268" s="24" t="s">
        <v>133</v>
      </c>
      <c r="H268" s="24" t="s">
        <v>5</v>
      </c>
      <c r="I268" s="37">
        <v>4</v>
      </c>
    </row>
    <row r="269" spans="1:9">
      <c r="A269" s="5"/>
      <c r="B269" s="61"/>
      <c r="C269" s="34"/>
      <c r="D269" s="35"/>
      <c r="E269" s="35"/>
      <c r="F269" s="36"/>
      <c r="G269" s="24" t="s">
        <v>134</v>
      </c>
      <c r="H269" s="24" t="s">
        <v>5</v>
      </c>
      <c r="I269" s="37">
        <v>2</v>
      </c>
    </row>
    <row r="270" spans="1:9">
      <c r="A270" s="5"/>
      <c r="B270" s="6"/>
      <c r="C270" s="5"/>
      <c r="D270" s="7"/>
      <c r="E270" s="7"/>
      <c r="F270" s="8"/>
      <c r="G270" s="24" t="s">
        <v>65</v>
      </c>
      <c r="H270" s="24" t="s">
        <v>5</v>
      </c>
      <c r="I270" s="37">
        <v>7</v>
      </c>
    </row>
    <row r="271" spans="1:9">
      <c r="A271" s="5"/>
      <c r="B271" s="6"/>
      <c r="C271" s="5"/>
      <c r="D271" s="7"/>
      <c r="E271" s="7"/>
      <c r="F271" s="8"/>
      <c r="G271" s="24" t="s">
        <v>135</v>
      </c>
      <c r="H271" s="24" t="s">
        <v>5</v>
      </c>
      <c r="I271" s="37">
        <v>3</v>
      </c>
    </row>
    <row r="272" spans="1:9">
      <c r="A272" s="5"/>
      <c r="B272" s="6"/>
      <c r="C272" s="5"/>
      <c r="D272" s="7"/>
      <c r="E272" s="7"/>
      <c r="F272" s="8"/>
      <c r="G272" s="24" t="s">
        <v>136</v>
      </c>
      <c r="H272" s="24" t="s">
        <v>5</v>
      </c>
      <c r="I272" s="37">
        <v>1</v>
      </c>
    </row>
    <row r="273" spans="1:9">
      <c r="A273" s="5">
        <v>94</v>
      </c>
      <c r="B273" s="6" t="s">
        <v>193</v>
      </c>
      <c r="C273" s="5" t="s">
        <v>40</v>
      </c>
      <c r="D273" s="7">
        <v>1</v>
      </c>
      <c r="E273" s="7">
        <v>500</v>
      </c>
      <c r="F273" s="8">
        <f>D273*E273</f>
        <v>500</v>
      </c>
      <c r="G273" s="24" t="s">
        <v>13</v>
      </c>
      <c r="H273" s="24" t="s">
        <v>137</v>
      </c>
      <c r="I273" s="37">
        <v>1</v>
      </c>
    </row>
    <row r="274" spans="1:9">
      <c r="A274" s="5"/>
      <c r="B274" s="6"/>
      <c r="C274" s="5"/>
      <c r="D274" s="7"/>
      <c r="E274" s="7"/>
      <c r="F274" s="8"/>
      <c r="G274" s="24" t="s">
        <v>138</v>
      </c>
      <c r="H274" s="24" t="s">
        <v>5</v>
      </c>
      <c r="I274" s="37">
        <v>1</v>
      </c>
    </row>
    <row r="275" spans="1:9">
      <c r="A275" s="5"/>
      <c r="B275" s="6"/>
      <c r="C275" s="5"/>
      <c r="D275" s="7"/>
      <c r="E275" s="7"/>
      <c r="F275" s="8"/>
      <c r="G275" s="24" t="s">
        <v>139</v>
      </c>
      <c r="H275" s="24" t="s">
        <v>5</v>
      </c>
      <c r="I275" s="37">
        <v>1</v>
      </c>
    </row>
    <row r="276" spans="1:9">
      <c r="A276" s="5"/>
      <c r="B276" s="6"/>
      <c r="C276" s="5"/>
      <c r="D276" s="7"/>
      <c r="E276" s="7"/>
      <c r="F276" s="8"/>
      <c r="G276" s="24" t="s">
        <v>194</v>
      </c>
      <c r="H276" s="24" t="s">
        <v>5</v>
      </c>
      <c r="I276" s="37">
        <v>1</v>
      </c>
    </row>
    <row r="277" spans="1:9">
      <c r="A277" s="29">
        <v>95</v>
      </c>
      <c r="B277" s="134" t="s">
        <v>10</v>
      </c>
      <c r="C277" s="101" t="s">
        <v>22</v>
      </c>
      <c r="D277" s="102">
        <v>10</v>
      </c>
      <c r="E277" s="37">
        <v>500</v>
      </c>
      <c r="F277" s="135">
        <f t="shared" ref="F277:F278" si="8">D277*E277</f>
        <v>5000</v>
      </c>
      <c r="G277" s="105"/>
      <c r="H277" s="105"/>
      <c r="I277" s="101"/>
    </row>
    <row r="278" spans="1:9" ht="30" thickBot="1">
      <c r="A278" s="115">
        <v>96</v>
      </c>
      <c r="B278" s="134" t="s">
        <v>131</v>
      </c>
      <c r="C278" s="101" t="s">
        <v>11</v>
      </c>
      <c r="D278" s="102">
        <v>500</v>
      </c>
      <c r="E278" s="37">
        <v>15</v>
      </c>
      <c r="F278" s="135">
        <f t="shared" si="8"/>
        <v>7500</v>
      </c>
      <c r="G278" s="105" t="s">
        <v>89</v>
      </c>
      <c r="H278" s="105" t="s">
        <v>5</v>
      </c>
      <c r="I278" s="101">
        <v>500</v>
      </c>
    </row>
    <row r="279" spans="1:9" ht="15.75" thickBot="1">
      <c r="A279" s="136"/>
      <c r="B279" s="137"/>
      <c r="C279" s="138"/>
      <c r="D279" s="139"/>
      <c r="E279" s="140"/>
      <c r="F279" s="141">
        <f>SUM(F6:F278)</f>
        <v>213381.75488000005</v>
      </c>
      <c r="G279" s="142"/>
      <c r="H279" s="138"/>
      <c r="I279" s="139"/>
    </row>
  </sheetData>
  <protectedRanges>
    <protectedRange sqref="B20:C20" name="Range1_2_8"/>
    <protectedRange sqref="G20:I20" name="Range1_2_68"/>
    <protectedRange sqref="G16:I16" name="Range1_1_1_1"/>
    <protectedRange sqref="I17:I19 B17:C19" name="Range1_2_6"/>
    <protectedRange sqref="G17:H19" name="Range1_2_55_1"/>
    <protectedRange sqref="G99:G100" name="Range1_2_4_1_1_1"/>
    <protectedRange sqref="B27:C29 B54:C56 B66:C68 B83:C85 B92:C92" name="Range1_2_1_1"/>
    <protectedRange sqref="G27:I29 G54:I56 G66:I68 G83:I85 G92:I92" name="Range1_2_52_1_1"/>
    <protectedRange sqref="B97:C98" name="Range1_2_1_4"/>
    <protectedRange sqref="G97:I98" name="Range1_2_53_2"/>
    <protectedRange sqref="I107:I108 I122:I123 B101:C108 B116:C123 B114:C114 B130:C130" name="Range1_2_2_3"/>
    <protectedRange sqref="G101:I106 G116:I121 G114:I114 G130:I130" name="Range1_2_39_1_3"/>
    <protectedRange sqref="G107:H108 G122:H123" name="Range1_2_40_1_2"/>
    <protectedRange sqref="B174:C189 B155:C171" name="Range1_2_1_1_1"/>
    <protectedRange sqref="G174:I189 G155:I171" name="Range1_2_52_1_2"/>
    <protectedRange sqref="G156:I158 G174:I175" name="Range1_2_3_14_1_1"/>
    <protectedRange sqref="B172:C173" name="Range1_2_1_2"/>
    <protectedRange sqref="G172:I173" name="Range1_2_53_1"/>
    <protectedRange sqref="B194:C195 B232:C232" name="Range1_2_1_3"/>
    <protectedRange sqref="G194:I195 G232:I232" name="Range1_2_53_1_1"/>
    <protectedRange sqref="I203:I204 B226:C226 I218:I219 B212:C219 B210:C210 B196:C204" name="Range1_2_2_1"/>
    <protectedRange sqref="G226:I226 G212:I217 G210:I210 G196:I202" name="Range1_2_39_1_1"/>
    <protectedRange sqref="G203:H204 G218:H219" name="Range1_2_40_1_1"/>
    <protectedRange sqref="B190:C191" name="Range1_2_1_5"/>
    <protectedRange sqref="G190:I191" name="Range1_2_53_3"/>
    <protectedRange sqref="B192:C192" name="Range1_2_1_5_1"/>
    <protectedRange sqref="G192:I192" name="Range1_2_53_3_1"/>
    <protectedRange sqref="B193:C193" name="Range1_2_1_6"/>
    <protectedRange sqref="G193:I193" name="Range1_2_53_4"/>
    <protectedRange sqref="G235" name="Range1_2_4_1_1_1_1"/>
    <protectedRange sqref="B245:C245 B239:C241" name="Range1_2_1_7"/>
    <protectedRange sqref="G245:I245 G239:I241" name="Range1_2_68_2"/>
  </protectedRanges>
  <mergeCells count="1">
    <mergeCell ref="C1:I1"/>
  </mergeCells>
  <pageMargins left="0.7" right="0.7" top="0.75" bottom="0.75" header="0.3" footer="0.3"/>
  <pageSetup paperSize="9" scale="52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подрядчиков строителей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2020-10-13T12:36:55Z</cp:lastPrinted>
  <dcterms:created xsi:type="dcterms:W3CDTF">2015-06-05T18:19:34Z</dcterms:created>
  <dcterms:modified xsi:type="dcterms:W3CDTF">2021-07-23T14:38:40Z</dcterms:modified>
</cp:coreProperties>
</file>