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J:\БУД ОЛІМП\ТЕНДЕР\Реконструкція садіка.Пр. Перемоги 72\Реконструкція садіка Пр Перемоги 72(розсилка)\"/>
    </mc:Choice>
  </mc:AlternateContent>
  <xr:revisionPtr revIDLastSave="0" documentId="13_ncr:1_{DC3705C3-09FF-4ADF-BFB6-E826F98B3873}" xr6:coauthVersionLast="37" xr6:coauthVersionMax="45" xr10:uidLastSave="{00000000-0000-0000-0000-000000000000}"/>
  <bookViews>
    <workbookView xWindow="0" yWindow="0" windowWidth="25200" windowHeight="11175" xr2:uid="{00000000-000D-0000-FFFF-FFFF00000000}"/>
  </bookViews>
  <sheets>
    <sheet name="Сек2" sheetId="7" r:id="rId1"/>
    <sheet name="Сек 3" sheetId="10" r:id="rId2"/>
    <sheet name="Сек 4" sheetId="11" r:id="rId3"/>
    <sheet name="Паркінг 05" sheetId="12" r:id="rId4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2" l="1"/>
  <c r="J58" i="12" s="1"/>
  <c r="G57" i="12"/>
  <c r="J57" i="12" s="1"/>
  <c r="G54" i="12"/>
  <c r="J54" i="12" s="1"/>
  <c r="G53" i="12"/>
  <c r="J53" i="12" s="1"/>
  <c r="G50" i="12"/>
  <c r="J50" i="12" s="1"/>
  <c r="G49" i="12"/>
  <c r="J49" i="12" s="1"/>
  <c r="G46" i="12"/>
  <c r="J46" i="12" s="1"/>
  <c r="G45" i="12"/>
  <c r="J45" i="12" s="1"/>
  <c r="G44" i="12"/>
  <c r="J44" i="12" s="1"/>
  <c r="G43" i="12"/>
  <c r="J43" i="12" s="1"/>
  <c r="G38" i="12"/>
  <c r="J38" i="12" s="1"/>
  <c r="G37" i="12"/>
  <c r="J37" i="12" s="1"/>
  <c r="G36" i="12"/>
  <c r="J36" i="12" s="1"/>
  <c r="G33" i="12"/>
  <c r="J33" i="12" s="1"/>
  <c r="G32" i="12"/>
  <c r="J32" i="12" s="1"/>
  <c r="G31" i="12"/>
  <c r="J31" i="12" s="1"/>
  <c r="G30" i="12"/>
  <c r="J30" i="12" s="1"/>
  <c r="G29" i="12"/>
  <c r="J29" i="12" s="1"/>
  <c r="G24" i="12"/>
  <c r="J24" i="12" s="1"/>
  <c r="G23" i="12"/>
  <c r="J23" i="12" s="1"/>
  <c r="G20" i="12"/>
  <c r="J20" i="12" s="1"/>
  <c r="G19" i="12"/>
  <c r="J19" i="12" s="1"/>
  <c r="G18" i="12"/>
  <c r="J18" i="12" s="1"/>
  <c r="G17" i="12"/>
  <c r="J17" i="12" s="1"/>
  <c r="G16" i="12"/>
  <c r="J16" i="12" s="1"/>
  <c r="G15" i="12"/>
  <c r="J15" i="12" s="1"/>
  <c r="I56" i="12"/>
  <c r="J56" i="12" s="1"/>
  <c r="I52" i="12"/>
  <c r="J52" i="12" s="1"/>
  <c r="I48" i="12"/>
  <c r="J48" i="12" s="1"/>
  <c r="I42" i="12"/>
  <c r="J42" i="12" s="1"/>
  <c r="I35" i="12"/>
  <c r="J35" i="12" s="1"/>
  <c r="I28" i="12"/>
  <c r="J28" i="12" s="1"/>
  <c r="I22" i="12"/>
  <c r="J22" i="12" s="1"/>
  <c r="I14" i="12"/>
  <c r="J14" i="12" s="1"/>
  <c r="J65" i="12"/>
  <c r="E9" i="12"/>
  <c r="I9" i="12" s="1"/>
  <c r="J9" i="12" s="1"/>
  <c r="E11" i="12" l="1"/>
  <c r="E12" i="12" l="1"/>
  <c r="G12" i="12" s="1"/>
  <c r="I11" i="12"/>
  <c r="J11" i="12" s="1"/>
  <c r="I62" i="12"/>
  <c r="J12" i="12" l="1"/>
  <c r="J61" i="12" s="1"/>
  <c r="J62" i="12" s="1"/>
  <c r="J63" i="12" s="1"/>
  <c r="J64" i="12" s="1"/>
  <c r="J66" i="12" s="1"/>
  <c r="G62" i="12"/>
  <c r="G63" i="12" s="1"/>
  <c r="G64" i="12" s="1"/>
  <c r="G66" i="12" s="1"/>
  <c r="I63" i="12"/>
  <c r="I64" i="12" s="1"/>
  <c r="J115" i="10" l="1"/>
  <c r="J148" i="7"/>
  <c r="I180" i="11"/>
  <c r="J180" i="11" s="1"/>
  <c r="I175" i="11"/>
  <c r="J175" i="11" s="1"/>
  <c r="I174" i="11"/>
  <c r="J174" i="11" s="1"/>
  <c r="I173" i="11"/>
  <c r="J173" i="11" s="1"/>
  <c r="A154" i="11" l="1"/>
  <c r="A101" i="11"/>
  <c r="E183" i="11"/>
  <c r="G183" i="11" s="1"/>
  <c r="J183" i="11" s="1"/>
  <c r="E182" i="11"/>
  <c r="G182" i="11" s="1"/>
  <c r="J182" i="11" s="1"/>
  <c r="E181" i="11"/>
  <c r="G181" i="11" s="1"/>
  <c r="J181" i="11" s="1"/>
  <c r="E179" i="11"/>
  <c r="G179" i="11" s="1"/>
  <c r="J179" i="11" s="1"/>
  <c r="E178" i="11"/>
  <c r="G178" i="11" s="1"/>
  <c r="J178" i="11" s="1"/>
  <c r="E177" i="11"/>
  <c r="G177" i="11" s="1"/>
  <c r="J177" i="11" s="1"/>
  <c r="E176" i="11"/>
  <c r="G176" i="11" s="1"/>
  <c r="J176" i="11" s="1"/>
  <c r="E164" i="11"/>
  <c r="G164" i="11" s="1"/>
  <c r="J164" i="11" s="1"/>
  <c r="E163" i="11"/>
  <c r="G163" i="11" s="1"/>
  <c r="J163" i="11" s="1"/>
  <c r="I170" i="11"/>
  <c r="J170" i="11" s="1"/>
  <c r="G169" i="11"/>
  <c r="J169" i="11" s="1"/>
  <c r="G168" i="11"/>
  <c r="J168" i="11" s="1"/>
  <c r="G167" i="11"/>
  <c r="J167" i="11" s="1"/>
  <c r="I166" i="11"/>
  <c r="J166" i="11" s="1"/>
  <c r="G165" i="11"/>
  <c r="I162" i="11"/>
  <c r="J162" i="11" s="1"/>
  <c r="A162" i="11"/>
  <c r="A166" i="11" s="1"/>
  <c r="A170" i="11" s="1"/>
  <c r="A173" i="11" s="1"/>
  <c r="A175" i="11" s="1"/>
  <c r="A180" i="11" s="1"/>
  <c r="H154" i="11"/>
  <c r="H143" i="11"/>
  <c r="I143" i="11" s="1"/>
  <c r="J143" i="11" s="1"/>
  <c r="H134" i="11"/>
  <c r="H127" i="11"/>
  <c r="H110" i="11"/>
  <c r="I110" i="11" s="1"/>
  <c r="J110" i="11" s="1"/>
  <c r="H101" i="11"/>
  <c r="I142" i="7"/>
  <c r="J142" i="7" s="1"/>
  <c r="I138" i="7"/>
  <c r="J138" i="7" s="1"/>
  <c r="I135" i="7"/>
  <c r="J135" i="7" s="1"/>
  <c r="I129" i="7"/>
  <c r="J129" i="7" s="1"/>
  <c r="I125" i="7"/>
  <c r="J125" i="7" s="1"/>
  <c r="I119" i="7"/>
  <c r="J119" i="7" s="1"/>
  <c r="I115" i="7"/>
  <c r="J115" i="7" s="1"/>
  <c r="I105" i="7"/>
  <c r="J105" i="7" s="1"/>
  <c r="I96" i="7"/>
  <c r="J96" i="7" s="1"/>
  <c r="I95" i="7"/>
  <c r="J95" i="7" s="1"/>
  <c r="I94" i="7"/>
  <c r="J94" i="7" s="1"/>
  <c r="I93" i="7"/>
  <c r="J93" i="7" s="1"/>
  <c r="I86" i="7"/>
  <c r="J86" i="7" s="1"/>
  <c r="I79" i="7"/>
  <c r="J79" i="7" s="1"/>
  <c r="I66" i="7"/>
  <c r="J66" i="7" s="1"/>
  <c r="I59" i="7"/>
  <c r="J59" i="7" s="1"/>
  <c r="I53" i="7"/>
  <c r="J53" i="7" s="1"/>
  <c r="I47" i="7"/>
  <c r="J47" i="7" s="1"/>
  <c r="I41" i="7"/>
  <c r="J41" i="7" s="1"/>
  <c r="I34" i="7"/>
  <c r="J34" i="7" s="1"/>
  <c r="G141" i="7"/>
  <c r="J141" i="7" s="1"/>
  <c r="G140" i="7"/>
  <c r="J140" i="7" s="1"/>
  <c r="G139" i="7"/>
  <c r="J139" i="7" s="1"/>
  <c r="G137" i="7"/>
  <c r="J137" i="7" s="1"/>
  <c r="G136" i="7"/>
  <c r="J136" i="7" s="1"/>
  <c r="G132" i="7"/>
  <c r="J132" i="7" s="1"/>
  <c r="G131" i="7"/>
  <c r="J131" i="7" s="1"/>
  <c r="G130" i="7"/>
  <c r="J130" i="7" s="1"/>
  <c r="G128" i="7"/>
  <c r="J128" i="7" s="1"/>
  <c r="G127" i="7"/>
  <c r="J127" i="7" s="1"/>
  <c r="G126" i="7"/>
  <c r="J126" i="7" s="1"/>
  <c r="G122" i="7"/>
  <c r="J122" i="7" s="1"/>
  <c r="G121" i="7"/>
  <c r="J121" i="7" s="1"/>
  <c r="G120" i="7"/>
  <c r="J120" i="7" s="1"/>
  <c r="G118" i="7"/>
  <c r="J118" i="7" s="1"/>
  <c r="G117" i="7"/>
  <c r="J117" i="7" s="1"/>
  <c r="G116" i="7"/>
  <c r="J116" i="7" s="1"/>
  <c r="G77" i="7"/>
  <c r="J77" i="7" s="1"/>
  <c r="I10" i="7"/>
  <c r="I10" i="10"/>
  <c r="I17" i="10"/>
  <c r="J17" i="10" s="1"/>
  <c r="I40" i="10"/>
  <c r="J40" i="10" s="1"/>
  <c r="I47" i="10"/>
  <c r="J47" i="10" s="1"/>
  <c r="I54" i="10"/>
  <c r="J54" i="10" s="1"/>
  <c r="I61" i="10"/>
  <c r="J61" i="10" s="1"/>
  <c r="G69" i="10"/>
  <c r="J69" i="10" s="1"/>
  <c r="I68" i="10"/>
  <c r="J68" i="10" s="1"/>
  <c r="I76" i="10"/>
  <c r="J76" i="10" s="1"/>
  <c r="I77" i="10"/>
  <c r="J77" i="10" s="1"/>
  <c r="I78" i="10"/>
  <c r="J78" i="10" s="1"/>
  <c r="I86" i="10"/>
  <c r="J86" i="10" s="1"/>
  <c r="I94" i="10"/>
  <c r="J94" i="10" s="1"/>
  <c r="I109" i="10"/>
  <c r="J109" i="10" s="1"/>
  <c r="I105" i="10"/>
  <c r="J105" i="10" s="1"/>
  <c r="I101" i="10"/>
  <c r="J101" i="10" s="1"/>
  <c r="G104" i="10"/>
  <c r="G103" i="10"/>
  <c r="J103" i="10" s="1"/>
  <c r="G102" i="10"/>
  <c r="J102" i="10" s="1"/>
  <c r="G108" i="10"/>
  <c r="J108" i="10" s="1"/>
  <c r="G107" i="10"/>
  <c r="J107" i="10" s="1"/>
  <c r="G106" i="10"/>
  <c r="J106" i="10" s="1"/>
  <c r="E85" i="10"/>
  <c r="G85" i="10" s="1"/>
  <c r="J85" i="10" s="1"/>
  <c r="E83" i="10"/>
  <c r="E84" i="10" s="1"/>
  <c r="G84" i="10" s="1"/>
  <c r="J84" i="10" s="1"/>
  <c r="E82" i="10"/>
  <c r="G82" i="10" s="1"/>
  <c r="J82" i="10" s="1"/>
  <c r="A17" i="10"/>
  <c r="A24" i="10" s="1"/>
  <c r="A32" i="10" s="1"/>
  <c r="A40" i="10" s="1"/>
  <c r="A47" i="10" s="1"/>
  <c r="A54" i="10" s="1"/>
  <c r="A61" i="10" s="1"/>
  <c r="A68" i="10" s="1"/>
  <c r="A76" i="10" s="1"/>
  <c r="A77" i="10" s="1"/>
  <c r="E92" i="10"/>
  <c r="G92" i="10" s="1"/>
  <c r="J92" i="10" s="1"/>
  <c r="E91" i="10"/>
  <c r="G91" i="10" s="1"/>
  <c r="J91" i="10" s="1"/>
  <c r="E89" i="10"/>
  <c r="G89" i="10" s="1"/>
  <c r="J89" i="10" s="1"/>
  <c r="E88" i="10"/>
  <c r="G88" i="10" s="1"/>
  <c r="J88" i="10" s="1"/>
  <c r="E87" i="10"/>
  <c r="G87" i="10" s="1"/>
  <c r="J87" i="10" s="1"/>
  <c r="E81" i="10"/>
  <c r="G81" i="10" s="1"/>
  <c r="J81" i="10" s="1"/>
  <c r="E80" i="10"/>
  <c r="G80" i="10" s="1"/>
  <c r="J80" i="10" s="1"/>
  <c r="E79" i="10"/>
  <c r="G79" i="10" s="1"/>
  <c r="J79" i="10" s="1"/>
  <c r="J10" i="7" l="1"/>
  <c r="J10" i="10"/>
  <c r="H118" i="11"/>
  <c r="A78" i="10"/>
  <c r="A83" i="10" s="1"/>
  <c r="A86" i="10" s="1"/>
  <c r="A90" i="10" s="1"/>
  <c r="A94" i="10" s="1"/>
  <c r="A105" i="10" s="1"/>
  <c r="I83" i="10"/>
  <c r="J83" i="10" s="1"/>
  <c r="E90" i="10"/>
  <c r="I90" i="10" s="1"/>
  <c r="J90" i="10" s="1"/>
  <c r="A101" i="10" l="1"/>
  <c r="J189" i="11"/>
  <c r="E158" i="11"/>
  <c r="G158" i="11" s="1"/>
  <c r="J158" i="11" s="1"/>
  <c r="E157" i="11"/>
  <c r="E154" i="11"/>
  <c r="E150" i="11"/>
  <c r="G150" i="11" s="1"/>
  <c r="J150" i="11" s="1"/>
  <c r="E149" i="11"/>
  <c r="G149" i="11" s="1"/>
  <c r="J149" i="11" s="1"/>
  <c r="E148" i="11"/>
  <c r="G148" i="11" s="1"/>
  <c r="J148" i="11" s="1"/>
  <c r="E147" i="11"/>
  <c r="G147" i="11" s="1"/>
  <c r="J147" i="11" s="1"/>
  <c r="E146" i="11"/>
  <c r="E145" i="11"/>
  <c r="G145" i="11" s="1"/>
  <c r="J145" i="11" s="1"/>
  <c r="E138" i="11"/>
  <c r="G138" i="11" s="1"/>
  <c r="J138" i="11" s="1"/>
  <c r="E137" i="11"/>
  <c r="E134" i="11"/>
  <c r="E131" i="11"/>
  <c r="G131" i="11" s="1"/>
  <c r="J131" i="11" s="1"/>
  <c r="E130" i="11"/>
  <c r="G130" i="11" s="1"/>
  <c r="J130" i="11" s="1"/>
  <c r="E127" i="11"/>
  <c r="I127" i="11" s="1"/>
  <c r="J127" i="11" s="1"/>
  <c r="E124" i="11"/>
  <c r="G124" i="11" s="1"/>
  <c r="J124" i="11" s="1"/>
  <c r="E123" i="11"/>
  <c r="G123" i="11" s="1"/>
  <c r="J123" i="11" s="1"/>
  <c r="E122" i="11"/>
  <c r="G122" i="11" s="1"/>
  <c r="J122" i="11" s="1"/>
  <c r="E121" i="11"/>
  <c r="G121" i="11" s="1"/>
  <c r="J121" i="11" s="1"/>
  <c r="E118" i="11"/>
  <c r="E115" i="11"/>
  <c r="G115" i="11" s="1"/>
  <c r="J115" i="11" s="1"/>
  <c r="E114" i="11"/>
  <c r="G114" i="11" s="1"/>
  <c r="J114" i="11" s="1"/>
  <c r="E113" i="11"/>
  <c r="E112" i="11"/>
  <c r="G112" i="11" s="1"/>
  <c r="J112" i="11" s="1"/>
  <c r="E107" i="11"/>
  <c r="G107" i="11" s="1"/>
  <c r="J107" i="11" s="1"/>
  <c r="E106" i="11"/>
  <c r="G106" i="11" s="1"/>
  <c r="J106" i="11" s="1"/>
  <c r="E105" i="11"/>
  <c r="E104" i="11"/>
  <c r="G104" i="11" s="1"/>
  <c r="J104" i="11" s="1"/>
  <c r="E101" i="11"/>
  <c r="E96" i="11"/>
  <c r="G96" i="11" s="1"/>
  <c r="J96" i="11" s="1"/>
  <c r="E95" i="11"/>
  <c r="G95" i="11" s="1"/>
  <c r="J95" i="11" s="1"/>
  <c r="E94" i="11"/>
  <c r="G94" i="11" s="1"/>
  <c r="J94" i="11" s="1"/>
  <c r="E91" i="11"/>
  <c r="E93" i="11" s="1"/>
  <c r="G93" i="11" s="1"/>
  <c r="J93" i="11" s="1"/>
  <c r="E88" i="11"/>
  <c r="G88" i="11" s="1"/>
  <c r="J88" i="11" s="1"/>
  <c r="E87" i="11"/>
  <c r="G87" i="11" s="1"/>
  <c r="J87" i="11" s="1"/>
  <c r="E86" i="11"/>
  <c r="G86" i="11" s="1"/>
  <c r="J86" i="11" s="1"/>
  <c r="E83" i="11"/>
  <c r="E85" i="11" s="1"/>
  <c r="G85" i="11" s="1"/>
  <c r="J85" i="11" s="1"/>
  <c r="E80" i="11"/>
  <c r="G80" i="11" s="1"/>
  <c r="J80" i="11" s="1"/>
  <c r="E79" i="11"/>
  <c r="G79" i="11" s="1"/>
  <c r="J79" i="11" s="1"/>
  <c r="E78" i="11"/>
  <c r="E75" i="11"/>
  <c r="E72" i="11"/>
  <c r="G72" i="11" s="1"/>
  <c r="J72" i="11" s="1"/>
  <c r="E71" i="11"/>
  <c r="G71" i="11" s="1"/>
  <c r="J71" i="11" s="1"/>
  <c r="E70" i="11"/>
  <c r="E67" i="11"/>
  <c r="E64" i="11"/>
  <c r="G64" i="11" s="1"/>
  <c r="J64" i="11" s="1"/>
  <c r="E63" i="11"/>
  <c r="G63" i="11" s="1"/>
  <c r="J63" i="11" s="1"/>
  <c r="E62" i="11"/>
  <c r="E59" i="11"/>
  <c r="E56" i="11"/>
  <c r="G56" i="11" s="1"/>
  <c r="J56" i="11" s="1"/>
  <c r="E55" i="11"/>
  <c r="G55" i="11" s="1"/>
  <c r="J55" i="11" s="1"/>
  <c r="E54" i="11"/>
  <c r="G54" i="11" s="1"/>
  <c r="J54" i="11" s="1"/>
  <c r="E51" i="11"/>
  <c r="E48" i="11"/>
  <c r="G48" i="11" s="1"/>
  <c r="J48" i="11" s="1"/>
  <c r="E47" i="11"/>
  <c r="E46" i="11"/>
  <c r="G46" i="11" s="1"/>
  <c r="J46" i="11" s="1"/>
  <c r="E43" i="11"/>
  <c r="E40" i="11"/>
  <c r="G40" i="11" s="1"/>
  <c r="J40" i="11" s="1"/>
  <c r="E39" i="11"/>
  <c r="G39" i="11" s="1"/>
  <c r="J39" i="11" s="1"/>
  <c r="E38" i="11"/>
  <c r="E35" i="11"/>
  <c r="E32" i="11"/>
  <c r="G32" i="11" s="1"/>
  <c r="J32" i="11" s="1"/>
  <c r="E31" i="11"/>
  <c r="G31" i="11" s="1"/>
  <c r="J31" i="11" s="1"/>
  <c r="E30" i="11"/>
  <c r="G30" i="11" s="1"/>
  <c r="J30" i="11" s="1"/>
  <c r="E27" i="11"/>
  <c r="E24" i="11"/>
  <c r="G24" i="11" s="1"/>
  <c r="J24" i="11" s="1"/>
  <c r="E23" i="11"/>
  <c r="G23" i="11" s="1"/>
  <c r="J23" i="11" s="1"/>
  <c r="E22" i="11"/>
  <c r="G22" i="11" s="1"/>
  <c r="J22" i="11" s="1"/>
  <c r="E19" i="11"/>
  <c r="E16" i="11"/>
  <c r="G16" i="11" s="1"/>
  <c r="J16" i="11" s="1"/>
  <c r="E15" i="11"/>
  <c r="G15" i="11" s="1"/>
  <c r="J15" i="11" s="1"/>
  <c r="E14" i="11"/>
  <c r="G14" i="11" s="1"/>
  <c r="J14" i="11" s="1"/>
  <c r="E11" i="11"/>
  <c r="I11" i="11" s="1"/>
  <c r="E72" i="10"/>
  <c r="G72" i="10" s="1"/>
  <c r="J72" i="10" s="1"/>
  <c r="E71" i="10"/>
  <c r="G71" i="10" s="1"/>
  <c r="J71" i="10" s="1"/>
  <c r="E70" i="10"/>
  <c r="G70" i="10" s="1"/>
  <c r="J70" i="10" s="1"/>
  <c r="E65" i="10"/>
  <c r="G65" i="10" s="1"/>
  <c r="J65" i="10" s="1"/>
  <c r="E64" i="10"/>
  <c r="E63" i="10"/>
  <c r="G63" i="10" s="1"/>
  <c r="J63" i="10" s="1"/>
  <c r="E58" i="10"/>
  <c r="G58" i="10" s="1"/>
  <c r="J58" i="10" s="1"/>
  <c r="E57" i="10"/>
  <c r="G57" i="10" s="1"/>
  <c r="J57" i="10" s="1"/>
  <c r="E56" i="10"/>
  <c r="G56" i="10" s="1"/>
  <c r="J56" i="10" s="1"/>
  <c r="E51" i="10"/>
  <c r="G51" i="10" s="1"/>
  <c r="J51" i="10" s="1"/>
  <c r="E50" i="10"/>
  <c r="G50" i="10" s="1"/>
  <c r="J50" i="10" s="1"/>
  <c r="E49" i="10"/>
  <c r="G49" i="10" s="1"/>
  <c r="J49" i="10" s="1"/>
  <c r="E44" i="10"/>
  <c r="G44" i="10" s="1"/>
  <c r="J44" i="10" s="1"/>
  <c r="E43" i="10"/>
  <c r="G43" i="10" s="1"/>
  <c r="J43" i="10" s="1"/>
  <c r="E42" i="10"/>
  <c r="G42" i="10" s="1"/>
  <c r="J42" i="10" s="1"/>
  <c r="E37" i="10"/>
  <c r="G37" i="10" s="1"/>
  <c r="J37" i="10" s="1"/>
  <c r="E36" i="10"/>
  <c r="G36" i="10" s="1"/>
  <c r="J36" i="10" s="1"/>
  <c r="E35" i="10"/>
  <c r="G35" i="10" s="1"/>
  <c r="J35" i="10" s="1"/>
  <c r="E32" i="10"/>
  <c r="I32" i="10" s="1"/>
  <c r="J32" i="10" s="1"/>
  <c r="E29" i="10"/>
  <c r="G29" i="10" s="1"/>
  <c r="J29" i="10" s="1"/>
  <c r="E28" i="10"/>
  <c r="G28" i="10" s="1"/>
  <c r="J28" i="10" s="1"/>
  <c r="E27" i="10"/>
  <c r="G27" i="10" s="1"/>
  <c r="J27" i="10" s="1"/>
  <c r="E24" i="10"/>
  <c r="I24" i="10" s="1"/>
  <c r="E21" i="10"/>
  <c r="G21" i="10" s="1"/>
  <c r="J21" i="10" s="1"/>
  <c r="E20" i="10"/>
  <c r="G20" i="10" s="1"/>
  <c r="J20" i="10" s="1"/>
  <c r="E19" i="10"/>
  <c r="G19" i="10" s="1"/>
  <c r="J19" i="10" s="1"/>
  <c r="E14" i="10"/>
  <c r="G14" i="10" s="1"/>
  <c r="J14" i="10" s="1"/>
  <c r="E13" i="10"/>
  <c r="G13" i="10" s="1"/>
  <c r="J13" i="10" s="1"/>
  <c r="E12" i="10"/>
  <c r="G12" i="10" s="1"/>
  <c r="E98" i="10"/>
  <c r="G98" i="10" s="1"/>
  <c r="J98" i="10" s="1"/>
  <c r="E97" i="10"/>
  <c r="G97" i="10" s="1"/>
  <c r="J97" i="10" s="1"/>
  <c r="E96" i="10"/>
  <c r="G96" i="10" s="1"/>
  <c r="J96" i="10" s="1"/>
  <c r="E95" i="10"/>
  <c r="G95" i="10" s="1"/>
  <c r="J95" i="10" s="1"/>
  <c r="E104" i="7"/>
  <c r="G104" i="7" s="1"/>
  <c r="J104" i="7" s="1"/>
  <c r="E102" i="7"/>
  <c r="I102" i="7" s="1"/>
  <c r="J102" i="7" s="1"/>
  <c r="E111" i="7"/>
  <c r="G111" i="7" s="1"/>
  <c r="J111" i="7" s="1"/>
  <c r="E110" i="7"/>
  <c r="G110" i="7" s="1"/>
  <c r="J110" i="7" s="1"/>
  <c r="E108" i="7"/>
  <c r="G108" i="7" s="1"/>
  <c r="J108" i="7" s="1"/>
  <c r="E107" i="7"/>
  <c r="G107" i="7" s="1"/>
  <c r="J107" i="7" s="1"/>
  <c r="E106" i="7"/>
  <c r="G106" i="7" s="1"/>
  <c r="J106" i="7" s="1"/>
  <c r="E103" i="7"/>
  <c r="G103" i="7" s="1"/>
  <c r="J103" i="7" s="1"/>
  <c r="E101" i="7"/>
  <c r="G101" i="7" s="1"/>
  <c r="J101" i="7" s="1"/>
  <c r="E100" i="7"/>
  <c r="G100" i="7" s="1"/>
  <c r="J100" i="7" s="1"/>
  <c r="E99" i="7"/>
  <c r="G99" i="7" s="1"/>
  <c r="J99" i="7" s="1"/>
  <c r="E98" i="7"/>
  <c r="G98" i="7" s="1"/>
  <c r="J98" i="7" s="1"/>
  <c r="E97" i="7"/>
  <c r="G97" i="7" s="1"/>
  <c r="J97" i="7" s="1"/>
  <c r="E91" i="7"/>
  <c r="G91" i="7" s="1"/>
  <c r="J91" i="7" s="1"/>
  <c r="E90" i="7"/>
  <c r="G90" i="7" s="1"/>
  <c r="J90" i="7" s="1"/>
  <c r="E89" i="7"/>
  <c r="G89" i="7" s="1"/>
  <c r="J89" i="7" s="1"/>
  <c r="E88" i="7"/>
  <c r="G88" i="7" s="1"/>
  <c r="J88" i="7" s="1"/>
  <c r="E87" i="7"/>
  <c r="G87" i="7" s="1"/>
  <c r="J87" i="7" s="1"/>
  <c r="I133" i="7"/>
  <c r="J133" i="7" s="1"/>
  <c r="I123" i="7"/>
  <c r="J123" i="7" s="1"/>
  <c r="E76" i="7"/>
  <c r="G76" i="7" s="1"/>
  <c r="J76" i="7" s="1"/>
  <c r="E75" i="7"/>
  <c r="G75" i="7" s="1"/>
  <c r="J75" i="7" s="1"/>
  <c r="E74" i="7"/>
  <c r="G74" i="7" s="1"/>
  <c r="J74" i="7" s="1"/>
  <c r="E73" i="7"/>
  <c r="G73" i="7" s="1"/>
  <c r="J73" i="7" s="1"/>
  <c r="E72" i="7"/>
  <c r="G72" i="7" s="1"/>
  <c r="J72" i="7" s="1"/>
  <c r="E71" i="7"/>
  <c r="I71" i="7" s="1"/>
  <c r="J71" i="7" s="1"/>
  <c r="E82" i="7"/>
  <c r="G82" i="7" s="1"/>
  <c r="J82" i="7" s="1"/>
  <c r="E81" i="7"/>
  <c r="G81" i="7" s="1"/>
  <c r="J81" i="7" s="1"/>
  <c r="E80" i="7"/>
  <c r="G80" i="7" s="1"/>
  <c r="J80" i="7" s="1"/>
  <c r="E69" i="7"/>
  <c r="G69" i="7" s="1"/>
  <c r="J69" i="7" s="1"/>
  <c r="E68" i="7"/>
  <c r="G68" i="7" s="1"/>
  <c r="J68" i="7" s="1"/>
  <c r="E67" i="7"/>
  <c r="G67" i="7" s="1"/>
  <c r="J67" i="7" s="1"/>
  <c r="E62" i="7"/>
  <c r="G62" i="7" s="1"/>
  <c r="J62" i="7" s="1"/>
  <c r="E63" i="7"/>
  <c r="G63" i="7" s="1"/>
  <c r="J63" i="7" s="1"/>
  <c r="E56" i="7"/>
  <c r="G56" i="7" s="1"/>
  <c r="J56" i="7" s="1"/>
  <c r="E55" i="7"/>
  <c r="G55" i="7" s="1"/>
  <c r="J55" i="7" s="1"/>
  <c r="E61" i="7"/>
  <c r="G61" i="7" s="1"/>
  <c r="J61" i="7" s="1"/>
  <c r="A59" i="7"/>
  <c r="A66" i="7" s="1"/>
  <c r="A71" i="7" s="1"/>
  <c r="A79" i="7" s="1"/>
  <c r="E54" i="7"/>
  <c r="G54" i="7" s="1"/>
  <c r="J54" i="7" s="1"/>
  <c r="E50" i="7"/>
  <c r="G50" i="7" s="1"/>
  <c r="J50" i="7" s="1"/>
  <c r="E49" i="7"/>
  <c r="G49" i="7" s="1"/>
  <c r="J49" i="7" s="1"/>
  <c r="E48" i="7"/>
  <c r="G48" i="7" s="1"/>
  <c r="J48" i="7" s="1"/>
  <c r="E44" i="7"/>
  <c r="G44" i="7" s="1"/>
  <c r="J44" i="7" s="1"/>
  <c r="E43" i="7"/>
  <c r="G43" i="7" s="1"/>
  <c r="J43" i="7" s="1"/>
  <c r="E45" i="7"/>
  <c r="G45" i="7" s="1"/>
  <c r="J45" i="7" s="1"/>
  <c r="E42" i="7"/>
  <c r="G42" i="7" s="1"/>
  <c r="J42" i="7" s="1"/>
  <c r="A41" i="7"/>
  <c r="E37" i="7"/>
  <c r="G37" i="7" s="1"/>
  <c r="J37" i="7" s="1"/>
  <c r="E38" i="7"/>
  <c r="G38" i="7" s="1"/>
  <c r="J38" i="7" s="1"/>
  <c r="E151" i="11" l="1"/>
  <c r="G151" i="11" s="1"/>
  <c r="J151" i="11" s="1"/>
  <c r="J12" i="10"/>
  <c r="J24" i="10"/>
  <c r="I112" i="10"/>
  <c r="E129" i="11"/>
  <c r="G129" i="11" s="1"/>
  <c r="J129" i="11" s="1"/>
  <c r="E73" i="11"/>
  <c r="G73" i="11" s="1"/>
  <c r="J73" i="11" s="1"/>
  <c r="G70" i="11"/>
  <c r="J70" i="11" s="1"/>
  <c r="E41" i="11"/>
  <c r="G41" i="11" s="1"/>
  <c r="J41" i="11" s="1"/>
  <c r="G38" i="11"/>
  <c r="J38" i="11" s="1"/>
  <c r="E103" i="11"/>
  <c r="G103" i="11" s="1"/>
  <c r="J103" i="11" s="1"/>
  <c r="I101" i="11"/>
  <c r="J101" i="11" s="1"/>
  <c r="E69" i="11"/>
  <c r="G69" i="11" s="1"/>
  <c r="J69" i="11" s="1"/>
  <c r="I67" i="11"/>
  <c r="J67" i="11" s="1"/>
  <c r="E29" i="11"/>
  <c r="G29" i="11" s="1"/>
  <c r="J29" i="11" s="1"/>
  <c r="I27" i="11"/>
  <c r="J27" i="11" s="1"/>
  <c r="E37" i="11"/>
  <c r="G37" i="11" s="1"/>
  <c r="J37" i="11" s="1"/>
  <c r="I35" i="11"/>
  <c r="J35" i="11" s="1"/>
  <c r="E77" i="11"/>
  <c r="G77" i="11" s="1"/>
  <c r="J77" i="11" s="1"/>
  <c r="I75" i="11"/>
  <c r="J75" i="11" s="1"/>
  <c r="E61" i="11"/>
  <c r="G61" i="11" s="1"/>
  <c r="J61" i="11" s="1"/>
  <c r="I59" i="11"/>
  <c r="J59" i="11" s="1"/>
  <c r="E156" i="11"/>
  <c r="G156" i="11" s="1"/>
  <c r="J156" i="11" s="1"/>
  <c r="I154" i="11"/>
  <c r="J154" i="11" s="1"/>
  <c r="E21" i="11"/>
  <c r="G21" i="11" s="1"/>
  <c r="J21" i="11" s="1"/>
  <c r="I19" i="11"/>
  <c r="J19" i="11" s="1"/>
  <c r="E45" i="11"/>
  <c r="G45" i="11" s="1"/>
  <c r="J45" i="11" s="1"/>
  <c r="I43" i="11"/>
  <c r="J43" i="11" s="1"/>
  <c r="E120" i="11"/>
  <c r="G120" i="11" s="1"/>
  <c r="J120" i="11" s="1"/>
  <c r="I118" i="11"/>
  <c r="J118" i="11" s="1"/>
  <c r="E136" i="11"/>
  <c r="G136" i="11" s="1"/>
  <c r="J136" i="11" s="1"/>
  <c r="I134" i="11"/>
  <c r="J134" i="11" s="1"/>
  <c r="E53" i="11"/>
  <c r="G53" i="11" s="1"/>
  <c r="J53" i="11" s="1"/>
  <c r="I51" i="11"/>
  <c r="J51" i="11" s="1"/>
  <c r="J11" i="11"/>
  <c r="E139" i="11"/>
  <c r="G139" i="11" s="1"/>
  <c r="J139" i="11" s="1"/>
  <c r="G137" i="11"/>
  <c r="J137" i="11" s="1"/>
  <c r="E116" i="11"/>
  <c r="G116" i="11" s="1"/>
  <c r="J116" i="11" s="1"/>
  <c r="G113" i="11"/>
  <c r="J113" i="11" s="1"/>
  <c r="E108" i="11"/>
  <c r="G108" i="11" s="1"/>
  <c r="J108" i="11" s="1"/>
  <c r="G105" i="11"/>
  <c r="J105" i="11" s="1"/>
  <c r="E81" i="11"/>
  <c r="G81" i="11" s="1"/>
  <c r="J81" i="11" s="1"/>
  <c r="G78" i="11"/>
  <c r="J78" i="11" s="1"/>
  <c r="E65" i="11"/>
  <c r="G65" i="11" s="1"/>
  <c r="J65" i="11" s="1"/>
  <c r="G62" i="11"/>
  <c r="J62" i="11" s="1"/>
  <c r="E49" i="11"/>
  <c r="G49" i="11" s="1"/>
  <c r="J49" i="11" s="1"/>
  <c r="G47" i="11"/>
  <c r="J47" i="11" s="1"/>
  <c r="E33" i="11"/>
  <c r="G33" i="11" s="1"/>
  <c r="J33" i="11" s="1"/>
  <c r="E97" i="11"/>
  <c r="G97" i="11" s="1"/>
  <c r="J97" i="11" s="1"/>
  <c r="E25" i="11"/>
  <c r="G25" i="11" s="1"/>
  <c r="J25" i="11" s="1"/>
  <c r="E125" i="11"/>
  <c r="G125" i="11" s="1"/>
  <c r="J125" i="11" s="1"/>
  <c r="E57" i="11"/>
  <c r="G57" i="11" s="1"/>
  <c r="J57" i="11" s="1"/>
  <c r="E159" i="11"/>
  <c r="G159" i="11" s="1"/>
  <c r="J159" i="11" s="1"/>
  <c r="E66" i="10"/>
  <c r="G66" i="10" s="1"/>
  <c r="J66" i="10" s="1"/>
  <c r="G64" i="10"/>
  <c r="J64" i="10" s="1"/>
  <c r="E59" i="10"/>
  <c r="G59" i="10" s="1"/>
  <c r="J59" i="10" s="1"/>
  <c r="E73" i="10"/>
  <c r="G73" i="10" s="1"/>
  <c r="J73" i="10" s="1"/>
  <c r="E26" i="10"/>
  <c r="G26" i="10" s="1"/>
  <c r="J26" i="10" s="1"/>
  <c r="E15" i="10"/>
  <c r="G15" i="10" s="1"/>
  <c r="J15" i="10" s="1"/>
  <c r="E17" i="11"/>
  <c r="G17" i="11" s="1"/>
  <c r="J17" i="11" s="1"/>
  <c r="E132" i="11"/>
  <c r="G132" i="11" s="1"/>
  <c r="J132" i="11" s="1"/>
  <c r="G146" i="11"/>
  <c r="J146" i="11" s="1"/>
  <c r="G157" i="11"/>
  <c r="J157" i="11" s="1"/>
  <c r="E34" i="10"/>
  <c r="G34" i="10" s="1"/>
  <c r="J34" i="10" s="1"/>
  <c r="E89" i="11"/>
  <c r="G89" i="11" s="1"/>
  <c r="J89" i="11" s="1"/>
  <c r="E13" i="11"/>
  <c r="G13" i="11" s="1"/>
  <c r="E38" i="10"/>
  <c r="G38" i="10" s="1"/>
  <c r="J38" i="10" s="1"/>
  <c r="E45" i="10"/>
  <c r="G45" i="10" s="1"/>
  <c r="J45" i="10" s="1"/>
  <c r="E22" i="10"/>
  <c r="G22" i="10" s="1"/>
  <c r="J22" i="10" s="1"/>
  <c r="E52" i="10"/>
  <c r="G52" i="10" s="1"/>
  <c r="J52" i="10" s="1"/>
  <c r="E30" i="10"/>
  <c r="G30" i="10" s="1"/>
  <c r="J30" i="10" s="1"/>
  <c r="E109" i="7"/>
  <c r="I109" i="7" s="1"/>
  <c r="J109" i="7" s="1"/>
  <c r="E36" i="7"/>
  <c r="G36" i="7" s="1"/>
  <c r="J36" i="7" s="1"/>
  <c r="E14" i="7"/>
  <c r="G14" i="7" s="1"/>
  <c r="J14" i="7" s="1"/>
  <c r="E13" i="7"/>
  <c r="G13" i="7" s="1"/>
  <c r="J13" i="7" s="1"/>
  <c r="E12" i="7"/>
  <c r="G12" i="7" s="1"/>
  <c r="J12" i="7" s="1"/>
  <c r="E11" i="7"/>
  <c r="G11" i="7" s="1"/>
  <c r="E31" i="7"/>
  <c r="G31" i="7" s="1"/>
  <c r="J31" i="7" s="1"/>
  <c r="E30" i="7"/>
  <c r="G30" i="7" s="1"/>
  <c r="J30" i="7" s="1"/>
  <c r="E29" i="7"/>
  <c r="G29" i="7" s="1"/>
  <c r="J29" i="7" s="1"/>
  <c r="E28" i="7"/>
  <c r="G28" i="7" s="1"/>
  <c r="J28" i="7" s="1"/>
  <c r="E25" i="7"/>
  <c r="E22" i="7"/>
  <c r="G22" i="7" s="1"/>
  <c r="J22" i="7" s="1"/>
  <c r="E21" i="7"/>
  <c r="G21" i="7" s="1"/>
  <c r="J21" i="7" s="1"/>
  <c r="E20" i="7"/>
  <c r="G20" i="7" s="1"/>
  <c r="J20" i="7" s="1"/>
  <c r="E17" i="7"/>
  <c r="J11" i="7" l="1"/>
  <c r="I113" i="10"/>
  <c r="I114" i="10"/>
  <c r="G112" i="10"/>
  <c r="G113" i="10" s="1"/>
  <c r="G114" i="10" s="1"/>
  <c r="G116" i="10" s="1"/>
  <c r="J111" i="10"/>
  <c r="J112" i="10" s="1"/>
  <c r="J113" i="10" s="1"/>
  <c r="J114" i="10" s="1"/>
  <c r="J116" i="10" s="1"/>
  <c r="E19" i="7"/>
  <c r="G19" i="7" s="1"/>
  <c r="J19" i="7" s="1"/>
  <c r="I17" i="7"/>
  <c r="E27" i="7"/>
  <c r="G27" i="7" s="1"/>
  <c r="J27" i="7" s="1"/>
  <c r="I25" i="7"/>
  <c r="J25" i="7" s="1"/>
  <c r="J13" i="11"/>
  <c r="G186" i="11"/>
  <c r="E23" i="7"/>
  <c r="G23" i="7" s="1"/>
  <c r="J23" i="7" s="1"/>
  <c r="E32" i="7"/>
  <c r="G32" i="7" s="1"/>
  <c r="J32" i="7" s="1"/>
  <c r="J17" i="7" l="1"/>
  <c r="I145" i="7"/>
  <c r="G145" i="7"/>
  <c r="G146" i="7" s="1"/>
  <c r="G147" i="7" s="1"/>
  <c r="G149" i="7" s="1"/>
  <c r="J144" i="7"/>
  <c r="J145" i="7" s="1"/>
  <c r="J146" i="7" s="1"/>
  <c r="J147" i="7" s="1"/>
  <c r="J149" i="7" s="1"/>
  <c r="G187" i="11"/>
  <c r="G188" i="11" s="1"/>
  <c r="G190" i="11" s="1"/>
  <c r="I146" i="7" l="1"/>
  <c r="I147" i="7" s="1"/>
  <c r="H83" i="11"/>
  <c r="H91" i="11" s="1"/>
  <c r="I91" i="11" s="1"/>
  <c r="J91" i="11" s="1"/>
  <c r="I83" i="11" l="1"/>
  <c r="J83" i="11" l="1"/>
  <c r="I186" i="11"/>
  <c r="J185" i="11"/>
  <c r="J186" i="11" s="1"/>
  <c r="I187" i="11" l="1"/>
  <c r="I188" i="11" s="1"/>
  <c r="J187" i="11"/>
  <c r="J188" i="11" s="1"/>
  <c r="J190" i="11" s="1"/>
</calcChain>
</file>

<file path=xl/sharedStrings.xml><?xml version="1.0" encoding="utf-8"?>
<sst xmlns="http://schemas.openxmlformats.org/spreadsheetml/2006/main" count="810" uniqueCount="177">
  <si>
    <t>м3</t>
  </si>
  <si>
    <t>кг</t>
  </si>
  <si>
    <t>№ ч/ч</t>
  </si>
  <si>
    <t>Найменування</t>
  </si>
  <si>
    <t>Одиниця виміру</t>
  </si>
  <si>
    <t>Норма витрат на одиницю робіт</t>
  </si>
  <si>
    <t>Кількість</t>
  </si>
  <si>
    <t>Матеріали</t>
  </si>
  <si>
    <t>Роботи</t>
  </si>
  <si>
    <t>Сума, грн без ПДВ</t>
  </si>
  <si>
    <t>Ціна одиниці, грн без ПДВ</t>
  </si>
  <si>
    <t>Вартість матеріалів, грн без ПДВ</t>
  </si>
  <si>
    <t>Вартість робіт/витрат, грн без ПДВ</t>
  </si>
  <si>
    <t>Разом:</t>
  </si>
  <si>
    <t>Всього по договірній ціні без ПДВ:</t>
  </si>
  <si>
    <t>Податок на додану вартість 20% (ПДВ):</t>
  </si>
  <si>
    <t>Всього по договірній ціні з ПДВ:</t>
  </si>
  <si>
    <t>у т.ч.  Матеріали Генпідрядника (з ПДВ)</t>
  </si>
  <si>
    <t>ВСЬОГО по ДЦ з відрахуваням вартості матеріалів генпідрядника (з ПДВ)</t>
  </si>
  <si>
    <t>Колони вертикаліні К4-24, К5-24 на відм. +70,400/+73,200  (4 шт)</t>
  </si>
  <si>
    <t>Бетон БГС С20/25 S4 F50 W4</t>
  </si>
  <si>
    <t>Арматура Ø 10 А500С ДСТУ 3760:2019</t>
  </si>
  <si>
    <t>Арматура Ø 16 А500С ДСТУ 3760:2019</t>
  </si>
  <si>
    <t>т</t>
  </si>
  <si>
    <t>Арматура Ø 8 А240С ДСТУ 3760:2019</t>
  </si>
  <si>
    <t>Дріт в'язальний Ø 1,2 мм ( 7 кг/т)</t>
  </si>
  <si>
    <t>Арматура Ø 12 А500С ДСТУ 3760:2019</t>
  </si>
  <si>
    <t xml:space="preserve">Діафрагми Д1-24-Д10-24 на відм. +70,400/+74,400 (8 шт) </t>
  </si>
  <si>
    <t>Арматура Ø 8 А500С ДСТУ 3760:2019</t>
  </si>
  <si>
    <t xml:space="preserve"> Секція 04 Вертикальні конструкції на відм. +76,400</t>
  </si>
  <si>
    <t>Бетон БГС С25/30</t>
  </si>
  <si>
    <t>Арматура Ø 10 А240С ДСТУ 3760:2019</t>
  </si>
  <si>
    <t xml:space="preserve">Пілон монолітний Пм12.1, Пм12.2 на відм. +76,400/+80,250 (4 шт) </t>
  </si>
  <si>
    <t xml:space="preserve">Пілон монолітний Пм12.3 на відм. +76,400/+80,250 (1 шт) </t>
  </si>
  <si>
    <t xml:space="preserve">Пілон монолітний Пм12.4 на відм. +78,000/+78,920 (1 шт) </t>
  </si>
  <si>
    <t xml:space="preserve">Пілон монолітний Пм12.5 на відм. +78,000/+78,920 (2 шт) </t>
  </si>
  <si>
    <t xml:space="preserve">Пілон монолітний Пм12.6 на відм. +76,400/+80,250 (2 шт) </t>
  </si>
  <si>
    <t xml:space="preserve">Пілон монолітний Пм12.7 на відм. +76,400/+80,250 (1 шт) </t>
  </si>
  <si>
    <t xml:space="preserve">Пілон монолітний Пм12.8 на відм. +76,400/+80,250 (1 шт) </t>
  </si>
  <si>
    <t xml:space="preserve">Колона монолітна Км1 на відм. +77,500/+80,250 (1 шт) </t>
  </si>
  <si>
    <t xml:space="preserve">Стіна монолітна См12.1 на відм. +76,400/+80,250 (1 шт) </t>
  </si>
  <si>
    <t>Арматура Ø 14 А500С ДСТУ 3760:2019</t>
  </si>
  <si>
    <t xml:space="preserve">Стіна монолітна См1 на відм. +76,700/+77,300 (1 шт) </t>
  </si>
  <si>
    <t xml:space="preserve"> Секція 04 Горизонтальні конструкції на відм. +76,900</t>
  </si>
  <si>
    <t>Плита перекриття монолітна Ппм27/1 на відм. +76,900</t>
  </si>
  <si>
    <t>Плита перекриття монолітна Ппм27/2 на відм. +77,500</t>
  </si>
  <si>
    <t>Плита перекриття монолітна Ппм27/3 на відм. +77,500</t>
  </si>
  <si>
    <t>Плита перекриття монолітна Ппм27/4 на відм. +78,920</t>
  </si>
  <si>
    <t>Балка монолітна Бм1 на відм. +79,200</t>
  </si>
  <si>
    <t xml:space="preserve"> Секція 04 Горизонтальні конструкції на відм. +80,450</t>
  </si>
  <si>
    <t>Плита перекриття монолітна Ппм28 на відм. +80,450</t>
  </si>
  <si>
    <t>Арматура Ø 20 А500С ДСТУ 3760:2019</t>
  </si>
  <si>
    <t xml:space="preserve"> Секція 04 Вертикальні конструкції на відм. +80,450</t>
  </si>
  <si>
    <t>Парапет монолітний Пм1 на відм. +80,450/+80,950</t>
  </si>
  <si>
    <t>Парапет монолітний Прм1 на відм. +76,400/+78,000</t>
  </si>
  <si>
    <t xml:space="preserve"> Секція 03 Моноліні конструкції на відм. +70,400</t>
  </si>
  <si>
    <t xml:space="preserve">Сходи до машинного приміщення ліфтів на відм. +70,400/+72,150 </t>
  </si>
  <si>
    <t>Бетон БГС С20/25 S3 F50 W4</t>
  </si>
  <si>
    <t>Арматура Ø 6 А240С ДСТУ 3760:2019</t>
  </si>
  <si>
    <t>Стіни на відм. +70,400</t>
  </si>
  <si>
    <t>Плита перекриття низ на відм. +71,600</t>
  </si>
  <si>
    <t xml:space="preserve">Колона монолітна К 2-23 на відм. +70,400 (2 шт) </t>
  </si>
  <si>
    <t xml:space="preserve">Діафрагми Д1-24-Д5,7,9,10-24 на відм. +70,400/+74,400 (8 шт) </t>
  </si>
  <si>
    <t xml:space="preserve">Парапет на відм. +70,400/+71,470 </t>
  </si>
  <si>
    <t>Плита перекриття низ на відм. +73,200</t>
  </si>
  <si>
    <t xml:space="preserve">Парапет на відм. +73,400/+74,370 </t>
  </si>
  <si>
    <t>Плита перекриття низ на відм. +74,400</t>
  </si>
  <si>
    <t xml:space="preserve">Парапет на відм. +74,600/+75,300 </t>
  </si>
  <si>
    <t>Плита перекриття низ на відм. +70,200 (низ)</t>
  </si>
  <si>
    <t>Парапет монолітний низ на відм. +70,400/+71,470 ( 150 мм)</t>
  </si>
  <si>
    <t>2302Р/18-КБ02.12 - арк 18,19,20,21</t>
  </si>
  <si>
    <t>Плита перекриття низ на відм. +71,900 (низ)</t>
  </si>
  <si>
    <t>Полоса 10х50 ДСТУ 4747:2007</t>
  </si>
  <si>
    <t>Полоса 20х250 ГОСТ 82-70</t>
  </si>
  <si>
    <t>2302Р/18-КБ02.12 - арк 22,23</t>
  </si>
  <si>
    <t>Плита перекриття низ на відм. +73,200 (низ)</t>
  </si>
  <si>
    <t>Парапет монолітний низ на відм. +73,400/+74,370 ( 150 мм)</t>
  </si>
  <si>
    <t>2302Р/18-КБ02.12 - арк 24,25,26</t>
  </si>
  <si>
    <t>Плита перекриття низ на відм. +74,400 (низ)</t>
  </si>
  <si>
    <t>2302Р/18-КБ02.12 - арк 27,28</t>
  </si>
  <si>
    <t>Парапет монолітний низ на відм. +74,600/+75,300 ( 150 мм)</t>
  </si>
  <si>
    <t xml:space="preserve">Виготовлення й монтаж закладних деталей ЗД1, ЗД2, </t>
  </si>
  <si>
    <t>Виготовлення та монтаж металоконструкцій траверси</t>
  </si>
  <si>
    <t>тн</t>
  </si>
  <si>
    <t>Двутавр №16 ДСТУ 8768:2018</t>
  </si>
  <si>
    <t>Полоса 16х320 ГОСТ 82-70</t>
  </si>
  <si>
    <t>Труба ф28х2 ГОСТ 10704-91</t>
  </si>
  <si>
    <t>Арматура Ø 20 А240С ДСТУ 3760:2019</t>
  </si>
  <si>
    <t>Полоса 16х80 ГОСТ 82-70</t>
  </si>
  <si>
    <t>Гайка ф20 ГОСТ 5915-70</t>
  </si>
  <si>
    <t>шт</t>
  </si>
  <si>
    <t>Вигрузка та монтаж вентиляційних блоків з зачеканкою  швів розчином</t>
  </si>
  <si>
    <t>ВБ 4-30-0 (1320) Поставка Генпідрядника</t>
  </si>
  <si>
    <t>2ВБ 04.2-30(1400) Поставка Генпідрядника</t>
  </si>
  <si>
    <t>Виготовлення та монтаж опорних рам з грунтуванням за 2 рази</t>
  </si>
  <si>
    <t>Азбошнур ШАОН 22мм</t>
  </si>
  <si>
    <t>м</t>
  </si>
  <si>
    <t>Пробивання отворів</t>
  </si>
  <si>
    <t>22 поверх</t>
  </si>
  <si>
    <t>23 поверх</t>
  </si>
  <si>
    <t>24 поверх</t>
  </si>
  <si>
    <t>2ВБ 04.2-30-0(1400) Поставка Генпідрядника</t>
  </si>
  <si>
    <t>Монтаж збірних залізобетонних  сходових маршів ЛМП1 54.13.15-5</t>
  </si>
  <si>
    <t>Монтаж збірних залізобетонних  сходових маршів ЛМП2 54.13.15-5</t>
  </si>
  <si>
    <t>Монтаж збірних залізобетонних  балок Бмс1</t>
  </si>
  <si>
    <t>Монтаж збірних залізобетонних  балок Бмс2</t>
  </si>
  <si>
    <t>Улаштування монолітноі плити ПМ1</t>
  </si>
  <si>
    <t>Виготовлення та монтаж  закладних деталей</t>
  </si>
  <si>
    <t>Улаштування монолітних  ділянок МД1 (45шт)</t>
  </si>
  <si>
    <t xml:space="preserve">ЛМП1 54.13.15-5 </t>
  </si>
  <si>
    <t xml:space="preserve">ЛМП2 54.13.15-5 </t>
  </si>
  <si>
    <t>Бмс1</t>
  </si>
  <si>
    <t xml:space="preserve">РК М100 П12 </t>
  </si>
  <si>
    <t xml:space="preserve">БСГ С25/30-S3-F50 W4 </t>
  </si>
  <si>
    <t xml:space="preserve">Арматура №10 кл.А500 С   </t>
  </si>
  <si>
    <t xml:space="preserve">Арматура №12 кл.А500 С   </t>
  </si>
  <si>
    <t xml:space="preserve">Арматура №8 кл.А500 С   </t>
  </si>
  <si>
    <t>2302Р/18-КБ02.15</t>
  </si>
  <si>
    <t>Сходи машинного приміщення ліфтів  відм. +70,400 до +72,2130 в/о "1/Г-1/К"/"2/5-2/6</t>
  </si>
  <si>
    <t>Улаштування монолітних залізобетонних  сходових маршів  машинного приміщення ліфтів  відм. +70,400 до +72,2130 в/о "1/Г-1/К"/"2/5-2/6</t>
  </si>
  <si>
    <t>Полоса 8х60ГОСТ 4747:2007</t>
  </si>
  <si>
    <t>Улаштування монолітних  ділянок МД1 (2шт)</t>
  </si>
  <si>
    <t xml:space="preserve"> Секція 02 Монолітні конструкції (на завершення робіт)</t>
  </si>
  <si>
    <t>ВБ 4-30п(1320) Поставка Генпідрядника</t>
  </si>
  <si>
    <t>18-24 поверх</t>
  </si>
  <si>
    <t>Улаштування монолітних  ділянок МД1 (6 шт)</t>
  </si>
  <si>
    <t>на улаштування монолітних конструкцій будинку Секція  04</t>
  </si>
  <si>
    <t>монтаж вентиляційних блоків з зачеканкою  швів розчином -24-26 поверх</t>
  </si>
  <si>
    <t>монтаж вентиляційних блоків з зачеканкою  швів розчином 4-24 поверх</t>
  </si>
  <si>
    <t>монтаж вентиляційних блоків з зачеканкою  швів розчином</t>
  </si>
  <si>
    <t>монтаж сходових маршів - 16-26 поверх</t>
  </si>
  <si>
    <t>м2</t>
  </si>
  <si>
    <t xml:space="preserve">БСГ С25/30-S3-F50 W4  </t>
  </si>
  <si>
    <t xml:space="preserve">Кутник 63*63*6 </t>
  </si>
  <si>
    <t>на улаштування монолітних конструкцій будинку Секція  03</t>
  </si>
  <si>
    <t xml:space="preserve">Бмс1 </t>
  </si>
  <si>
    <t>ЛМП1 54.13.15-5</t>
  </si>
  <si>
    <t>ЛМП2 54.13.15-5</t>
  </si>
  <si>
    <t>РК М100 П12</t>
  </si>
  <si>
    <t xml:space="preserve">Арматура №10 кл.А500 С  </t>
  </si>
  <si>
    <t xml:space="preserve">Арматура №8 кл.А500 С  </t>
  </si>
  <si>
    <t xml:space="preserve">Арматура №12 кл.А500 С  </t>
  </si>
  <si>
    <t xml:space="preserve">Кутник 63х5 </t>
  </si>
  <si>
    <t xml:space="preserve">Бмс2 </t>
  </si>
  <si>
    <t xml:space="preserve">Кутник 63х5  </t>
  </si>
  <si>
    <t xml:space="preserve">Технічне завдання </t>
  </si>
  <si>
    <t xml:space="preserve"> Секція 05 Плитний фундамент Пфм1 на відм. -3,920</t>
  </si>
  <si>
    <t>1</t>
  </si>
  <si>
    <t>Трамбування грунту, основи під ростверок (1,65 т/м3)</t>
  </si>
  <si>
    <t>2</t>
  </si>
  <si>
    <t>Бетон БГС С8/10 V1 F50 W4</t>
  </si>
  <si>
    <t>Плитний фундамент Пфм1 на відм. -3,920 в/о Р/10-Р/16 (Н=500 мм)</t>
  </si>
  <si>
    <t>Бетон БГС С20/25 S3 F50 W6</t>
  </si>
  <si>
    <t>Арматура ф25 А500С ДСТУ 3760:2019</t>
  </si>
  <si>
    <t>Арматура ф16 А500С ДСТУ 3760:2019</t>
  </si>
  <si>
    <t>Арматура ф14 А500С ДСТУ 3760:2019</t>
  </si>
  <si>
    <t>Арматура ф12 А500С ДСТУ 3760:2019</t>
  </si>
  <si>
    <t>Арматура ф8 А240С ДСТУ 3760:2019</t>
  </si>
  <si>
    <t>Гідроізоляція горизонтальна 
(основи під ростверок будівлі)</t>
  </si>
  <si>
    <t>Праймер битумний</t>
  </si>
  <si>
    <t>л</t>
  </si>
  <si>
    <t>Бітумно-полімерна гідроізоляція (2-ва шари)</t>
  </si>
  <si>
    <t xml:space="preserve"> Секція 05 Вертикальні елементи на відм. -3,920/-1,300</t>
  </si>
  <si>
    <t xml:space="preserve">Стіна пркінгу Ст1 на відм. -4,400/-1,050 </t>
  </si>
  <si>
    <t>Арматура ф8 А500С ДСТУ 3760:2019</t>
  </si>
  <si>
    <t>Колони вертикаліні К1, К2, К3 на відм. -4,400/-1,050  (25 шт)</t>
  </si>
  <si>
    <t>Плита перекриття Секція 05 на відм. -1,050</t>
  </si>
  <si>
    <t>Плита перекриття на відм. -1,050 (низ перекриття) 
в/о 1/1…2/7 - з влаштуванням капітелей - 25 шт</t>
  </si>
  <si>
    <t>Арматура ф10 А500С ДСТУ 3760:2019</t>
  </si>
  <si>
    <t>Плита перекриття на відм. -0,750 (низ перекриття)</t>
  </si>
  <si>
    <t xml:space="preserve">Плита перекриття на відм. -1,250 (низ перекриття) </t>
  </si>
  <si>
    <t xml:space="preserve">Плита перекриття на відм. -1,700 (низ перекриття) </t>
  </si>
  <si>
    <t>на улаштування монолітних конструкцій будинку Секція  02</t>
  </si>
  <si>
    <t>на улаштування монолітних конструкцій паркінгу Секція 05 (Паркінг)</t>
  </si>
  <si>
    <t>Влаштування бетонної підготовки під ростверок будівлі (70 мм)</t>
  </si>
  <si>
    <r>
      <t>на об'єкті :</t>
    </r>
    <r>
      <rPr>
        <b/>
        <sz val="10"/>
        <color theme="1"/>
        <rFont val="Arial"/>
        <family val="2"/>
        <charset val="204"/>
      </rPr>
      <t xml:space="preserve"> "Реконструкція будівлі дитячого закладу дошкільної освіти (зі береженням функції) та будівництво  багатоповерхового житлового будинку на  у Шевченківському  районі м.Києва"</t>
    </r>
  </si>
  <si>
    <r>
      <t>на об'єкті :</t>
    </r>
    <r>
      <rPr>
        <b/>
        <sz val="10"/>
        <color theme="1"/>
        <rFont val="Arial"/>
        <family val="2"/>
        <charset val="204"/>
      </rPr>
      <t xml:space="preserve"> "Реконструкція будівлі дитячого закладу дошкільної освіти (зі береженням функції) та будівництво  багатоповерхового житлового будинку  у Шевченківському  районі м.Києва"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</si>
</sst>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₴_-;\-* #,##0.00\ _₴_-;_-* &quot;-&quot;??\ _₴_-;_-@_-"/>
    <numFmt numFmtId="164" formatCode="_-* #,##0.00_-;\-* #,##0.00_-;_-* &quot;-&quot;??_-;_-@_-"/>
    <numFmt numFmtId="165" formatCode="0.000"/>
    <numFmt numFmtId="166" formatCode="_-* #,##0.00_₴_-;\-* #,##0.00_₴_-;_-* &quot;-&quot;??_₴_-;_-@_-"/>
    <numFmt numFmtId="167" formatCode="_-* #,##0.000_₴_-;\-* #,##0.000_₴_-;_-* &quot;-&quot;??_₴_-;_-@_-"/>
    <numFmt numFmtId="168" formatCode="_-* #,##0.0_₴_-;\-* #,##0.0_₴_-;_-* &quot;-&quot;??_₴_-;_-@_-"/>
    <numFmt numFmtId="169" formatCode="_-* #,##0.00_р_._-;\-* #,##0.00_р_._-;_-* &quot;-&quot;??_р_.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2"/>
      <color rgb="FFC00000"/>
      <name val="Verdana"/>
      <family val="2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2"/>
      <name val="Tahoma"/>
      <family val="2"/>
      <charset val="204"/>
    </font>
    <font>
      <b/>
      <sz val="12"/>
      <name val="Tahoma"/>
      <family val="2"/>
      <charset val="204"/>
    </font>
    <font>
      <i/>
      <sz val="10.5"/>
      <name val="Tahoma"/>
      <family val="2"/>
      <charset val="204"/>
    </font>
    <font>
      <b/>
      <sz val="10.5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Tahoma"/>
      <family val="2"/>
      <charset val="204"/>
    </font>
    <font>
      <sz val="10.5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6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indexed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16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37" fillId="0" borderId="0"/>
    <xf numFmtId="166" fontId="37" fillId="0" borderId="0" applyFont="0" applyFill="0" applyBorder="0" applyAlignment="0" applyProtection="0"/>
    <xf numFmtId="0" fontId="43" fillId="0" borderId="0">
      <alignment vertical="top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top"/>
    </xf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9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47" fillId="0" borderId="0"/>
    <xf numFmtId="0" fontId="1" fillId="0" borderId="0"/>
    <xf numFmtId="0" fontId="1" fillId="0" borderId="0"/>
    <xf numFmtId="0" fontId="43" fillId="0" borderId="0">
      <alignment vertical="top"/>
    </xf>
    <xf numFmtId="0" fontId="1" fillId="0" borderId="0"/>
    <xf numFmtId="169" fontId="48" fillId="0" borderId="0" applyFont="0" applyFill="0" applyBorder="0" applyAlignment="0" applyProtection="0"/>
    <xf numFmtId="0" fontId="37" fillId="0" borderId="0"/>
  </cellStyleXfs>
  <cellXfs count="15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12" fillId="0" borderId="1" xfId="2" applyFont="1" applyBorder="1" applyAlignment="1">
      <alignment vertical="top" wrapText="1"/>
    </xf>
    <xf numFmtId="43" fontId="12" fillId="0" borderId="1" xfId="4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19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5" fillId="0" borderId="1" xfId="0" applyFont="1" applyBorder="1" applyAlignment="1"/>
    <xf numFmtId="164" fontId="10" fillId="2" borderId="1" xfId="1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8" fillId="0" borderId="0" xfId="0" applyFont="1"/>
    <xf numFmtId="0" fontId="14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/>
    </xf>
    <xf numFmtId="4" fontId="21" fillId="0" borderId="8" xfId="0" applyNumberFormat="1" applyFont="1" applyBorder="1" applyAlignment="1">
      <alignment horizontal="right" vertical="center"/>
    </xf>
    <xf numFmtId="0" fontId="22" fillId="3" borderId="2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vertical="center"/>
    </xf>
    <xf numFmtId="4" fontId="22" fillId="3" borderId="3" xfId="0" applyNumberFormat="1" applyFont="1" applyFill="1" applyBorder="1" applyAlignment="1">
      <alignment vertical="center"/>
    </xf>
    <xf numFmtId="4" fontId="22" fillId="3" borderId="3" xfId="0" applyNumberFormat="1" applyFont="1" applyFill="1" applyBorder="1" applyAlignment="1">
      <alignment horizontal="center" vertical="center"/>
    </xf>
    <xf numFmtId="4" fontId="23" fillId="3" borderId="3" xfId="0" applyNumberFormat="1" applyFont="1" applyFill="1" applyBorder="1" applyAlignment="1">
      <alignment vertical="center"/>
    </xf>
    <xf numFmtId="2" fontId="24" fillId="3" borderId="4" xfId="0" applyNumberFormat="1" applyFont="1" applyFill="1" applyBorder="1"/>
    <xf numFmtId="0" fontId="22" fillId="3" borderId="5" xfId="0" applyFont="1" applyFill="1" applyBorder="1" applyAlignment="1">
      <alignment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vertical="center"/>
    </xf>
    <xf numFmtId="4" fontId="22" fillId="3" borderId="6" xfId="0" applyNumberFormat="1" applyFont="1" applyFill="1" applyBorder="1" applyAlignment="1">
      <alignment vertical="center"/>
    </xf>
    <xf numFmtId="4" fontId="22" fillId="3" borderId="6" xfId="0" applyNumberFormat="1" applyFont="1" applyFill="1" applyBorder="1" applyAlignment="1">
      <alignment horizontal="center" vertical="center"/>
    </xf>
    <xf numFmtId="0" fontId="25" fillId="0" borderId="0" xfId="0" applyFont="1"/>
    <xf numFmtId="4" fontId="26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13" fillId="0" borderId="1" xfId="2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22" fillId="3" borderId="3" xfId="0" quotePrefix="1" applyFont="1" applyFill="1" applyBorder="1" applyAlignment="1">
      <alignment horizontal="left" vertical="center" wrapText="1"/>
    </xf>
    <xf numFmtId="0" fontId="22" fillId="3" borderId="6" xfId="0" quotePrefix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6" fillId="0" borderId="1" xfId="0" applyNumberFormat="1" applyFont="1" applyBorder="1"/>
    <xf numFmtId="2" fontId="0" fillId="0" borderId="1" xfId="0" applyNumberFormat="1" applyBorder="1"/>
    <xf numFmtId="2" fontId="12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/>
    <xf numFmtId="2" fontId="4" fillId="0" borderId="1" xfId="0" applyNumberFormat="1" applyFont="1" applyBorder="1"/>
    <xf numFmtId="2" fontId="0" fillId="0" borderId="0" xfId="0" applyNumberFormat="1"/>
    <xf numFmtId="165" fontId="6" fillId="0" borderId="1" xfId="0" applyNumberFormat="1" applyFont="1" applyBorder="1"/>
    <xf numFmtId="0" fontId="0" fillId="0" borderId="0" xfId="0" applyBorder="1"/>
    <xf numFmtId="164" fontId="24" fillId="3" borderId="7" xfId="1" applyFont="1" applyFill="1" applyBorder="1"/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/>
    <xf numFmtId="164" fontId="30" fillId="2" borderId="1" xfId="1" applyFont="1" applyFill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right" vertical="center"/>
    </xf>
    <xf numFmtId="0" fontId="29" fillId="0" borderId="0" xfId="0" applyFont="1"/>
    <xf numFmtId="4" fontId="3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top"/>
    </xf>
    <xf numFmtId="0" fontId="35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4" fontId="36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5" fillId="0" borderId="1" xfId="0" applyFont="1" applyFill="1" applyBorder="1"/>
    <xf numFmtId="165" fontId="6" fillId="0" borderId="1" xfId="0" applyNumberFormat="1" applyFont="1" applyFill="1" applyBorder="1"/>
    <xf numFmtId="0" fontId="38" fillId="0" borderId="1" xfId="6" applyFont="1" applyBorder="1" applyAlignment="1">
      <alignment horizontal="center" vertical="center" wrapText="1"/>
    </xf>
    <xf numFmtId="0" fontId="39" fillId="0" borderId="1" xfId="6" applyFont="1" applyBorder="1" applyAlignment="1">
      <alignment horizontal="center" vertical="top" wrapText="1"/>
    </xf>
    <xf numFmtId="4" fontId="40" fillId="0" borderId="1" xfId="7" applyNumberFormat="1" applyFont="1" applyBorder="1" applyAlignment="1">
      <alignment horizontal="center" vertical="center"/>
    </xf>
    <xf numFmtId="167" fontId="40" fillId="0" borderId="1" xfId="7" applyNumberFormat="1" applyFont="1" applyBorder="1" applyAlignment="1">
      <alignment horizontal="center" vertical="center" wrapText="1"/>
    </xf>
    <xf numFmtId="0" fontId="41" fillId="0" borderId="1" xfId="8" applyFont="1" applyBorder="1" applyAlignment="1">
      <alignment horizontal="center" vertical="center" wrapText="1"/>
    </xf>
    <xf numFmtId="167" fontId="41" fillId="0" borderId="1" xfId="7" applyNumberFormat="1" applyFont="1" applyBorder="1" applyAlignment="1">
      <alignment vertical="center"/>
    </xf>
    <xf numFmtId="167" fontId="41" fillId="0" borderId="1" xfId="7" applyNumberFormat="1" applyFont="1" applyBorder="1" applyAlignment="1" applyProtection="1">
      <alignment vertical="center" wrapText="1"/>
      <protection locked="0"/>
    </xf>
    <xf numFmtId="168" fontId="41" fillId="0" borderId="1" xfId="7" applyNumberFormat="1" applyFont="1" applyBorder="1" applyAlignment="1" applyProtection="1">
      <alignment horizontal="left" vertical="center" indent="1"/>
      <protection locked="0"/>
    </xf>
    <xf numFmtId="166" fontId="41" fillId="0" borderId="1" xfId="7" applyFont="1" applyBorder="1" applyAlignment="1" applyProtection="1">
      <alignment horizontal="left" vertical="center" indent="1"/>
      <protection locked="0"/>
    </xf>
    <xf numFmtId="0" fontId="4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2" fontId="34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wrapText="1"/>
    </xf>
    <xf numFmtId="2" fontId="29" fillId="0" borderId="1" xfId="0" applyNumberFormat="1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2" fontId="28" fillId="0" borderId="1" xfId="0" applyNumberFormat="1" applyFont="1" applyBorder="1" applyAlignment="1">
      <alignment horizontal="left"/>
    </xf>
    <xf numFmtId="4" fontId="31" fillId="0" borderId="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wrapText="1"/>
    </xf>
    <xf numFmtId="2" fontId="32" fillId="0" borderId="1" xfId="0" applyNumberFormat="1" applyFont="1" applyBorder="1" applyAlignment="1">
      <alignment horizontal="left"/>
    </xf>
    <xf numFmtId="4" fontId="33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/>
    </xf>
    <xf numFmtId="2" fontId="32" fillId="0" borderId="0" xfId="0" applyNumberFormat="1" applyFont="1" applyBorder="1" applyAlignment="1">
      <alignment horizontal="left"/>
    </xf>
    <xf numFmtId="4" fontId="33" fillId="0" borderId="0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2" fontId="3" fillId="0" borderId="0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0" fontId="3" fillId="0" borderId="0" xfId="0" applyFont="1" applyBorder="1" applyAlignment="1">
      <alignment horizontal="right" vertical="top"/>
    </xf>
    <xf numFmtId="164" fontId="24" fillId="3" borderId="1" xfId="1" applyFont="1" applyFill="1" applyBorder="1" applyAlignment="1">
      <alignment horizontal="left"/>
    </xf>
    <xf numFmtId="2" fontId="24" fillId="3" borderId="1" xfId="0" applyNumberFormat="1" applyFont="1" applyFill="1" applyBorder="1" applyAlignment="1">
      <alignment horizontal="left"/>
    </xf>
    <xf numFmtId="4" fontId="22" fillId="3" borderId="1" xfId="0" applyNumberFormat="1" applyFont="1" applyFill="1" applyBorder="1" applyAlignment="1">
      <alignment horizontal="left" vertical="center"/>
    </xf>
    <xf numFmtId="0" fontId="22" fillId="3" borderId="1" xfId="0" quotePrefix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/>
    </xf>
    <xf numFmtId="4" fontId="52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 wrapText="1"/>
    </xf>
    <xf numFmtId="4" fontId="51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/>
    </xf>
    <xf numFmtId="166" fontId="41" fillId="0" borderId="1" xfId="7" applyFont="1" applyFill="1" applyBorder="1" applyAlignment="1" applyProtection="1">
      <alignment horizontal="center" vertical="center" wrapText="1"/>
      <protection locked="0"/>
    </xf>
    <xf numFmtId="4" fontId="40" fillId="0" borderId="1" xfId="7" applyNumberFormat="1" applyFont="1" applyFill="1" applyBorder="1" applyAlignment="1">
      <alignment horizontal="center" vertical="center"/>
    </xf>
    <xf numFmtId="167" fontId="44" fillId="0" borderId="1" xfId="7" applyNumberFormat="1" applyFont="1" applyFill="1" applyBorder="1" applyAlignment="1" applyProtection="1">
      <alignment vertical="center"/>
      <protection locked="0"/>
    </xf>
    <xf numFmtId="167" fontId="40" fillId="0" borderId="1" xfId="7" applyNumberFormat="1" applyFont="1" applyFill="1" applyBorder="1" applyAlignment="1" applyProtection="1">
      <alignment vertical="center"/>
      <protection locked="0"/>
    </xf>
    <xf numFmtId="167" fontId="40" fillId="0" borderId="1" xfId="7" applyNumberFormat="1" applyFont="1" applyFill="1" applyBorder="1" applyAlignment="1">
      <alignment horizontal="center" vertical="center" wrapText="1"/>
    </xf>
    <xf numFmtId="0" fontId="38" fillId="0" borderId="1" xfId="6" applyFont="1" applyFill="1" applyBorder="1" applyAlignment="1">
      <alignment horizontal="center" vertical="center" wrapText="1"/>
    </xf>
    <xf numFmtId="0" fontId="39" fillId="0" borderId="1" xfId="6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53" fillId="0" borderId="1" xfId="0" applyFont="1" applyBorder="1" applyAlignment="1">
      <alignment vertical="top" wrapText="1"/>
    </xf>
    <xf numFmtId="0" fontId="39" fillId="0" borderId="1" xfId="6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5" fillId="0" borderId="1" xfId="0" applyFont="1" applyBorder="1"/>
    <xf numFmtId="49" fontId="54" fillId="2" borderId="1" xfId="2" applyNumberFormat="1" applyFont="1" applyFill="1" applyBorder="1" applyAlignment="1">
      <alignment horizontal="right" vertical="center"/>
    </xf>
    <xf numFmtId="2" fontId="13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/>
    <xf numFmtId="0" fontId="55" fillId="0" borderId="0" xfId="0" applyFont="1"/>
    <xf numFmtId="0" fontId="55" fillId="0" borderId="0" xfId="0" applyFont="1" applyAlignment="1">
      <alignment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35">
    <cellStyle name="Excel Built-in Normal" xfId="34" xr:uid="{8880D765-F331-4277-9A76-59E821B2BF10}"/>
    <cellStyle name="Обычный" xfId="0" builtinId="0"/>
    <cellStyle name="Обычный 10" xfId="11" xr:uid="{E108F065-DD92-406A-A86F-44DCC4346D43}"/>
    <cellStyle name="Обычный 10 2" xfId="9" xr:uid="{B7A5425A-36DA-4444-9568-0C4D8348E520}"/>
    <cellStyle name="Обычный 10 2 2" xfId="12" xr:uid="{7147861B-6D62-4DBB-A1B8-35D42BE0AD04}"/>
    <cellStyle name="Обычный 10 2 3" xfId="13" xr:uid="{63687036-0482-4EB4-950B-406A3B1990F9}"/>
    <cellStyle name="Обычный 11" xfId="14" xr:uid="{4F8C1495-BE97-448D-B8C1-160C01746947}"/>
    <cellStyle name="Обычный 12" xfId="15" xr:uid="{A5197B63-E913-4302-87BE-311F2067CCFD}"/>
    <cellStyle name="Обычный 13" xfId="6" xr:uid="{B03275A3-4677-4E14-B9AC-B314C88EC523}"/>
    <cellStyle name="Обычный 2" xfId="16" xr:uid="{DF848570-0FD5-46B3-A174-5A5A6F2D2424}"/>
    <cellStyle name="Обычный 2 2" xfId="17" xr:uid="{45353C14-0415-4AA0-AFA4-324F8B0F1F3D}"/>
    <cellStyle name="Обычный 2 2 2" xfId="18" xr:uid="{FC3B4E94-E81C-414E-9C80-87B183A5866A}"/>
    <cellStyle name="Обычный 2 2 2 2" xfId="19" xr:uid="{CA3D5AAC-ACDE-40CF-A22B-88890EE0A1A6}"/>
    <cellStyle name="Обычный 2 2 2 2 2" xfId="20" xr:uid="{64B9C930-897E-40CE-8B74-DEC7F9799AB4}"/>
    <cellStyle name="Обычный 2 2 3" xfId="21" xr:uid="{6D5543C7-8326-4971-9DAF-976859452F4A}"/>
    <cellStyle name="Обычный 2 3" xfId="22" xr:uid="{46A9ACA9-082A-4E34-92A6-1A65B6EB9FFC}"/>
    <cellStyle name="Обычный 3" xfId="8" xr:uid="{A1F4117C-ADDC-46F0-9879-573C358D084C}"/>
    <cellStyle name="Обычный 3 2" xfId="23" xr:uid="{D0080419-37ED-4557-AE80-406FE7D20CBC}"/>
    <cellStyle name="Обычный 3 2 2" xfId="24" xr:uid="{6AFF2CC8-2180-4C45-A36D-BF00F6B50CFB}"/>
    <cellStyle name="Обычный 4" xfId="10" xr:uid="{703AED96-9AE9-41B4-82D2-0B21A618F71B}"/>
    <cellStyle name="Обычный 4 2" xfId="25" xr:uid="{A3C04A9A-166E-4CC6-B482-89A2E3D63D9D}"/>
    <cellStyle name="Обычный 5" xfId="2" xr:uid="{CFA11F31-9863-4846-B323-F28E860585A8}"/>
    <cellStyle name="Обычный 5 2" xfId="27" xr:uid="{ED710B82-1C34-405F-81D8-C99EEAA9B42B}"/>
    <cellStyle name="Обычный 5 3" xfId="26" xr:uid="{520A09B5-304E-49D1-9EDE-1C56F6FA623B}"/>
    <cellStyle name="Обычный 6" xfId="28" xr:uid="{24077116-E125-4D67-9883-6D8960429B27}"/>
    <cellStyle name="Обычный 7" xfId="29" xr:uid="{96F3E9ED-3C11-4726-BBC3-E6D375CF0E20}"/>
    <cellStyle name="Обычный 7 2" xfId="30" xr:uid="{8A806883-428A-4E3F-B10B-E6B876B698EB}"/>
    <cellStyle name="Обычный 8" xfId="31" xr:uid="{48E478DB-2F11-4118-86A4-8AE0D6A877B2}"/>
    <cellStyle name="Обычный 9" xfId="5" xr:uid="{3C001D71-E5F9-4FAE-89FA-3B990DF94B6D}"/>
    <cellStyle name="Обычный 9 2" xfId="32" xr:uid="{7DE7000E-14DC-40F1-9890-3325A03D0672}"/>
    <cellStyle name="Финансовый" xfId="1" builtinId="3"/>
    <cellStyle name="Финансовый 2" xfId="3" xr:uid="{E275E2D4-3075-41C3-BAD3-1DF0623EC975}"/>
    <cellStyle name="Финансовый 2 2" xfId="33" xr:uid="{C82ACB3C-6BF4-43BB-A05B-B910082ECA82}"/>
    <cellStyle name="Финансовый 3" xfId="7" xr:uid="{2375D748-4F47-413C-BDBA-3436979389E6}"/>
    <cellStyle name="Финансовый 4" xfId="4" xr:uid="{85E8654E-A45D-419C-BFB0-8FB22D274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9EFF-8703-497E-A276-0CFE30439FBE}">
  <dimension ref="A1:K152"/>
  <sheetViews>
    <sheetView tabSelected="1" zoomScale="85" zoomScaleNormal="85" workbookViewId="0">
      <selection activeCell="B119" sqref="B119"/>
    </sheetView>
  </sheetViews>
  <sheetFormatPr defaultRowHeight="15" x14ac:dyDescent="0.25"/>
  <cols>
    <col min="1" max="1" width="7.7109375" customWidth="1"/>
    <col min="2" max="2" width="49.28515625" style="6" customWidth="1"/>
    <col min="3" max="3" width="5.7109375" customWidth="1"/>
    <col min="4" max="4" width="6.7109375" customWidth="1"/>
    <col min="5" max="5" width="10.7109375" customWidth="1"/>
    <col min="6" max="6" width="12.7109375" customWidth="1"/>
    <col min="7" max="7" width="11.85546875" bestFit="1" customWidth="1"/>
    <col min="8" max="8" width="11" bestFit="1" customWidth="1"/>
    <col min="9" max="9" width="14" bestFit="1" customWidth="1"/>
    <col min="10" max="10" width="13.28515625" customWidth="1"/>
  </cols>
  <sheetData>
    <row r="1" spans="1:11" ht="17.45" customHeight="1" x14ac:dyDescent="0.25">
      <c r="A1" s="137"/>
      <c r="B1" s="151" t="s">
        <v>145</v>
      </c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8.15" customHeight="1" x14ac:dyDescent="0.25">
      <c r="A2" s="151" t="s">
        <v>172</v>
      </c>
      <c r="B2" s="151"/>
      <c r="C2" s="151"/>
      <c r="D2" s="151"/>
      <c r="E2" s="151"/>
      <c r="F2" s="151"/>
      <c r="G2" s="151"/>
      <c r="H2" s="151"/>
      <c r="I2" s="151"/>
      <c r="J2" s="151"/>
      <c r="K2" s="137"/>
    </row>
    <row r="3" spans="1:11" ht="24" customHeight="1" x14ac:dyDescent="0.25">
      <c r="A3" s="152" t="s">
        <v>176</v>
      </c>
      <c r="B3" s="152"/>
      <c r="C3" s="152"/>
      <c r="D3" s="152"/>
      <c r="E3" s="152"/>
      <c r="F3" s="152"/>
      <c r="G3" s="152"/>
      <c r="H3" s="152"/>
      <c r="I3" s="152"/>
      <c r="J3" s="152"/>
      <c r="K3" s="137"/>
    </row>
    <row r="4" spans="1:11" x14ac:dyDescent="0.25">
      <c r="A4" s="13"/>
      <c r="B4" s="45"/>
      <c r="C4" s="13"/>
      <c r="D4" s="13"/>
      <c r="E4" s="13"/>
      <c r="F4" s="13"/>
      <c r="G4" s="13"/>
      <c r="H4" s="13"/>
      <c r="I4" s="13"/>
      <c r="J4" s="13"/>
    </row>
    <row r="5" spans="1:11" x14ac:dyDescent="0.25">
      <c r="A5" s="150" t="s">
        <v>2</v>
      </c>
      <c r="B5" s="150" t="s">
        <v>3</v>
      </c>
      <c r="C5" s="150" t="s">
        <v>4</v>
      </c>
      <c r="D5" s="150" t="s">
        <v>5</v>
      </c>
      <c r="E5" s="150" t="s">
        <v>6</v>
      </c>
      <c r="F5" s="150" t="s">
        <v>7</v>
      </c>
      <c r="G5" s="150"/>
      <c r="H5" s="150" t="s">
        <v>8</v>
      </c>
      <c r="I5" s="150"/>
      <c r="J5" s="150" t="s">
        <v>9</v>
      </c>
    </row>
    <row r="6" spans="1:11" ht="38.25" x14ac:dyDescent="0.25">
      <c r="A6" s="150"/>
      <c r="B6" s="150"/>
      <c r="C6" s="150"/>
      <c r="D6" s="150"/>
      <c r="E6" s="150"/>
      <c r="F6" s="60" t="s">
        <v>10</v>
      </c>
      <c r="G6" s="60" t="s">
        <v>11</v>
      </c>
      <c r="H6" s="60" t="s">
        <v>10</v>
      </c>
      <c r="I6" s="60" t="s">
        <v>12</v>
      </c>
      <c r="J6" s="150"/>
    </row>
    <row r="7" spans="1:11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spans="1:11" ht="21" x14ac:dyDescent="0.35">
      <c r="A8" s="14" t="s">
        <v>122</v>
      </c>
      <c r="B8" s="46"/>
      <c r="C8" s="14"/>
      <c r="D8" s="14"/>
      <c r="E8" s="14"/>
      <c r="F8" s="14"/>
      <c r="G8" s="1"/>
      <c r="H8" s="1"/>
      <c r="I8" s="1"/>
      <c r="J8" s="1"/>
    </row>
    <row r="9" spans="1:11" x14ac:dyDescent="0.25">
      <c r="A9" s="1"/>
      <c r="B9" s="138" t="s">
        <v>70</v>
      </c>
      <c r="C9" s="1"/>
      <c r="D9" s="1"/>
      <c r="E9" s="1"/>
      <c r="F9" s="1"/>
      <c r="G9" s="1"/>
      <c r="H9" s="1"/>
      <c r="I9" s="1"/>
      <c r="J9" s="1"/>
    </row>
    <row r="10" spans="1:11" x14ac:dyDescent="0.25">
      <c r="A10" s="41">
        <v>1</v>
      </c>
      <c r="B10" s="8" t="s">
        <v>68</v>
      </c>
      <c r="C10" s="10" t="s">
        <v>0</v>
      </c>
      <c r="D10" s="1"/>
      <c r="E10" s="11">
        <v>76.239999999999995</v>
      </c>
      <c r="F10" s="11"/>
      <c r="G10" s="11"/>
      <c r="H10" s="11">
        <v>0</v>
      </c>
      <c r="I10" s="11">
        <f>E10*H10</f>
        <v>0</v>
      </c>
      <c r="J10" s="11">
        <f>G10+I10</f>
        <v>0</v>
      </c>
    </row>
    <row r="11" spans="1:11" x14ac:dyDescent="0.25">
      <c r="A11" s="41"/>
      <c r="B11" s="7" t="s">
        <v>20</v>
      </c>
      <c r="C11" s="3" t="s">
        <v>0</v>
      </c>
      <c r="D11" s="1">
        <v>1.02</v>
      </c>
      <c r="E11" s="57">
        <f>E10*D11</f>
        <v>77.764799999999994</v>
      </c>
      <c r="F11" s="55">
        <v>0</v>
      </c>
      <c r="G11" s="40">
        <f t="shared" ref="G11" si="0">E11*F11</f>
        <v>0</v>
      </c>
      <c r="H11" s="55"/>
      <c r="I11" s="55"/>
      <c r="J11" s="40">
        <f t="shared" ref="J11" si="1">G11+I11</f>
        <v>0</v>
      </c>
    </row>
    <row r="12" spans="1:11" x14ac:dyDescent="0.25">
      <c r="A12" s="41"/>
      <c r="B12" s="7" t="s">
        <v>21</v>
      </c>
      <c r="C12" s="3" t="s">
        <v>23</v>
      </c>
      <c r="D12" s="1">
        <v>1.0149999999999999</v>
      </c>
      <c r="E12" s="55">
        <f>(6283.3)/1000*D12</f>
        <v>6.3775494999999998</v>
      </c>
      <c r="F12" s="55">
        <v>0</v>
      </c>
      <c r="G12" s="40">
        <f t="shared" ref="G12" si="2">E12*F12</f>
        <v>0</v>
      </c>
      <c r="H12" s="55"/>
      <c r="I12" s="55"/>
      <c r="J12" s="40">
        <f t="shared" ref="J12" si="3">G12+I12</f>
        <v>0</v>
      </c>
    </row>
    <row r="13" spans="1:11" x14ac:dyDescent="0.25">
      <c r="A13" s="41"/>
      <c r="B13" s="7" t="s">
        <v>22</v>
      </c>
      <c r="C13" s="3" t="s">
        <v>23</v>
      </c>
      <c r="D13" s="1">
        <v>1.0149999999999999</v>
      </c>
      <c r="E13" s="57">
        <f>(759.5)/1000*D13</f>
        <v>0.77089249999999987</v>
      </c>
      <c r="F13" s="55">
        <v>0</v>
      </c>
      <c r="G13" s="40">
        <f t="shared" ref="G13:G14" si="4">E13*F13</f>
        <v>0</v>
      </c>
      <c r="H13" s="55"/>
      <c r="I13" s="55"/>
      <c r="J13" s="40">
        <f t="shared" ref="J13:J14" si="5">G13+I13</f>
        <v>0</v>
      </c>
    </row>
    <row r="14" spans="1:11" x14ac:dyDescent="0.25">
      <c r="A14" s="41"/>
      <c r="B14" s="7" t="s">
        <v>51</v>
      </c>
      <c r="C14" s="3" t="s">
        <v>23</v>
      </c>
      <c r="D14" s="1">
        <v>1.0149999999999999</v>
      </c>
      <c r="E14" s="57">
        <f>(199.18)/1000*D14</f>
        <v>0.20216769999999998</v>
      </c>
      <c r="F14" s="55">
        <v>0</v>
      </c>
      <c r="G14" s="40">
        <f t="shared" si="4"/>
        <v>0</v>
      </c>
      <c r="H14" s="55"/>
      <c r="I14" s="55"/>
      <c r="J14" s="40">
        <f t="shared" si="5"/>
        <v>0</v>
      </c>
    </row>
    <row r="15" spans="1:11" x14ac:dyDescent="0.25">
      <c r="A15" s="44"/>
      <c r="C15" s="5"/>
      <c r="D15" s="67"/>
      <c r="E15" s="53"/>
      <c r="F15" s="16"/>
      <c r="G15" s="67"/>
      <c r="H15" s="67"/>
      <c r="I15" s="67"/>
      <c r="J15" s="67"/>
    </row>
    <row r="16" spans="1:11" x14ac:dyDescent="0.25">
      <c r="A16" s="44"/>
      <c r="B16" s="138" t="s">
        <v>70</v>
      </c>
      <c r="C16" s="5"/>
      <c r="D16" s="67"/>
      <c r="E16" s="53"/>
      <c r="F16" s="16"/>
      <c r="G16" s="67"/>
      <c r="H16" s="67"/>
      <c r="I16" s="67"/>
      <c r="J16" s="67"/>
    </row>
    <row r="17" spans="1:10" ht="30" x14ac:dyDescent="0.25">
      <c r="A17" s="41">
        <v>2</v>
      </c>
      <c r="B17" s="8" t="s">
        <v>19</v>
      </c>
      <c r="C17" s="10" t="s">
        <v>0</v>
      </c>
      <c r="D17" s="1"/>
      <c r="E17" s="11">
        <f>0.45*4</f>
        <v>1.8</v>
      </c>
      <c r="F17" s="11"/>
      <c r="G17" s="11"/>
      <c r="H17" s="11">
        <v>0</v>
      </c>
      <c r="I17" s="11">
        <f>E17*H17</f>
        <v>0</v>
      </c>
      <c r="J17" s="11">
        <f>G17+I17</f>
        <v>0</v>
      </c>
    </row>
    <row r="18" spans="1:10" x14ac:dyDescent="0.25">
      <c r="A18" s="43"/>
      <c r="B18" s="9"/>
      <c r="C18" s="1"/>
      <c r="D18" s="1"/>
      <c r="E18" s="52"/>
      <c r="F18" s="16"/>
      <c r="G18" s="1"/>
      <c r="H18" s="1"/>
      <c r="I18" s="1"/>
      <c r="J18" s="1"/>
    </row>
    <row r="19" spans="1:10" x14ac:dyDescent="0.25">
      <c r="A19" s="42"/>
      <c r="B19" s="7" t="s">
        <v>20</v>
      </c>
      <c r="C19" s="3" t="s">
        <v>0</v>
      </c>
      <c r="D19" s="1">
        <v>1.02</v>
      </c>
      <c r="E19" s="51">
        <f>E17*D19</f>
        <v>1.8360000000000001</v>
      </c>
      <c r="F19" s="55">
        <v>0</v>
      </c>
      <c r="G19" s="40">
        <f t="shared" ref="G19:G23" si="6">E19*F19</f>
        <v>0</v>
      </c>
      <c r="H19" s="55"/>
      <c r="I19" s="55"/>
      <c r="J19" s="40">
        <f t="shared" ref="J19:J23" si="7">G19+I19</f>
        <v>0</v>
      </c>
    </row>
    <row r="20" spans="1:10" x14ac:dyDescent="0.25">
      <c r="A20" s="42"/>
      <c r="B20" s="7" t="s">
        <v>22</v>
      </c>
      <c r="C20" s="3" t="s">
        <v>23</v>
      </c>
      <c r="D20" s="1">
        <v>1.02</v>
      </c>
      <c r="E20" s="57">
        <f>75.72*4/1000*D20</f>
        <v>0.30893759999999998</v>
      </c>
      <c r="F20" s="55">
        <v>0</v>
      </c>
      <c r="G20" s="40">
        <f t="shared" si="6"/>
        <v>0</v>
      </c>
      <c r="H20" s="55"/>
      <c r="I20" s="55"/>
      <c r="J20" s="40">
        <f t="shared" si="7"/>
        <v>0</v>
      </c>
    </row>
    <row r="21" spans="1:10" x14ac:dyDescent="0.25">
      <c r="A21" s="42"/>
      <c r="B21" s="7" t="s">
        <v>21</v>
      </c>
      <c r="C21" s="3" t="s">
        <v>23</v>
      </c>
      <c r="D21" s="1">
        <v>1.02</v>
      </c>
      <c r="E21" s="57">
        <f>1.06*4/1000*D21</f>
        <v>4.3248000000000002E-3</v>
      </c>
      <c r="F21" s="55">
        <v>0</v>
      </c>
      <c r="G21" s="40">
        <f t="shared" si="6"/>
        <v>0</v>
      </c>
      <c r="H21" s="55"/>
      <c r="I21" s="55"/>
      <c r="J21" s="40">
        <f t="shared" si="7"/>
        <v>0</v>
      </c>
    </row>
    <row r="22" spans="1:10" x14ac:dyDescent="0.25">
      <c r="A22" s="42"/>
      <c r="B22" s="7" t="s">
        <v>24</v>
      </c>
      <c r="C22" s="3" t="s">
        <v>23</v>
      </c>
      <c r="D22" s="1">
        <v>1.02</v>
      </c>
      <c r="E22" s="57">
        <f>9.52*4/1000*D22</f>
        <v>3.8841599999999997E-2</v>
      </c>
      <c r="F22" s="55">
        <v>0</v>
      </c>
      <c r="G22" s="40">
        <f t="shared" si="6"/>
        <v>0</v>
      </c>
      <c r="H22" s="55"/>
      <c r="I22" s="55"/>
      <c r="J22" s="40">
        <f t="shared" si="7"/>
        <v>0</v>
      </c>
    </row>
    <row r="23" spans="1:10" x14ac:dyDescent="0.25">
      <c r="A23" s="42"/>
      <c r="B23" s="7" t="s">
        <v>25</v>
      </c>
      <c r="C23" s="3" t="s">
        <v>1</v>
      </c>
      <c r="D23" s="1"/>
      <c r="E23" s="51">
        <f>SUM(E20:E22)*7</f>
        <v>2.464728</v>
      </c>
      <c r="F23" s="55">
        <v>0</v>
      </c>
      <c r="G23" s="40">
        <f t="shared" si="6"/>
        <v>0</v>
      </c>
      <c r="H23" s="55"/>
      <c r="I23" s="55"/>
      <c r="J23" s="40">
        <f t="shared" si="7"/>
        <v>0</v>
      </c>
    </row>
    <row r="24" spans="1:10" x14ac:dyDescent="0.25">
      <c r="A24" s="44"/>
      <c r="B24" s="4"/>
      <c r="C24" s="5"/>
      <c r="D24" s="1"/>
      <c r="E24" s="53"/>
      <c r="F24" s="16"/>
      <c r="G24" s="1"/>
      <c r="H24" s="1"/>
      <c r="I24" s="1"/>
      <c r="J24" s="1"/>
    </row>
    <row r="25" spans="1:10" ht="30" x14ac:dyDescent="0.25">
      <c r="A25" s="41">
        <v>3</v>
      </c>
      <c r="B25" s="8" t="s">
        <v>27</v>
      </c>
      <c r="C25" s="10" t="s">
        <v>0</v>
      </c>
      <c r="D25" s="1"/>
      <c r="E25" s="11">
        <f>8.6+6.32+2+2.2+4.4+8.17+1.63+4.5</f>
        <v>37.820000000000007</v>
      </c>
      <c r="F25" s="11"/>
      <c r="G25" s="11"/>
      <c r="H25" s="11">
        <v>0</v>
      </c>
      <c r="I25" s="11">
        <f>E25*H25</f>
        <v>0</v>
      </c>
      <c r="J25" s="11">
        <f>G25+I25</f>
        <v>0</v>
      </c>
    </row>
    <row r="26" spans="1:10" ht="15.75" x14ac:dyDescent="0.25">
      <c r="A26" s="41"/>
      <c r="B26" s="7"/>
      <c r="C26" s="10"/>
      <c r="D26" s="1"/>
      <c r="E26" s="11"/>
      <c r="F26" s="15"/>
      <c r="G26" s="1"/>
      <c r="H26" s="39"/>
      <c r="I26" s="39"/>
      <c r="J26" s="39"/>
    </row>
    <row r="27" spans="1:10" x14ac:dyDescent="0.25">
      <c r="A27" s="41"/>
      <c r="B27" s="7" t="s">
        <v>20</v>
      </c>
      <c r="C27" s="3" t="s">
        <v>0</v>
      </c>
      <c r="D27" s="1">
        <v>1.02</v>
      </c>
      <c r="E27" s="55">
        <f>E25*D27</f>
        <v>38.576400000000007</v>
      </c>
      <c r="F27" s="55">
        <v>0</v>
      </c>
      <c r="G27" s="40">
        <f t="shared" ref="G27:G32" si="8">E27*F27</f>
        <v>0</v>
      </c>
      <c r="H27" s="55"/>
      <c r="I27" s="55"/>
      <c r="J27" s="40">
        <f t="shared" ref="J27:J32" si="9">G27+I27</f>
        <v>0</v>
      </c>
    </row>
    <row r="28" spans="1:10" x14ac:dyDescent="0.25">
      <c r="A28" s="41"/>
      <c r="B28" s="7" t="s">
        <v>22</v>
      </c>
      <c r="C28" s="3" t="s">
        <v>23</v>
      </c>
      <c r="D28" s="1">
        <v>1.02</v>
      </c>
      <c r="E28" s="57">
        <f>(164+76.56+98.52+62.8)/1000*D28</f>
        <v>0.40991760000000005</v>
      </c>
      <c r="F28" s="55">
        <v>0</v>
      </c>
      <c r="G28" s="40">
        <f t="shared" si="8"/>
        <v>0</v>
      </c>
      <c r="H28" s="55"/>
      <c r="I28" s="55"/>
      <c r="J28" s="40">
        <f t="shared" si="9"/>
        <v>0</v>
      </c>
    </row>
    <row r="29" spans="1:10" x14ac:dyDescent="0.25">
      <c r="A29" s="41"/>
      <c r="B29" s="7" t="s">
        <v>26</v>
      </c>
      <c r="C29" s="3" t="s">
        <v>23</v>
      </c>
      <c r="D29" s="1">
        <v>1.02</v>
      </c>
      <c r="E29" s="57">
        <f>(28.4+28.4)/1000*D29</f>
        <v>5.7935999999999994E-2</v>
      </c>
      <c r="F29" s="55">
        <v>0</v>
      </c>
      <c r="G29" s="40">
        <f t="shared" si="8"/>
        <v>0</v>
      </c>
      <c r="H29" s="55"/>
      <c r="I29" s="55"/>
      <c r="J29" s="40">
        <f t="shared" si="9"/>
        <v>0</v>
      </c>
    </row>
    <row r="30" spans="1:10" x14ac:dyDescent="0.25">
      <c r="A30" s="41"/>
      <c r="B30" s="7" t="s">
        <v>28</v>
      </c>
      <c r="C30" s="3" t="s">
        <v>23</v>
      </c>
      <c r="D30" s="1">
        <v>1.02</v>
      </c>
      <c r="E30" s="57">
        <f>(309.34+260.31+93.39+132.59+210.28+338.46+70.84+236.15)/1000*D30</f>
        <v>1.6843872</v>
      </c>
      <c r="F30" s="55">
        <v>0</v>
      </c>
      <c r="G30" s="40">
        <f t="shared" si="8"/>
        <v>0</v>
      </c>
      <c r="H30" s="55"/>
      <c r="I30" s="55"/>
      <c r="J30" s="40">
        <f t="shared" si="9"/>
        <v>0</v>
      </c>
    </row>
    <row r="31" spans="1:10" x14ac:dyDescent="0.25">
      <c r="A31" s="41"/>
      <c r="B31" s="7" t="s">
        <v>24</v>
      </c>
      <c r="C31" s="3" t="s">
        <v>23</v>
      </c>
      <c r="D31" s="1">
        <v>1.02</v>
      </c>
      <c r="E31" s="57">
        <f>(29.26+23.1+7.7+9.24+11.34+32.34+4.2+16.1)/1000*D31</f>
        <v>0.1359456</v>
      </c>
      <c r="F31" s="55">
        <v>0</v>
      </c>
      <c r="G31" s="40">
        <f t="shared" si="8"/>
        <v>0</v>
      </c>
      <c r="H31" s="55"/>
      <c r="I31" s="55"/>
      <c r="J31" s="40">
        <f t="shared" si="9"/>
        <v>0</v>
      </c>
    </row>
    <row r="32" spans="1:10" x14ac:dyDescent="0.25">
      <c r="A32" s="41"/>
      <c r="B32" s="7" t="s">
        <v>25</v>
      </c>
      <c r="C32" s="3" t="s">
        <v>1</v>
      </c>
      <c r="D32" s="1"/>
      <c r="E32" s="51">
        <f>SUM(E28:E31)*7</f>
        <v>16.017304799999998</v>
      </c>
      <c r="F32" s="55">
        <v>0</v>
      </c>
      <c r="G32" s="40">
        <f t="shared" si="8"/>
        <v>0</v>
      </c>
      <c r="H32" s="55"/>
      <c r="I32" s="55"/>
      <c r="J32" s="40">
        <f t="shared" si="9"/>
        <v>0</v>
      </c>
    </row>
    <row r="33" spans="1:10" x14ac:dyDescent="0.25">
      <c r="A33" s="44"/>
      <c r="C33" s="5"/>
      <c r="D33" s="67"/>
      <c r="E33" s="53"/>
      <c r="F33" s="16"/>
      <c r="G33" s="67"/>
      <c r="H33" s="67"/>
      <c r="I33" s="67"/>
      <c r="J33" s="67"/>
    </row>
    <row r="34" spans="1:10" ht="30" x14ac:dyDescent="0.25">
      <c r="A34" s="41">
        <v>4</v>
      </c>
      <c r="B34" s="8" t="s">
        <v>69</v>
      </c>
      <c r="C34" s="10" t="s">
        <v>0</v>
      </c>
      <c r="D34" s="1"/>
      <c r="E34" s="11">
        <v>11.48</v>
      </c>
      <c r="F34" s="11"/>
      <c r="G34" s="11"/>
      <c r="H34" s="11">
        <v>0</v>
      </c>
      <c r="I34" s="11">
        <f>E34*H34</f>
        <v>0</v>
      </c>
      <c r="J34" s="11">
        <f>G34+I34</f>
        <v>0</v>
      </c>
    </row>
    <row r="35" spans="1:10" x14ac:dyDescent="0.25">
      <c r="A35" s="66"/>
      <c r="B35" s="68"/>
      <c r="C35" s="69"/>
      <c r="D35" s="67"/>
      <c r="E35" s="57"/>
      <c r="F35" s="70"/>
      <c r="G35" s="70"/>
      <c r="H35" s="70"/>
      <c r="I35" s="70"/>
      <c r="J35" s="70"/>
    </row>
    <row r="36" spans="1:10" x14ac:dyDescent="0.25">
      <c r="A36" s="66"/>
      <c r="B36" s="68" t="s">
        <v>20</v>
      </c>
      <c r="C36" s="69" t="s">
        <v>0</v>
      </c>
      <c r="D36" s="67">
        <v>1.02</v>
      </c>
      <c r="E36" s="51">
        <f>E34*D36</f>
        <v>11.7096</v>
      </c>
      <c r="F36" s="55">
        <v>0</v>
      </c>
      <c r="G36" s="40">
        <f t="shared" ref="G36:G38" si="10">E36*F36</f>
        <v>0</v>
      </c>
      <c r="H36" s="55"/>
      <c r="I36" s="55"/>
      <c r="J36" s="40">
        <f t="shared" ref="J36:J38" si="11">G36+I36</f>
        <v>0</v>
      </c>
    </row>
    <row r="37" spans="1:10" x14ac:dyDescent="0.25">
      <c r="A37" s="66"/>
      <c r="B37" s="68" t="s">
        <v>21</v>
      </c>
      <c r="C37" s="69" t="s">
        <v>23</v>
      </c>
      <c r="D37" s="67">
        <v>1.0149999999999999</v>
      </c>
      <c r="E37" s="57">
        <f>(1601)/1000*D37</f>
        <v>1.6250149999999999</v>
      </c>
      <c r="F37" s="55">
        <v>0</v>
      </c>
      <c r="G37" s="40">
        <f t="shared" si="10"/>
        <v>0</v>
      </c>
      <c r="H37" s="55"/>
      <c r="I37" s="55"/>
      <c r="J37" s="40">
        <f t="shared" si="11"/>
        <v>0</v>
      </c>
    </row>
    <row r="38" spans="1:10" x14ac:dyDescent="0.25">
      <c r="A38" s="66"/>
      <c r="B38" s="68" t="s">
        <v>58</v>
      </c>
      <c r="C38" s="69" t="s">
        <v>23</v>
      </c>
      <c r="D38" s="67">
        <v>1.0149999999999999</v>
      </c>
      <c r="E38" s="57">
        <f>(38)/1000*D38</f>
        <v>3.8569999999999993E-2</v>
      </c>
      <c r="F38" s="55">
        <v>0</v>
      </c>
      <c r="G38" s="40">
        <f t="shared" si="10"/>
        <v>0</v>
      </c>
      <c r="H38" s="55"/>
      <c r="I38" s="55"/>
      <c r="J38" s="40">
        <f t="shared" si="11"/>
        <v>0</v>
      </c>
    </row>
    <row r="39" spans="1:10" x14ac:dyDescent="0.25">
      <c r="A39" s="44"/>
      <c r="B39" s="4"/>
      <c r="C39" s="5"/>
      <c r="D39" s="1"/>
      <c r="E39" s="53"/>
      <c r="F39" s="16"/>
      <c r="G39" s="1"/>
      <c r="H39" s="1"/>
      <c r="I39" s="1"/>
      <c r="J39" s="1"/>
    </row>
    <row r="40" spans="1:10" x14ac:dyDescent="0.25">
      <c r="A40" s="44"/>
      <c r="B40" s="6" t="s">
        <v>74</v>
      </c>
      <c r="C40" s="5"/>
      <c r="D40" s="67"/>
      <c r="E40" s="53"/>
      <c r="F40" s="16"/>
      <c r="G40" s="67"/>
      <c r="H40" s="67"/>
      <c r="I40" s="67"/>
      <c r="J40" s="67"/>
    </row>
    <row r="41" spans="1:10" x14ac:dyDescent="0.25">
      <c r="A41" s="41">
        <f>A34+1</f>
        <v>5</v>
      </c>
      <c r="B41" s="8" t="s">
        <v>71</v>
      </c>
      <c r="C41" s="10" t="s">
        <v>0</v>
      </c>
      <c r="D41" s="1"/>
      <c r="E41" s="11">
        <v>5</v>
      </c>
      <c r="F41" s="11"/>
      <c r="G41" s="11"/>
      <c r="H41" s="11">
        <v>0</v>
      </c>
      <c r="I41" s="11">
        <f>E41*H41</f>
        <v>0</v>
      </c>
      <c r="J41" s="11">
        <f>G41+I41</f>
        <v>0</v>
      </c>
    </row>
    <row r="42" spans="1:10" x14ac:dyDescent="0.25">
      <c r="A42" s="66"/>
      <c r="B42" s="68" t="s">
        <v>20</v>
      </c>
      <c r="C42" s="69" t="s">
        <v>0</v>
      </c>
      <c r="D42" s="67">
        <v>1.02</v>
      </c>
      <c r="E42" s="51">
        <f>E41*D42</f>
        <v>5.0999999999999996</v>
      </c>
      <c r="F42" s="55">
        <v>0</v>
      </c>
      <c r="G42" s="40">
        <f t="shared" ref="G42:G45" si="12">E42*F42</f>
        <v>0</v>
      </c>
      <c r="H42" s="55"/>
      <c r="I42" s="55"/>
      <c r="J42" s="40">
        <f t="shared" ref="J42:J45" si="13">G42+I42</f>
        <v>0</v>
      </c>
    </row>
    <row r="43" spans="1:10" x14ac:dyDescent="0.25">
      <c r="A43" s="66"/>
      <c r="B43" s="68" t="s">
        <v>21</v>
      </c>
      <c r="C43" s="69" t="s">
        <v>23</v>
      </c>
      <c r="D43" s="67">
        <v>1.0149999999999999</v>
      </c>
      <c r="E43" s="57">
        <f>(472.2)/1000*D43</f>
        <v>0.47928299999999996</v>
      </c>
      <c r="F43" s="55">
        <v>0</v>
      </c>
      <c r="G43" s="40">
        <f t="shared" si="12"/>
        <v>0</v>
      </c>
      <c r="H43" s="55"/>
      <c r="I43" s="55"/>
      <c r="J43" s="40">
        <f t="shared" si="13"/>
        <v>0</v>
      </c>
    </row>
    <row r="44" spans="1:10" x14ac:dyDescent="0.25">
      <c r="A44" s="66"/>
      <c r="B44" s="68" t="s">
        <v>28</v>
      </c>
      <c r="C44" s="69" t="s">
        <v>23</v>
      </c>
      <c r="D44" s="67">
        <v>1.0149999999999999</v>
      </c>
      <c r="E44" s="57">
        <f>(3.48)/1000*D44</f>
        <v>3.5321999999999997E-3</v>
      </c>
      <c r="F44" s="55">
        <v>0</v>
      </c>
      <c r="G44" s="40">
        <f t="shared" si="12"/>
        <v>0</v>
      </c>
      <c r="H44" s="55"/>
      <c r="I44" s="55"/>
      <c r="J44" s="40">
        <f t="shared" si="13"/>
        <v>0</v>
      </c>
    </row>
    <row r="45" spans="1:10" x14ac:dyDescent="0.25">
      <c r="A45" s="66"/>
      <c r="B45" s="68" t="s">
        <v>58</v>
      </c>
      <c r="C45" s="69" t="s">
        <v>23</v>
      </c>
      <c r="D45" s="67">
        <v>1.0149999999999999</v>
      </c>
      <c r="E45" s="57">
        <f>(9.2)/1000*D45</f>
        <v>9.3379999999999991E-3</v>
      </c>
      <c r="F45" s="55">
        <v>0</v>
      </c>
      <c r="G45" s="40">
        <f t="shared" si="12"/>
        <v>0</v>
      </c>
      <c r="H45" s="55"/>
      <c r="I45" s="55"/>
      <c r="J45" s="40">
        <f t="shared" si="13"/>
        <v>0</v>
      </c>
    </row>
    <row r="46" spans="1:10" x14ac:dyDescent="0.25">
      <c r="A46" s="66"/>
      <c r="B46" s="68"/>
      <c r="C46" s="69"/>
      <c r="D46" s="67"/>
      <c r="E46" s="57"/>
      <c r="F46" s="70"/>
      <c r="G46" s="70"/>
      <c r="H46" s="70"/>
      <c r="I46" s="70"/>
      <c r="J46" s="70"/>
    </row>
    <row r="47" spans="1:10" ht="30" x14ac:dyDescent="0.25">
      <c r="A47" s="41">
        <v>6</v>
      </c>
      <c r="B47" s="85" t="s">
        <v>81</v>
      </c>
      <c r="C47" s="10" t="s">
        <v>1</v>
      </c>
      <c r="D47" s="1"/>
      <c r="E47" s="11">
        <v>230.94</v>
      </c>
      <c r="F47" s="11"/>
      <c r="G47" s="11"/>
      <c r="H47" s="11">
        <v>0</v>
      </c>
      <c r="I47" s="11">
        <f>E47*H47</f>
        <v>0</v>
      </c>
      <c r="J47" s="11">
        <f>G47+I47</f>
        <v>0</v>
      </c>
    </row>
    <row r="48" spans="1:10" x14ac:dyDescent="0.25">
      <c r="A48" s="44"/>
      <c r="B48" s="71" t="s">
        <v>22</v>
      </c>
      <c r="C48" s="72" t="s">
        <v>23</v>
      </c>
      <c r="D48" s="73">
        <v>1.0149999999999999</v>
      </c>
      <c r="E48" s="74">
        <f>(8.7)/1000*D48</f>
        <v>8.8304999999999981E-3</v>
      </c>
      <c r="F48" s="55">
        <v>0</v>
      </c>
      <c r="G48" s="40">
        <f t="shared" ref="G48:G50" si="14">E48*F48</f>
        <v>0</v>
      </c>
      <c r="H48" s="55"/>
      <c r="I48" s="55"/>
      <c r="J48" s="40">
        <f t="shared" ref="J48:J50" si="15">G48+I48</f>
        <v>0</v>
      </c>
    </row>
    <row r="49" spans="1:10" x14ac:dyDescent="0.25">
      <c r="A49" s="44"/>
      <c r="B49" s="71" t="s">
        <v>72</v>
      </c>
      <c r="C49" s="72" t="s">
        <v>23</v>
      </c>
      <c r="D49" s="73">
        <v>1.04</v>
      </c>
      <c r="E49" s="74">
        <f>(6.4)/1000*D49</f>
        <v>6.6560000000000005E-3</v>
      </c>
      <c r="F49" s="55">
        <v>0</v>
      </c>
      <c r="G49" s="40">
        <f t="shared" si="14"/>
        <v>0</v>
      </c>
      <c r="H49" s="55"/>
      <c r="I49" s="55"/>
      <c r="J49" s="40">
        <f t="shared" si="15"/>
        <v>0</v>
      </c>
    </row>
    <row r="50" spans="1:10" x14ac:dyDescent="0.25">
      <c r="A50" s="44"/>
      <c r="B50" s="71" t="s">
        <v>73</v>
      </c>
      <c r="C50" s="72" t="s">
        <v>23</v>
      </c>
      <c r="D50" s="73">
        <v>1.04</v>
      </c>
      <c r="E50" s="74">
        <f>(215.9)/1000*D50</f>
        <v>0.22453600000000001</v>
      </c>
      <c r="F50" s="55">
        <v>0</v>
      </c>
      <c r="G50" s="40">
        <f t="shared" si="14"/>
        <v>0</v>
      </c>
      <c r="H50" s="55"/>
      <c r="I50" s="55"/>
      <c r="J50" s="40">
        <f t="shared" si="15"/>
        <v>0</v>
      </c>
    </row>
    <row r="51" spans="1:10" x14ac:dyDescent="0.25">
      <c r="A51" s="44"/>
      <c r="B51" s="68"/>
      <c r="C51" s="69"/>
      <c r="D51" s="67"/>
      <c r="E51" s="57"/>
      <c r="F51" s="70"/>
      <c r="G51" s="70"/>
      <c r="H51" s="70"/>
      <c r="I51" s="70"/>
      <c r="J51" s="70"/>
    </row>
    <row r="52" spans="1:10" x14ac:dyDescent="0.25">
      <c r="A52" s="1"/>
      <c r="B52" s="138" t="s">
        <v>77</v>
      </c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41">
        <v>7</v>
      </c>
      <c r="B53" s="8" t="s">
        <v>75</v>
      </c>
      <c r="C53" s="10" t="s">
        <v>0</v>
      </c>
      <c r="D53" s="1"/>
      <c r="E53" s="11">
        <v>20.7</v>
      </c>
      <c r="F53" s="11"/>
      <c r="G53" s="11"/>
      <c r="H53" s="11">
        <v>0</v>
      </c>
      <c r="I53" s="11">
        <f>E53*H53</f>
        <v>0</v>
      </c>
      <c r="J53" s="11">
        <f>G53+I53</f>
        <v>0</v>
      </c>
    </row>
    <row r="54" spans="1:10" x14ac:dyDescent="0.25">
      <c r="A54" s="66"/>
      <c r="B54" s="68" t="s">
        <v>20</v>
      </c>
      <c r="C54" s="69" t="s">
        <v>0</v>
      </c>
      <c r="D54" s="67">
        <v>1.02</v>
      </c>
      <c r="E54" s="51">
        <f>E53*D54</f>
        <v>21.114000000000001</v>
      </c>
      <c r="F54" s="55">
        <v>0</v>
      </c>
      <c r="G54" s="40">
        <f t="shared" ref="G54:G56" si="16">E54*F54</f>
        <v>0</v>
      </c>
      <c r="H54" s="55"/>
      <c r="I54" s="55"/>
      <c r="J54" s="40">
        <f t="shared" ref="J54:J56" si="17">G54+I54</f>
        <v>0</v>
      </c>
    </row>
    <row r="55" spans="1:10" x14ac:dyDescent="0.25">
      <c r="A55" s="66"/>
      <c r="B55" s="68" t="s">
        <v>21</v>
      </c>
      <c r="C55" s="69" t="s">
        <v>23</v>
      </c>
      <c r="D55" s="67">
        <v>1.0149999999999999</v>
      </c>
      <c r="E55" s="57">
        <f>(1922)/1000*D55</f>
        <v>1.9508299999999998</v>
      </c>
      <c r="F55" s="55">
        <v>0</v>
      </c>
      <c r="G55" s="40">
        <f t="shared" si="16"/>
        <v>0</v>
      </c>
      <c r="H55" s="55"/>
      <c r="I55" s="55"/>
      <c r="J55" s="40">
        <f t="shared" si="17"/>
        <v>0</v>
      </c>
    </row>
    <row r="56" spans="1:10" x14ac:dyDescent="0.25">
      <c r="A56" s="66"/>
      <c r="B56" s="68" t="s">
        <v>22</v>
      </c>
      <c r="C56" s="69" t="s">
        <v>23</v>
      </c>
      <c r="D56" s="67">
        <v>1.0149999999999999</v>
      </c>
      <c r="E56" s="57">
        <f>(342)/1000*D56</f>
        <v>0.34712999999999999</v>
      </c>
      <c r="F56" s="55">
        <v>0</v>
      </c>
      <c r="G56" s="40">
        <f t="shared" si="16"/>
        <v>0</v>
      </c>
      <c r="H56" s="55"/>
      <c r="I56" s="55"/>
      <c r="J56" s="40">
        <f t="shared" si="17"/>
        <v>0</v>
      </c>
    </row>
    <row r="57" spans="1:10" x14ac:dyDescent="0.25">
      <c r="A57" s="66"/>
      <c r="B57" s="68"/>
      <c r="C57" s="69"/>
      <c r="D57" s="67"/>
      <c r="E57" s="57"/>
      <c r="F57" s="70"/>
      <c r="G57" s="70"/>
      <c r="H57" s="70"/>
      <c r="I57" s="70"/>
      <c r="J57" s="70"/>
    </row>
    <row r="58" spans="1:10" x14ac:dyDescent="0.25">
      <c r="A58" s="44"/>
      <c r="B58" s="138" t="s">
        <v>77</v>
      </c>
      <c r="C58" s="5"/>
      <c r="D58" s="67"/>
      <c r="E58" s="53"/>
      <c r="F58" s="16"/>
      <c r="G58" s="67"/>
      <c r="H58" s="67"/>
      <c r="I58" s="67"/>
      <c r="J58" s="67"/>
    </row>
    <row r="59" spans="1:10" ht="30" x14ac:dyDescent="0.25">
      <c r="A59" s="41">
        <f>A53+1</f>
        <v>8</v>
      </c>
      <c r="B59" s="8" t="s">
        <v>76</v>
      </c>
      <c r="C59" s="10" t="s">
        <v>0</v>
      </c>
      <c r="D59" s="1"/>
      <c r="E59" s="11">
        <v>7</v>
      </c>
      <c r="F59" s="11"/>
      <c r="G59" s="11"/>
      <c r="H59" s="11">
        <v>0</v>
      </c>
      <c r="I59" s="11">
        <f>E59*H59</f>
        <v>0</v>
      </c>
      <c r="J59" s="11">
        <f>G59+I59</f>
        <v>0</v>
      </c>
    </row>
    <row r="60" spans="1:10" x14ac:dyDescent="0.25">
      <c r="A60" s="66"/>
      <c r="B60" s="68"/>
      <c r="C60" s="69"/>
      <c r="D60" s="67"/>
      <c r="E60" s="57"/>
      <c r="F60" s="70"/>
      <c r="G60" s="70"/>
      <c r="H60" s="70"/>
      <c r="I60" s="70"/>
      <c r="J60" s="70"/>
    </row>
    <row r="61" spans="1:10" x14ac:dyDescent="0.25">
      <c r="A61" s="66"/>
      <c r="B61" s="68" t="s">
        <v>20</v>
      </c>
      <c r="C61" s="69" t="s">
        <v>0</v>
      </c>
      <c r="D61" s="67">
        <v>1.02</v>
      </c>
      <c r="E61" s="51">
        <f>E59*D61</f>
        <v>7.1400000000000006</v>
      </c>
      <c r="F61" s="55">
        <v>0</v>
      </c>
      <c r="G61" s="40">
        <f t="shared" ref="G61:G63" si="18">E61*F61</f>
        <v>0</v>
      </c>
      <c r="H61" s="55"/>
      <c r="I61" s="55"/>
      <c r="J61" s="40">
        <f t="shared" ref="J61:J63" si="19">G61+I61</f>
        <v>0</v>
      </c>
    </row>
    <row r="62" spans="1:10" x14ac:dyDescent="0.25">
      <c r="A62" s="66"/>
      <c r="B62" s="68" t="s">
        <v>21</v>
      </c>
      <c r="C62" s="69" t="s">
        <v>23</v>
      </c>
      <c r="D62" s="67">
        <v>1.0149999999999999</v>
      </c>
      <c r="E62" s="57">
        <f>(987)/1000*D62</f>
        <v>1.0018049999999998</v>
      </c>
      <c r="F62" s="55">
        <v>0</v>
      </c>
      <c r="G62" s="40">
        <f t="shared" si="18"/>
        <v>0</v>
      </c>
      <c r="H62" s="55"/>
      <c r="I62" s="55"/>
      <c r="J62" s="40">
        <f t="shared" si="19"/>
        <v>0</v>
      </c>
    </row>
    <row r="63" spans="1:10" x14ac:dyDescent="0.25">
      <c r="A63" s="66"/>
      <c r="B63" s="68" t="s">
        <v>58</v>
      </c>
      <c r="C63" s="69" t="s">
        <v>23</v>
      </c>
      <c r="D63" s="67">
        <v>1.0149999999999999</v>
      </c>
      <c r="E63" s="57">
        <f>(24)/1000*D63</f>
        <v>2.436E-2</v>
      </c>
      <c r="F63" s="55">
        <v>0</v>
      </c>
      <c r="G63" s="40">
        <f t="shared" si="18"/>
        <v>0</v>
      </c>
      <c r="H63" s="55"/>
      <c r="I63" s="55"/>
      <c r="J63" s="40">
        <f t="shared" si="19"/>
        <v>0</v>
      </c>
    </row>
    <row r="64" spans="1:10" x14ac:dyDescent="0.25">
      <c r="A64" s="44"/>
      <c r="B64" s="4"/>
      <c r="C64" s="5"/>
      <c r="D64" s="1"/>
      <c r="E64" s="53"/>
      <c r="F64" s="16"/>
      <c r="G64" s="1"/>
      <c r="H64" s="1"/>
      <c r="I64" s="1"/>
      <c r="J64" s="1"/>
    </row>
    <row r="65" spans="1:10" x14ac:dyDescent="0.25">
      <c r="A65" s="44"/>
      <c r="B65" s="138" t="s">
        <v>79</v>
      </c>
      <c r="C65" s="5"/>
      <c r="D65" s="67"/>
      <c r="E65" s="53"/>
      <c r="F65" s="16"/>
      <c r="G65" s="67"/>
      <c r="H65" s="67"/>
      <c r="I65" s="67"/>
      <c r="J65" s="67"/>
    </row>
    <row r="66" spans="1:10" x14ac:dyDescent="0.25">
      <c r="A66" s="41">
        <f>A59+1</f>
        <v>9</v>
      </c>
      <c r="B66" s="8" t="s">
        <v>78</v>
      </c>
      <c r="C66" s="10" t="s">
        <v>0</v>
      </c>
      <c r="D66" s="1"/>
      <c r="E66" s="11">
        <v>12.6</v>
      </c>
      <c r="F66" s="11"/>
      <c r="G66" s="11"/>
      <c r="H66" s="11">
        <v>0</v>
      </c>
      <c r="I66" s="11">
        <f>E66*H66</f>
        <v>0</v>
      </c>
      <c r="J66" s="11">
        <f>G66+I66</f>
        <v>0</v>
      </c>
    </row>
    <row r="67" spans="1:10" x14ac:dyDescent="0.25">
      <c r="A67" s="66"/>
      <c r="B67" s="68" t="s">
        <v>20</v>
      </c>
      <c r="C67" s="69" t="s">
        <v>0</v>
      </c>
      <c r="D67" s="67">
        <v>1.02</v>
      </c>
      <c r="E67" s="51">
        <f>E66*D67</f>
        <v>12.852</v>
      </c>
      <c r="F67" s="55">
        <v>0</v>
      </c>
      <c r="G67" s="40">
        <f t="shared" ref="G67:G69" si="20">E67*F67</f>
        <v>0</v>
      </c>
      <c r="H67" s="55"/>
      <c r="I67" s="55"/>
      <c r="J67" s="40">
        <f t="shared" ref="J67:J69" si="21">G67+I67</f>
        <v>0</v>
      </c>
    </row>
    <row r="68" spans="1:10" x14ac:dyDescent="0.25">
      <c r="A68" s="66"/>
      <c r="B68" s="68" t="s">
        <v>21</v>
      </c>
      <c r="C68" s="69" t="s">
        <v>23</v>
      </c>
      <c r="D68" s="67">
        <v>1.0149999999999999</v>
      </c>
      <c r="E68" s="57">
        <f>(60)/1000*D68</f>
        <v>6.0899999999999989E-2</v>
      </c>
      <c r="F68" s="55">
        <v>0</v>
      </c>
      <c r="G68" s="40">
        <f t="shared" si="20"/>
        <v>0</v>
      </c>
      <c r="H68" s="55"/>
      <c r="I68" s="55"/>
      <c r="J68" s="40">
        <f t="shared" si="21"/>
        <v>0</v>
      </c>
    </row>
    <row r="69" spans="1:10" x14ac:dyDescent="0.25">
      <c r="A69" s="66"/>
      <c r="B69" s="68" t="s">
        <v>22</v>
      </c>
      <c r="C69" s="69" t="s">
        <v>23</v>
      </c>
      <c r="D69" s="67">
        <v>1.0149999999999999</v>
      </c>
      <c r="E69" s="57">
        <f>(2818)/1000*D69</f>
        <v>2.8602699999999999</v>
      </c>
      <c r="F69" s="55">
        <v>0</v>
      </c>
      <c r="G69" s="40">
        <f t="shared" si="20"/>
        <v>0</v>
      </c>
      <c r="H69" s="55"/>
      <c r="I69" s="55"/>
      <c r="J69" s="40">
        <f t="shared" si="21"/>
        <v>0</v>
      </c>
    </row>
    <row r="70" spans="1:10" x14ac:dyDescent="0.25">
      <c r="A70" s="66"/>
      <c r="B70" s="68"/>
      <c r="C70" s="69"/>
      <c r="D70" s="67"/>
      <c r="E70" s="57"/>
      <c r="F70" s="70"/>
      <c r="G70" s="70"/>
      <c r="H70" s="70"/>
      <c r="I70" s="70"/>
      <c r="J70" s="70"/>
    </row>
    <row r="71" spans="1:10" ht="30" x14ac:dyDescent="0.25">
      <c r="A71" s="41">
        <f>A66+1</f>
        <v>10</v>
      </c>
      <c r="B71" s="85" t="s">
        <v>82</v>
      </c>
      <c r="C71" s="10" t="s">
        <v>83</v>
      </c>
      <c r="D71" s="1"/>
      <c r="E71" s="11">
        <f>(46.6+42+4*12.9+16*0.3+16*0.9+32*0.05+4*0.6)/1000</f>
        <v>0.16340000000000002</v>
      </c>
      <c r="F71" s="11"/>
      <c r="G71" s="11"/>
      <c r="H71" s="11">
        <v>0</v>
      </c>
      <c r="I71" s="11">
        <f>E71*H71</f>
        <v>0</v>
      </c>
      <c r="J71" s="11">
        <f>G71+I71</f>
        <v>0</v>
      </c>
    </row>
    <row r="72" spans="1:10" x14ac:dyDescent="0.25">
      <c r="A72" s="44"/>
      <c r="B72" s="71" t="s">
        <v>84</v>
      </c>
      <c r="C72" s="72" t="s">
        <v>23</v>
      </c>
      <c r="D72" s="73">
        <v>1.04</v>
      </c>
      <c r="E72" s="74">
        <f>(46.6+42)/1000</f>
        <v>8.8599999999999998E-2</v>
      </c>
      <c r="F72" s="55">
        <v>0</v>
      </c>
      <c r="G72" s="40">
        <f t="shared" ref="G72:G77" si="22">E72*F72</f>
        <v>0</v>
      </c>
      <c r="H72" s="55"/>
      <c r="I72" s="55"/>
      <c r="J72" s="40">
        <f t="shared" ref="J72:J77" si="23">G72+I72</f>
        <v>0</v>
      </c>
    </row>
    <row r="73" spans="1:10" x14ac:dyDescent="0.25">
      <c r="A73" s="44"/>
      <c r="B73" s="71" t="s">
        <v>85</v>
      </c>
      <c r="C73" s="72" t="s">
        <v>23</v>
      </c>
      <c r="D73" s="73">
        <v>1.04</v>
      </c>
      <c r="E73" s="74">
        <f>(4*12.9)/1000</f>
        <v>5.16E-2</v>
      </c>
      <c r="F73" s="55">
        <v>0</v>
      </c>
      <c r="G73" s="40">
        <f t="shared" si="22"/>
        <v>0</v>
      </c>
      <c r="H73" s="55"/>
      <c r="I73" s="55"/>
      <c r="J73" s="40">
        <f t="shared" si="23"/>
        <v>0</v>
      </c>
    </row>
    <row r="74" spans="1:10" x14ac:dyDescent="0.25">
      <c r="A74" s="44"/>
      <c r="B74" s="71" t="s">
        <v>86</v>
      </c>
      <c r="C74" s="72" t="s">
        <v>23</v>
      </c>
      <c r="D74" s="73">
        <v>1.04</v>
      </c>
      <c r="E74" s="74">
        <f>(16*0.3)/1000</f>
        <v>4.7999999999999996E-3</v>
      </c>
      <c r="F74" s="55">
        <v>0</v>
      </c>
      <c r="G74" s="40">
        <f t="shared" si="22"/>
        <v>0</v>
      </c>
      <c r="H74" s="55"/>
      <c r="I74" s="55"/>
      <c r="J74" s="40">
        <f t="shared" si="23"/>
        <v>0</v>
      </c>
    </row>
    <row r="75" spans="1:10" x14ac:dyDescent="0.25">
      <c r="A75" s="44"/>
      <c r="B75" s="68" t="s">
        <v>87</v>
      </c>
      <c r="C75" s="69" t="s">
        <v>23</v>
      </c>
      <c r="D75" s="67">
        <v>1.0149999999999999</v>
      </c>
      <c r="E75" s="57">
        <f>(16*0.9)/1000*D75</f>
        <v>1.4615999999999999E-2</v>
      </c>
      <c r="F75" s="55">
        <v>0</v>
      </c>
      <c r="G75" s="40">
        <f t="shared" si="22"/>
        <v>0</v>
      </c>
      <c r="H75" s="55"/>
      <c r="I75" s="55"/>
      <c r="J75" s="40">
        <f t="shared" si="23"/>
        <v>0</v>
      </c>
    </row>
    <row r="76" spans="1:10" x14ac:dyDescent="0.25">
      <c r="A76" s="44"/>
      <c r="B76" s="71" t="s">
        <v>88</v>
      </c>
      <c r="C76" s="69" t="s">
        <v>23</v>
      </c>
      <c r="D76" s="67">
        <v>1.0149999999999999</v>
      </c>
      <c r="E76" s="57">
        <f>(4*0.6)/1000*D76</f>
        <v>2.4359999999999994E-3</v>
      </c>
      <c r="F76" s="55">
        <v>0</v>
      </c>
      <c r="G76" s="40">
        <f t="shared" si="22"/>
        <v>0</v>
      </c>
      <c r="H76" s="55"/>
      <c r="I76" s="55"/>
      <c r="J76" s="40">
        <f t="shared" si="23"/>
        <v>0</v>
      </c>
    </row>
    <row r="77" spans="1:10" x14ac:dyDescent="0.25">
      <c r="A77" s="44"/>
      <c r="B77" s="71" t="s">
        <v>89</v>
      </c>
      <c r="C77" s="69" t="s">
        <v>90</v>
      </c>
      <c r="D77" s="67"/>
      <c r="E77" s="57">
        <v>32</v>
      </c>
      <c r="F77" s="55">
        <v>0</v>
      </c>
      <c r="G77" s="40">
        <f t="shared" si="22"/>
        <v>0</v>
      </c>
      <c r="H77" s="55"/>
      <c r="I77" s="55"/>
      <c r="J77" s="40">
        <f t="shared" si="23"/>
        <v>0</v>
      </c>
    </row>
    <row r="78" spans="1:10" x14ac:dyDescent="0.25">
      <c r="A78" s="44"/>
      <c r="B78" s="4"/>
      <c r="C78" s="5"/>
      <c r="D78" s="1"/>
      <c r="E78" s="53"/>
      <c r="F78" s="16"/>
      <c r="G78" s="1"/>
      <c r="H78" s="1"/>
      <c r="I78" s="1"/>
      <c r="J78" s="1"/>
    </row>
    <row r="79" spans="1:10" ht="30" x14ac:dyDescent="0.25">
      <c r="A79" s="41">
        <f>A71+1</f>
        <v>11</v>
      </c>
      <c r="B79" s="8" t="s">
        <v>80</v>
      </c>
      <c r="C79" s="10" t="s">
        <v>0</v>
      </c>
      <c r="D79" s="1"/>
      <c r="E79" s="11">
        <v>2.9</v>
      </c>
      <c r="F79" s="11"/>
      <c r="G79" s="11"/>
      <c r="H79" s="11">
        <v>0</v>
      </c>
      <c r="I79" s="11">
        <f>E79*H79</f>
        <v>0</v>
      </c>
      <c r="J79" s="11">
        <f>G79+I79</f>
        <v>0</v>
      </c>
    </row>
    <row r="80" spans="1:10" x14ac:dyDescent="0.25">
      <c r="A80" s="66"/>
      <c r="B80" s="68" t="s">
        <v>20</v>
      </c>
      <c r="C80" s="69" t="s">
        <v>0</v>
      </c>
      <c r="D80" s="67">
        <v>1.02</v>
      </c>
      <c r="E80" s="51">
        <f>E79*D80</f>
        <v>2.9579999999999997</v>
      </c>
      <c r="F80" s="55">
        <v>0</v>
      </c>
      <c r="G80" s="40">
        <f t="shared" ref="G80:G82" si="24">E80*F80</f>
        <v>0</v>
      </c>
      <c r="H80" s="55"/>
      <c r="I80" s="55"/>
      <c r="J80" s="40">
        <f t="shared" ref="J80:J82" si="25">G80+I80</f>
        <v>0</v>
      </c>
    </row>
    <row r="81" spans="1:10" x14ac:dyDescent="0.25">
      <c r="A81" s="66"/>
      <c r="B81" s="68" t="s">
        <v>21</v>
      </c>
      <c r="C81" s="69" t="s">
        <v>23</v>
      </c>
      <c r="D81" s="67">
        <v>1.0149999999999999</v>
      </c>
      <c r="E81" s="57">
        <f>(423)/1000*D81</f>
        <v>0.42934499999999992</v>
      </c>
      <c r="F81" s="55">
        <v>0</v>
      </c>
      <c r="G81" s="40">
        <f t="shared" si="24"/>
        <v>0</v>
      </c>
      <c r="H81" s="55"/>
      <c r="I81" s="55"/>
      <c r="J81" s="40">
        <f t="shared" si="25"/>
        <v>0</v>
      </c>
    </row>
    <row r="82" spans="1:10" x14ac:dyDescent="0.25">
      <c r="A82" s="66"/>
      <c r="B82" s="68" t="s">
        <v>58</v>
      </c>
      <c r="C82" s="69" t="s">
        <v>23</v>
      </c>
      <c r="D82" s="67">
        <v>1.0149999999999999</v>
      </c>
      <c r="E82" s="57">
        <f>(11.4)/1000*D82</f>
        <v>1.1571E-2</v>
      </c>
      <c r="F82" s="55">
        <v>0</v>
      </c>
      <c r="G82" s="40">
        <f t="shared" si="24"/>
        <v>0</v>
      </c>
      <c r="H82" s="55"/>
      <c r="I82" s="55"/>
      <c r="J82" s="40">
        <f t="shared" si="25"/>
        <v>0</v>
      </c>
    </row>
    <row r="83" spans="1:10" x14ac:dyDescent="0.25">
      <c r="A83" s="44"/>
      <c r="B83" s="4"/>
      <c r="C83" s="5"/>
      <c r="D83" s="1"/>
      <c r="E83" s="53"/>
      <c r="F83" s="16"/>
      <c r="G83" s="1"/>
      <c r="H83" s="1"/>
      <c r="I83" s="1"/>
      <c r="J83" s="1"/>
    </row>
    <row r="84" spans="1:10" ht="30" x14ac:dyDescent="0.25">
      <c r="A84" s="44"/>
      <c r="B84" s="138" t="s">
        <v>118</v>
      </c>
      <c r="C84" s="5" t="s">
        <v>0</v>
      </c>
      <c r="D84" s="1"/>
      <c r="E84" s="53">
        <v>3.1</v>
      </c>
      <c r="F84" s="16"/>
      <c r="G84" s="1"/>
      <c r="H84" s="1"/>
      <c r="I84" s="1"/>
      <c r="J84" s="1"/>
    </row>
    <row r="85" spans="1:10" x14ac:dyDescent="0.25">
      <c r="A85" s="1"/>
      <c r="B85" s="138" t="s">
        <v>117</v>
      </c>
      <c r="C85" s="79"/>
      <c r="D85" s="1"/>
      <c r="E85" s="80"/>
      <c r="F85" s="81"/>
      <c r="G85" s="82"/>
      <c r="H85" s="83"/>
      <c r="I85" s="83"/>
      <c r="J85" s="1"/>
    </row>
    <row r="86" spans="1:10" ht="45" x14ac:dyDescent="0.25">
      <c r="A86" s="41">
        <v>12</v>
      </c>
      <c r="B86" s="8" t="s">
        <v>119</v>
      </c>
      <c r="C86" s="10" t="s">
        <v>0</v>
      </c>
      <c r="D86" s="1"/>
      <c r="E86" s="11">
        <v>2.9</v>
      </c>
      <c r="F86" s="11"/>
      <c r="G86" s="11"/>
      <c r="H86" s="11">
        <v>0</v>
      </c>
      <c r="I86" s="11">
        <f>E86*H86</f>
        <v>0</v>
      </c>
      <c r="J86" s="11">
        <f>G86+I86</f>
        <v>0</v>
      </c>
    </row>
    <row r="87" spans="1:10" x14ac:dyDescent="0.25">
      <c r="A87" s="84"/>
      <c r="B87" s="68" t="s">
        <v>20</v>
      </c>
      <c r="C87" s="69" t="s">
        <v>0</v>
      </c>
      <c r="D87" s="67">
        <v>1.02</v>
      </c>
      <c r="E87" s="51">
        <f>E86*D87</f>
        <v>2.9579999999999997</v>
      </c>
      <c r="F87" s="55">
        <v>0</v>
      </c>
      <c r="G87" s="40">
        <f t="shared" ref="G87:G91" si="26">E87*F87</f>
        <v>0</v>
      </c>
      <c r="H87" s="55"/>
      <c r="I87" s="55"/>
      <c r="J87" s="40">
        <f t="shared" ref="J87:J91" si="27">G87+I87</f>
        <v>0</v>
      </c>
    </row>
    <row r="88" spans="1:10" x14ac:dyDescent="0.25">
      <c r="A88" s="84"/>
      <c r="B88" s="68" t="s">
        <v>58</v>
      </c>
      <c r="C88" s="77" t="s">
        <v>23</v>
      </c>
      <c r="D88" s="67">
        <v>1.0149999999999999</v>
      </c>
      <c r="E88" s="57">
        <f>(23.04)/1000*D88</f>
        <v>2.3385599999999996E-2</v>
      </c>
      <c r="F88" s="55">
        <v>0</v>
      </c>
      <c r="G88" s="40">
        <f t="shared" si="26"/>
        <v>0</v>
      </c>
      <c r="H88" s="55"/>
      <c r="I88" s="55"/>
      <c r="J88" s="40">
        <f t="shared" si="27"/>
        <v>0</v>
      </c>
    </row>
    <row r="89" spans="1:10" x14ac:dyDescent="0.25">
      <c r="A89" s="84"/>
      <c r="B89" s="68" t="s">
        <v>24</v>
      </c>
      <c r="C89" s="77" t="s">
        <v>23</v>
      </c>
      <c r="D89" s="67">
        <v>1.0149999999999999</v>
      </c>
      <c r="E89" s="57">
        <f>(8.65)/1000*D89</f>
        <v>8.7797499999999994E-3</v>
      </c>
      <c r="F89" s="55">
        <v>0</v>
      </c>
      <c r="G89" s="40">
        <f t="shared" si="26"/>
        <v>0</v>
      </c>
      <c r="H89" s="55"/>
      <c r="I89" s="55"/>
      <c r="J89" s="40">
        <f t="shared" si="27"/>
        <v>0</v>
      </c>
    </row>
    <row r="90" spans="1:10" x14ac:dyDescent="0.25">
      <c r="A90" s="84"/>
      <c r="B90" s="68" t="s">
        <v>26</v>
      </c>
      <c r="C90" s="77" t="s">
        <v>23</v>
      </c>
      <c r="D90" s="67">
        <v>1.0149999999999999</v>
      </c>
      <c r="E90" s="57">
        <f>(295)/1000*D90</f>
        <v>0.29942499999999994</v>
      </c>
      <c r="F90" s="55">
        <v>0</v>
      </c>
      <c r="G90" s="40">
        <f t="shared" si="26"/>
        <v>0</v>
      </c>
      <c r="H90" s="55"/>
      <c r="I90" s="55"/>
      <c r="J90" s="40">
        <f t="shared" si="27"/>
        <v>0</v>
      </c>
    </row>
    <row r="91" spans="1:10" x14ac:dyDescent="0.25">
      <c r="A91" s="1"/>
      <c r="B91" s="71" t="s">
        <v>120</v>
      </c>
      <c r="C91" s="69" t="s">
        <v>23</v>
      </c>
      <c r="D91" s="67">
        <v>1.04</v>
      </c>
      <c r="E91" s="57">
        <f>(1.9)/1000*D91</f>
        <v>1.9759999999999999E-3</v>
      </c>
      <c r="F91" s="55">
        <v>0</v>
      </c>
      <c r="G91" s="40">
        <f t="shared" si="26"/>
        <v>0</v>
      </c>
      <c r="H91" s="55"/>
      <c r="I91" s="55"/>
      <c r="J91" s="40">
        <f t="shared" si="27"/>
        <v>0</v>
      </c>
    </row>
    <row r="92" spans="1:10" x14ac:dyDescent="0.25">
      <c r="A92" s="1"/>
      <c r="B92" s="17"/>
      <c r="C92" s="1"/>
      <c r="D92" s="1"/>
      <c r="E92" s="1"/>
      <c r="F92" s="1"/>
      <c r="G92" s="1"/>
      <c r="H92" s="1"/>
      <c r="I92" s="1"/>
      <c r="J92" s="1"/>
    </row>
    <row r="93" spans="1:10" ht="30" x14ac:dyDescent="0.25">
      <c r="A93" s="41">
        <v>13</v>
      </c>
      <c r="B93" s="8" t="s">
        <v>102</v>
      </c>
      <c r="C93" s="10" t="s">
        <v>90</v>
      </c>
      <c r="D93" s="1"/>
      <c r="E93" s="11">
        <v>1</v>
      </c>
      <c r="F93" s="11"/>
      <c r="G93" s="11"/>
      <c r="H93" s="11">
        <v>0</v>
      </c>
      <c r="I93" s="11">
        <f t="shared" ref="I93:I96" si="28">E93*H93</f>
        <v>0</v>
      </c>
      <c r="J93" s="11">
        <f t="shared" ref="J93:J96" si="29">G93+I93</f>
        <v>0</v>
      </c>
    </row>
    <row r="94" spans="1:10" ht="30" x14ac:dyDescent="0.25">
      <c r="A94" s="41"/>
      <c r="B94" s="8" t="s">
        <v>103</v>
      </c>
      <c r="C94" s="10" t="s">
        <v>90</v>
      </c>
      <c r="D94" s="1"/>
      <c r="E94" s="11">
        <v>1</v>
      </c>
      <c r="F94" s="11"/>
      <c r="G94" s="11"/>
      <c r="H94" s="11">
        <v>0</v>
      </c>
      <c r="I94" s="11">
        <f t="shared" si="28"/>
        <v>0</v>
      </c>
      <c r="J94" s="11">
        <f t="shared" si="29"/>
        <v>0</v>
      </c>
    </row>
    <row r="95" spans="1:10" x14ac:dyDescent="0.25">
      <c r="A95" s="41">
        <v>14</v>
      </c>
      <c r="B95" s="8" t="s">
        <v>104</v>
      </c>
      <c r="C95" s="10" t="s">
        <v>90</v>
      </c>
      <c r="D95" s="1"/>
      <c r="E95" s="11">
        <v>1</v>
      </c>
      <c r="F95" s="11"/>
      <c r="G95" s="11"/>
      <c r="H95" s="11">
        <v>0</v>
      </c>
      <c r="I95" s="11">
        <f t="shared" si="28"/>
        <v>0</v>
      </c>
      <c r="J95" s="11">
        <f t="shared" si="29"/>
        <v>0</v>
      </c>
    </row>
    <row r="96" spans="1:10" x14ac:dyDescent="0.25">
      <c r="A96" s="41"/>
      <c r="B96" s="8" t="s">
        <v>105</v>
      </c>
      <c r="C96" s="10" t="s">
        <v>90</v>
      </c>
      <c r="D96" s="1"/>
      <c r="E96" s="11">
        <v>2</v>
      </c>
      <c r="F96" s="11"/>
      <c r="G96" s="11"/>
      <c r="H96" s="11">
        <v>0</v>
      </c>
      <c r="I96" s="11">
        <f t="shared" si="28"/>
        <v>0</v>
      </c>
      <c r="J96" s="11">
        <f t="shared" si="29"/>
        <v>0</v>
      </c>
    </row>
    <row r="97" spans="1:10" x14ac:dyDescent="0.25">
      <c r="A97" s="44"/>
      <c r="B97" s="71" t="s">
        <v>136</v>
      </c>
      <c r="C97" s="72" t="s">
        <v>90</v>
      </c>
      <c r="D97" s="73"/>
      <c r="E97" s="74">
        <f>E93</f>
        <v>1</v>
      </c>
      <c r="F97" s="55">
        <v>0</v>
      </c>
      <c r="G97" s="40">
        <f t="shared" ref="G97:G101" si="30">E97*F97</f>
        <v>0</v>
      </c>
      <c r="H97" s="55"/>
      <c r="I97" s="55"/>
      <c r="J97" s="40">
        <f t="shared" ref="J97:J101" si="31">G97+I97</f>
        <v>0</v>
      </c>
    </row>
    <row r="98" spans="1:10" x14ac:dyDescent="0.25">
      <c r="A98" s="44"/>
      <c r="B98" s="71" t="s">
        <v>137</v>
      </c>
      <c r="C98" s="72" t="s">
        <v>90</v>
      </c>
      <c r="D98" s="73"/>
      <c r="E98" s="74">
        <f>E94</f>
        <v>1</v>
      </c>
      <c r="F98" s="55">
        <v>0</v>
      </c>
      <c r="G98" s="40">
        <f t="shared" si="30"/>
        <v>0</v>
      </c>
      <c r="H98" s="55"/>
      <c r="I98" s="55"/>
      <c r="J98" s="40">
        <f t="shared" si="31"/>
        <v>0</v>
      </c>
    </row>
    <row r="99" spans="1:10" x14ac:dyDescent="0.25">
      <c r="A99" s="44"/>
      <c r="B99" s="71" t="s">
        <v>135</v>
      </c>
      <c r="C99" s="72" t="s">
        <v>90</v>
      </c>
      <c r="D99" s="73"/>
      <c r="E99" s="74">
        <f>E95</f>
        <v>1</v>
      </c>
      <c r="F99" s="55">
        <v>0</v>
      </c>
      <c r="G99" s="40">
        <f t="shared" si="30"/>
        <v>0</v>
      </c>
      <c r="H99" s="55"/>
      <c r="I99" s="55"/>
      <c r="J99" s="40">
        <f t="shared" si="31"/>
        <v>0</v>
      </c>
    </row>
    <row r="100" spans="1:10" x14ac:dyDescent="0.25">
      <c r="A100" s="44"/>
      <c r="B100" s="71" t="s">
        <v>143</v>
      </c>
      <c r="C100" s="72" t="s">
        <v>90</v>
      </c>
      <c r="D100" s="73"/>
      <c r="E100" s="74">
        <f>E96</f>
        <v>2</v>
      </c>
      <c r="F100" s="55">
        <v>0</v>
      </c>
      <c r="G100" s="40">
        <f t="shared" si="30"/>
        <v>0</v>
      </c>
      <c r="H100" s="55"/>
      <c r="I100" s="55"/>
      <c r="J100" s="40">
        <f t="shared" si="31"/>
        <v>0</v>
      </c>
    </row>
    <row r="101" spans="1:10" x14ac:dyDescent="0.25">
      <c r="A101" s="44"/>
      <c r="B101" s="71" t="s">
        <v>112</v>
      </c>
      <c r="C101" s="72" t="s">
        <v>0</v>
      </c>
      <c r="D101" s="73"/>
      <c r="E101" s="74">
        <f>(E95+E96)*0.0025</f>
        <v>7.4999999999999997E-3</v>
      </c>
      <c r="F101" s="55">
        <v>0</v>
      </c>
      <c r="G101" s="40">
        <f t="shared" si="30"/>
        <v>0</v>
      </c>
      <c r="H101" s="55"/>
      <c r="I101" s="55"/>
      <c r="J101" s="40">
        <f t="shared" si="31"/>
        <v>0</v>
      </c>
    </row>
    <row r="102" spans="1:10" x14ac:dyDescent="0.25">
      <c r="A102" s="41">
        <v>15</v>
      </c>
      <c r="B102" s="8" t="s">
        <v>121</v>
      </c>
      <c r="C102" s="10" t="s">
        <v>0</v>
      </c>
      <c r="D102" s="1"/>
      <c r="E102" s="11">
        <f>0.05*2</f>
        <v>0.1</v>
      </c>
      <c r="F102" s="11"/>
      <c r="G102" s="11"/>
      <c r="H102" s="11">
        <v>0</v>
      </c>
      <c r="I102" s="11">
        <f>E102*H102</f>
        <v>0</v>
      </c>
      <c r="J102" s="11">
        <f>G102+I102</f>
        <v>0</v>
      </c>
    </row>
    <row r="103" spans="1:10" x14ac:dyDescent="0.25">
      <c r="A103" s="44"/>
      <c r="B103" s="71" t="s">
        <v>113</v>
      </c>
      <c r="C103" s="72" t="s">
        <v>0</v>
      </c>
      <c r="D103" s="73"/>
      <c r="E103" s="74">
        <f>E102*1.02</f>
        <v>0.10200000000000001</v>
      </c>
      <c r="F103" s="55">
        <v>0</v>
      </c>
      <c r="G103" s="40">
        <f t="shared" ref="G103:G104" si="32">E103*F103</f>
        <v>0</v>
      </c>
      <c r="H103" s="55"/>
      <c r="I103" s="55"/>
      <c r="J103" s="40">
        <f t="shared" ref="J103:J104" si="33">G103+I103</f>
        <v>0</v>
      </c>
    </row>
    <row r="104" spans="1:10" x14ac:dyDescent="0.25">
      <c r="A104" s="44"/>
      <c r="B104" s="71" t="s">
        <v>114</v>
      </c>
      <c r="C104" s="72" t="s">
        <v>23</v>
      </c>
      <c r="D104" s="73"/>
      <c r="E104" s="74">
        <f>5.58*1.015/1000*2</f>
        <v>1.13274E-2</v>
      </c>
      <c r="F104" s="55">
        <v>0</v>
      </c>
      <c r="G104" s="40">
        <f t="shared" si="32"/>
        <v>0</v>
      </c>
      <c r="H104" s="55"/>
      <c r="I104" s="55"/>
      <c r="J104" s="40">
        <f t="shared" si="33"/>
        <v>0</v>
      </c>
    </row>
    <row r="105" spans="1:10" x14ac:dyDescent="0.25">
      <c r="A105" s="41">
        <v>16</v>
      </c>
      <c r="B105" s="8" t="s">
        <v>106</v>
      </c>
      <c r="C105" s="10" t="s">
        <v>0</v>
      </c>
      <c r="D105" s="1"/>
      <c r="E105" s="11">
        <v>0.49</v>
      </c>
      <c r="F105" s="11"/>
      <c r="G105" s="11"/>
      <c r="H105" s="11">
        <v>0</v>
      </c>
      <c r="I105" s="11">
        <f>E105*H105</f>
        <v>0</v>
      </c>
      <c r="J105" s="11">
        <f>G105+I105</f>
        <v>0</v>
      </c>
    </row>
    <row r="106" spans="1:10" x14ac:dyDescent="0.25">
      <c r="A106" s="44"/>
      <c r="B106" s="71" t="s">
        <v>132</v>
      </c>
      <c r="C106" s="72" t="s">
        <v>0</v>
      </c>
      <c r="D106" s="73"/>
      <c r="E106" s="74">
        <f>E105*1.02</f>
        <v>0.49980000000000002</v>
      </c>
      <c r="F106" s="55">
        <v>0</v>
      </c>
      <c r="G106" s="40">
        <f t="shared" ref="G106:G108" si="34">E106*F106</f>
        <v>0</v>
      </c>
      <c r="H106" s="55"/>
      <c r="I106" s="55"/>
      <c r="J106" s="40">
        <f t="shared" ref="J106:J108" si="35">G106+I106</f>
        <v>0</v>
      </c>
    </row>
    <row r="107" spans="1:10" x14ac:dyDescent="0.25">
      <c r="A107" s="44"/>
      <c r="B107" s="71" t="s">
        <v>116</v>
      </c>
      <c r="C107" s="72" t="s">
        <v>23</v>
      </c>
      <c r="D107" s="73"/>
      <c r="E107" s="74">
        <f>1.44*1.015/1000</f>
        <v>1.4615999999999997E-3</v>
      </c>
      <c r="F107" s="55">
        <v>0</v>
      </c>
      <c r="G107" s="40">
        <f t="shared" si="34"/>
        <v>0</v>
      </c>
      <c r="H107" s="55"/>
      <c r="I107" s="55"/>
      <c r="J107" s="40">
        <f t="shared" si="35"/>
        <v>0</v>
      </c>
    </row>
    <row r="108" spans="1:10" x14ac:dyDescent="0.25">
      <c r="A108" s="44"/>
      <c r="B108" s="71" t="s">
        <v>115</v>
      </c>
      <c r="C108" s="72" t="s">
        <v>23</v>
      </c>
      <c r="D108" s="73"/>
      <c r="E108" s="74">
        <f>36.36*1.015/1000</f>
        <v>3.6905399999999991E-2</v>
      </c>
      <c r="F108" s="55">
        <v>0</v>
      </c>
      <c r="G108" s="40">
        <f t="shared" si="34"/>
        <v>0</v>
      </c>
      <c r="H108" s="55"/>
      <c r="I108" s="55"/>
      <c r="J108" s="40">
        <f t="shared" si="35"/>
        <v>0</v>
      </c>
    </row>
    <row r="109" spans="1:10" x14ac:dyDescent="0.25">
      <c r="A109" s="41">
        <v>17</v>
      </c>
      <c r="B109" s="8" t="s">
        <v>107</v>
      </c>
      <c r="C109" s="10" t="s">
        <v>23</v>
      </c>
      <c r="D109" s="1"/>
      <c r="E109" s="11">
        <f>E110/1.015+E111/1.02</f>
        <v>2.0800000000000003E-3</v>
      </c>
      <c r="F109" s="11"/>
      <c r="G109" s="11"/>
      <c r="H109" s="11">
        <v>0</v>
      </c>
      <c r="I109" s="11">
        <f>E109*H109</f>
        <v>0</v>
      </c>
      <c r="J109" s="11">
        <f>G109+I109</f>
        <v>0</v>
      </c>
    </row>
    <row r="110" spans="1:10" x14ac:dyDescent="0.25">
      <c r="A110" s="44"/>
      <c r="B110" s="71" t="s">
        <v>140</v>
      </c>
      <c r="C110" s="72" t="s">
        <v>23</v>
      </c>
      <c r="D110" s="73"/>
      <c r="E110" s="74">
        <f>1.12*1.015/1000</f>
        <v>1.1368000000000001E-3</v>
      </c>
      <c r="F110" s="55">
        <v>0</v>
      </c>
      <c r="G110" s="40">
        <f t="shared" ref="G110:G111" si="36">E110*F110</f>
        <v>0</v>
      </c>
      <c r="H110" s="55"/>
      <c r="I110" s="55"/>
      <c r="J110" s="40">
        <f t="shared" ref="J110:J111" si="37">G110+I110</f>
        <v>0</v>
      </c>
    </row>
    <row r="111" spans="1:10" x14ac:dyDescent="0.25">
      <c r="A111" s="44"/>
      <c r="B111" s="71" t="s">
        <v>144</v>
      </c>
      <c r="C111" s="72" t="s">
        <v>23</v>
      </c>
      <c r="D111" s="73"/>
      <c r="E111" s="74">
        <f>0.96*1.02/1000</f>
        <v>9.7919999999999995E-4</v>
      </c>
      <c r="F111" s="55">
        <v>0</v>
      </c>
      <c r="G111" s="40">
        <f t="shared" si="36"/>
        <v>0</v>
      </c>
      <c r="H111" s="55"/>
      <c r="I111" s="55"/>
      <c r="J111" s="40">
        <f t="shared" si="37"/>
        <v>0</v>
      </c>
    </row>
    <row r="112" spans="1:10" ht="15.75" x14ac:dyDescent="0.25">
      <c r="A112" s="41"/>
      <c r="B112" s="8"/>
      <c r="C112" s="10"/>
      <c r="D112" s="1"/>
      <c r="E112" s="11"/>
      <c r="F112" s="15"/>
      <c r="G112" s="1"/>
      <c r="H112" s="39"/>
      <c r="I112" s="39"/>
      <c r="J112" s="39"/>
    </row>
    <row r="113" spans="1:11" ht="30" x14ac:dyDescent="0.25">
      <c r="B113" s="76" t="s">
        <v>129</v>
      </c>
      <c r="K113" s="64"/>
    </row>
    <row r="114" spans="1:11" ht="15.75" x14ac:dyDescent="0.25">
      <c r="A114" s="75"/>
      <c r="B114" s="76" t="s">
        <v>98</v>
      </c>
      <c r="C114" s="77"/>
      <c r="D114" s="78"/>
      <c r="E114" s="78"/>
      <c r="F114" s="62"/>
      <c r="G114" s="61"/>
      <c r="H114" s="63"/>
      <c r="I114" s="63"/>
      <c r="J114" s="63"/>
    </row>
    <row r="115" spans="1:11" ht="30" x14ac:dyDescent="0.25">
      <c r="A115" s="41">
        <v>18</v>
      </c>
      <c r="B115" s="8" t="s">
        <v>91</v>
      </c>
      <c r="C115" s="10" t="s">
        <v>90</v>
      </c>
      <c r="D115" s="1"/>
      <c r="E115" s="11">
        <v>8</v>
      </c>
      <c r="F115" s="11"/>
      <c r="G115" s="11"/>
      <c r="H115" s="11">
        <v>0</v>
      </c>
      <c r="I115" s="11">
        <f>E115*H115</f>
        <v>0</v>
      </c>
      <c r="J115" s="11">
        <f>G115+I115</f>
        <v>0</v>
      </c>
    </row>
    <row r="116" spans="1:11" x14ac:dyDescent="0.25">
      <c r="A116" s="44"/>
      <c r="B116" s="71" t="s">
        <v>92</v>
      </c>
      <c r="C116" s="72" t="s">
        <v>90</v>
      </c>
      <c r="D116" s="73"/>
      <c r="E116" s="74">
        <v>2</v>
      </c>
      <c r="F116" s="55">
        <v>0</v>
      </c>
      <c r="G116" s="40">
        <f t="shared" ref="G116:G118" si="38">E116*F116</f>
        <v>0</v>
      </c>
      <c r="H116" s="55"/>
      <c r="I116" s="55"/>
      <c r="J116" s="40">
        <f t="shared" ref="J116:J118" si="39">G116+I116</f>
        <v>0</v>
      </c>
    </row>
    <row r="117" spans="1:11" x14ac:dyDescent="0.25">
      <c r="A117" s="44"/>
      <c r="B117" s="71" t="s">
        <v>93</v>
      </c>
      <c r="C117" s="72" t="s">
        <v>90</v>
      </c>
      <c r="D117" s="73"/>
      <c r="E117" s="74">
        <v>6</v>
      </c>
      <c r="F117" s="55">
        <v>0</v>
      </c>
      <c r="G117" s="40">
        <f t="shared" si="38"/>
        <v>0</v>
      </c>
      <c r="H117" s="55"/>
      <c r="I117" s="55"/>
      <c r="J117" s="40">
        <f t="shared" si="39"/>
        <v>0</v>
      </c>
    </row>
    <row r="118" spans="1:11" x14ac:dyDescent="0.25">
      <c r="A118" s="44"/>
      <c r="B118" s="71" t="s">
        <v>112</v>
      </c>
      <c r="C118" s="72" t="s">
        <v>0</v>
      </c>
      <c r="D118" s="73"/>
      <c r="E118" s="74">
        <v>0.29279999999999995</v>
      </c>
      <c r="F118" s="55">
        <v>0</v>
      </c>
      <c r="G118" s="40">
        <f t="shared" si="38"/>
        <v>0</v>
      </c>
      <c r="H118" s="55"/>
      <c r="I118" s="55"/>
      <c r="J118" s="40">
        <f t="shared" si="39"/>
        <v>0</v>
      </c>
    </row>
    <row r="119" spans="1:11" ht="30" x14ac:dyDescent="0.25">
      <c r="A119" s="41">
        <v>19</v>
      </c>
      <c r="B119" s="8" t="s">
        <v>94</v>
      </c>
      <c r="C119" s="10" t="s">
        <v>23</v>
      </c>
      <c r="D119" s="1"/>
      <c r="E119" s="11">
        <v>6.6038399999999997E-2</v>
      </c>
      <c r="F119" s="11"/>
      <c r="G119" s="11"/>
      <c r="H119" s="11">
        <v>0</v>
      </c>
      <c r="I119" s="11">
        <f>E119*H119</f>
        <v>0</v>
      </c>
      <c r="J119" s="11">
        <f>G119+I119</f>
        <v>0</v>
      </c>
    </row>
    <row r="120" spans="1:11" x14ac:dyDescent="0.25">
      <c r="A120" s="44"/>
      <c r="B120" s="71" t="s">
        <v>133</v>
      </c>
      <c r="C120" s="72" t="s">
        <v>23</v>
      </c>
      <c r="D120" s="73"/>
      <c r="E120" s="74">
        <v>6.5345279999999992E-2</v>
      </c>
      <c r="F120" s="55">
        <v>0</v>
      </c>
      <c r="G120" s="40">
        <f t="shared" ref="G120:G122" si="40">E120*F120</f>
        <v>0</v>
      </c>
      <c r="H120" s="55"/>
      <c r="I120" s="55"/>
      <c r="J120" s="40">
        <f t="shared" ref="J120:J122" si="41">G120+I120</f>
        <v>0</v>
      </c>
    </row>
    <row r="121" spans="1:11" x14ac:dyDescent="0.25">
      <c r="A121" s="44"/>
      <c r="B121" s="71" t="s">
        <v>114</v>
      </c>
      <c r="C121" s="72" t="s">
        <v>23</v>
      </c>
      <c r="D121" s="73"/>
      <c r="E121" s="74">
        <v>2.0040159999999995E-3</v>
      </c>
      <c r="F121" s="55">
        <v>0</v>
      </c>
      <c r="G121" s="40">
        <f t="shared" si="40"/>
        <v>0</v>
      </c>
      <c r="H121" s="55"/>
      <c r="I121" s="55"/>
      <c r="J121" s="40">
        <f t="shared" si="41"/>
        <v>0</v>
      </c>
    </row>
    <row r="122" spans="1:11" x14ac:dyDescent="0.25">
      <c r="A122" s="44"/>
      <c r="B122" s="71" t="s">
        <v>95</v>
      </c>
      <c r="C122" s="72" t="s">
        <v>96</v>
      </c>
      <c r="D122" s="73"/>
      <c r="E122" s="74">
        <v>36.479999999999997</v>
      </c>
      <c r="F122" s="55">
        <v>0</v>
      </c>
      <c r="G122" s="40">
        <f t="shared" si="40"/>
        <v>0</v>
      </c>
      <c r="H122" s="55"/>
      <c r="I122" s="55"/>
      <c r="J122" s="40">
        <f t="shared" si="41"/>
        <v>0</v>
      </c>
    </row>
    <row r="123" spans="1:11" x14ac:dyDescent="0.25">
      <c r="A123" s="41">
        <v>20</v>
      </c>
      <c r="B123" s="8" t="s">
        <v>97</v>
      </c>
      <c r="C123" s="10" t="s">
        <v>90</v>
      </c>
      <c r="D123" s="1"/>
      <c r="E123" s="11">
        <v>8</v>
      </c>
      <c r="F123" s="11"/>
      <c r="G123" s="11"/>
      <c r="H123" s="11">
        <v>0</v>
      </c>
      <c r="I123" s="11">
        <f>E123*H123</f>
        <v>0</v>
      </c>
      <c r="J123" s="11">
        <f>I123</f>
        <v>0</v>
      </c>
    </row>
    <row r="124" spans="1:11" x14ac:dyDescent="0.25">
      <c r="A124" s="75"/>
      <c r="B124" s="76" t="s">
        <v>99</v>
      </c>
      <c r="C124" s="77"/>
      <c r="D124" s="78"/>
      <c r="E124" s="78"/>
      <c r="F124" s="65"/>
      <c r="G124" s="65"/>
      <c r="H124" s="65"/>
      <c r="I124" s="65"/>
      <c r="J124" s="65"/>
    </row>
    <row r="125" spans="1:11" ht="30" x14ac:dyDescent="0.25">
      <c r="A125" s="41">
        <v>21</v>
      </c>
      <c r="B125" s="8" t="s">
        <v>91</v>
      </c>
      <c r="C125" s="10" t="s">
        <v>90</v>
      </c>
      <c r="D125" s="1"/>
      <c r="E125" s="11">
        <v>8</v>
      </c>
      <c r="F125" s="11"/>
      <c r="G125" s="11"/>
      <c r="H125" s="11">
        <v>0</v>
      </c>
      <c r="I125" s="11">
        <f>E125*H125</f>
        <v>0</v>
      </c>
      <c r="J125" s="11">
        <f>G125+I125</f>
        <v>0</v>
      </c>
    </row>
    <row r="126" spans="1:11" x14ac:dyDescent="0.25">
      <c r="A126" s="44"/>
      <c r="B126" s="71" t="s">
        <v>92</v>
      </c>
      <c r="C126" s="72" t="s">
        <v>90</v>
      </c>
      <c r="D126" s="73"/>
      <c r="E126" s="74">
        <v>2</v>
      </c>
      <c r="F126" s="55">
        <v>0</v>
      </c>
      <c r="G126" s="40">
        <f t="shared" ref="G126:G128" si="42">E126*F126</f>
        <v>0</v>
      </c>
      <c r="H126" s="55"/>
      <c r="I126" s="55"/>
      <c r="J126" s="40">
        <f t="shared" ref="J126:J128" si="43">G126+I126</f>
        <v>0</v>
      </c>
    </row>
    <row r="127" spans="1:11" x14ac:dyDescent="0.25">
      <c r="A127" s="44"/>
      <c r="B127" s="71" t="s">
        <v>93</v>
      </c>
      <c r="C127" s="72" t="s">
        <v>90</v>
      </c>
      <c r="D127" s="73"/>
      <c r="E127" s="74">
        <v>6</v>
      </c>
      <c r="F127" s="55">
        <v>0</v>
      </c>
      <c r="G127" s="40">
        <f t="shared" si="42"/>
        <v>0</v>
      </c>
      <c r="H127" s="55"/>
      <c r="I127" s="55"/>
      <c r="J127" s="40">
        <f t="shared" si="43"/>
        <v>0</v>
      </c>
    </row>
    <row r="128" spans="1:11" x14ac:dyDescent="0.25">
      <c r="A128" s="44"/>
      <c r="B128" s="71" t="s">
        <v>112</v>
      </c>
      <c r="C128" s="72" t="s">
        <v>0</v>
      </c>
      <c r="D128" s="73"/>
      <c r="E128" s="74">
        <v>0.29279999999999995</v>
      </c>
      <c r="F128" s="55">
        <v>0</v>
      </c>
      <c r="G128" s="40">
        <f t="shared" si="42"/>
        <v>0</v>
      </c>
      <c r="H128" s="55"/>
      <c r="I128" s="55"/>
      <c r="J128" s="40">
        <f t="shared" si="43"/>
        <v>0</v>
      </c>
    </row>
    <row r="129" spans="1:10" ht="30" x14ac:dyDescent="0.25">
      <c r="A129" s="41">
        <v>22</v>
      </c>
      <c r="B129" s="8" t="s">
        <v>94</v>
      </c>
      <c r="C129" s="10" t="s">
        <v>23</v>
      </c>
      <c r="D129" s="1"/>
      <c r="E129" s="11">
        <v>6.6038399999999997E-2</v>
      </c>
      <c r="F129" s="11"/>
      <c r="G129" s="11"/>
      <c r="H129" s="11">
        <v>0</v>
      </c>
      <c r="I129" s="11">
        <f>E129*H129</f>
        <v>0</v>
      </c>
      <c r="J129" s="11">
        <f>G129+I129</f>
        <v>0</v>
      </c>
    </row>
    <row r="130" spans="1:10" x14ac:dyDescent="0.25">
      <c r="A130" s="44"/>
      <c r="B130" s="71" t="s">
        <v>133</v>
      </c>
      <c r="C130" s="72" t="s">
        <v>23</v>
      </c>
      <c r="D130" s="73"/>
      <c r="E130" s="74">
        <v>6.5345279999999992E-2</v>
      </c>
      <c r="F130" s="55">
        <v>0</v>
      </c>
      <c r="G130" s="40">
        <f t="shared" ref="G130:G132" si="44">E130*F130</f>
        <v>0</v>
      </c>
      <c r="H130" s="55"/>
      <c r="I130" s="55"/>
      <c r="J130" s="40">
        <f t="shared" ref="J130:J132" si="45">G130+I130</f>
        <v>0</v>
      </c>
    </row>
    <row r="131" spans="1:10" x14ac:dyDescent="0.25">
      <c r="A131" s="44"/>
      <c r="B131" s="71" t="s">
        <v>114</v>
      </c>
      <c r="C131" s="72" t="s">
        <v>23</v>
      </c>
      <c r="D131" s="73"/>
      <c r="E131" s="74">
        <v>2.0040159999999995E-3</v>
      </c>
      <c r="F131" s="55">
        <v>0</v>
      </c>
      <c r="G131" s="40">
        <f t="shared" si="44"/>
        <v>0</v>
      </c>
      <c r="H131" s="55"/>
      <c r="I131" s="55"/>
      <c r="J131" s="40">
        <f t="shared" si="45"/>
        <v>0</v>
      </c>
    </row>
    <row r="132" spans="1:10" x14ac:dyDescent="0.25">
      <c r="A132" s="44"/>
      <c r="B132" s="71" t="s">
        <v>95</v>
      </c>
      <c r="C132" s="72" t="s">
        <v>96</v>
      </c>
      <c r="D132" s="73"/>
      <c r="E132" s="74">
        <v>36.479999999999997</v>
      </c>
      <c r="F132" s="55">
        <v>0</v>
      </c>
      <c r="G132" s="40">
        <f t="shared" si="44"/>
        <v>0</v>
      </c>
      <c r="H132" s="55"/>
      <c r="I132" s="55"/>
      <c r="J132" s="40">
        <f t="shared" si="45"/>
        <v>0</v>
      </c>
    </row>
    <row r="133" spans="1:10" x14ac:dyDescent="0.25">
      <c r="A133" s="41">
        <v>23</v>
      </c>
      <c r="B133" s="8" t="s">
        <v>97</v>
      </c>
      <c r="C133" s="10" t="s">
        <v>90</v>
      </c>
      <c r="D133" s="1"/>
      <c r="E133" s="11">
        <v>8</v>
      </c>
      <c r="F133" s="11"/>
      <c r="G133" s="11"/>
      <c r="H133" s="11">
        <v>0</v>
      </c>
      <c r="I133" s="11">
        <f>E133*H133</f>
        <v>0</v>
      </c>
      <c r="J133" s="11">
        <f>I133</f>
        <v>0</v>
      </c>
    </row>
    <row r="134" spans="1:10" x14ac:dyDescent="0.25">
      <c r="A134" s="75"/>
      <c r="B134" s="76" t="s">
        <v>100</v>
      </c>
      <c r="C134" s="77"/>
      <c r="D134" s="78"/>
      <c r="E134" s="78"/>
      <c r="F134" s="65"/>
      <c r="G134" s="65"/>
      <c r="H134" s="65"/>
      <c r="I134" s="65"/>
      <c r="J134" s="65"/>
    </row>
    <row r="135" spans="1:10" ht="30" x14ac:dyDescent="0.25">
      <c r="A135" s="41">
        <v>24</v>
      </c>
      <c r="B135" s="8" t="s">
        <v>91</v>
      </c>
      <c r="C135" s="10" t="s">
        <v>90</v>
      </c>
      <c r="D135" s="1"/>
      <c r="E135" s="11">
        <v>3</v>
      </c>
      <c r="F135" s="11"/>
      <c r="G135" s="11"/>
      <c r="H135" s="11">
        <v>0</v>
      </c>
      <c r="I135" s="11">
        <f>E135*H135</f>
        <v>0</v>
      </c>
      <c r="J135" s="11">
        <f>G135+I135</f>
        <v>0</v>
      </c>
    </row>
    <row r="136" spans="1:10" x14ac:dyDescent="0.25">
      <c r="A136" s="44"/>
      <c r="B136" s="71" t="s">
        <v>101</v>
      </c>
      <c r="C136" s="72" t="s">
        <v>90</v>
      </c>
      <c r="D136" s="73"/>
      <c r="E136" s="74">
        <v>3</v>
      </c>
      <c r="F136" s="55">
        <v>0</v>
      </c>
      <c r="G136" s="40">
        <f t="shared" ref="G136:G137" si="46">E136*F136</f>
        <v>0</v>
      </c>
      <c r="H136" s="55"/>
      <c r="I136" s="55"/>
      <c r="J136" s="40">
        <f t="shared" ref="J136:J137" si="47">G136+I136</f>
        <v>0</v>
      </c>
    </row>
    <row r="137" spans="1:10" x14ac:dyDescent="0.25">
      <c r="A137" s="44"/>
      <c r="B137" s="71" t="s">
        <v>112</v>
      </c>
      <c r="C137" s="72" t="s">
        <v>0</v>
      </c>
      <c r="D137" s="73"/>
      <c r="E137" s="74">
        <v>0.11099999999999999</v>
      </c>
      <c r="F137" s="55">
        <v>0</v>
      </c>
      <c r="G137" s="40">
        <f t="shared" si="46"/>
        <v>0</v>
      </c>
      <c r="H137" s="55"/>
      <c r="I137" s="55"/>
      <c r="J137" s="40">
        <f t="shared" si="47"/>
        <v>0</v>
      </c>
    </row>
    <row r="138" spans="1:10" ht="30" x14ac:dyDescent="0.25">
      <c r="A138" s="41">
        <v>25</v>
      </c>
      <c r="B138" s="8" t="s">
        <v>94</v>
      </c>
      <c r="C138" s="10" t="s">
        <v>23</v>
      </c>
      <c r="D138" s="1"/>
      <c r="E138" s="11">
        <v>2.4764399999999995E-2</v>
      </c>
      <c r="F138" s="11"/>
      <c r="G138" s="11"/>
      <c r="H138" s="11">
        <v>0</v>
      </c>
      <c r="I138" s="11">
        <f>E138*H138</f>
        <v>0</v>
      </c>
      <c r="J138" s="11">
        <f>G138+I138</f>
        <v>0</v>
      </c>
    </row>
    <row r="139" spans="1:10" x14ac:dyDescent="0.25">
      <c r="A139" s="44"/>
      <c r="B139" s="71" t="s">
        <v>133</v>
      </c>
      <c r="C139" s="72" t="s">
        <v>23</v>
      </c>
      <c r="D139" s="73"/>
      <c r="E139" s="74">
        <v>2.4504479999999999E-2</v>
      </c>
      <c r="F139" s="55">
        <v>0</v>
      </c>
      <c r="G139" s="40">
        <f t="shared" ref="G139:G141" si="48">E139*F139</f>
        <v>0</v>
      </c>
      <c r="H139" s="55"/>
      <c r="I139" s="55"/>
      <c r="J139" s="40">
        <f t="shared" ref="J139:J141" si="49">G139+I139</f>
        <v>0</v>
      </c>
    </row>
    <row r="140" spans="1:10" x14ac:dyDescent="0.25">
      <c r="A140" s="44"/>
      <c r="B140" s="71" t="s">
        <v>114</v>
      </c>
      <c r="C140" s="72" t="s">
        <v>23</v>
      </c>
      <c r="D140" s="73"/>
      <c r="E140" s="74">
        <v>7.5150599999999988E-4</v>
      </c>
      <c r="F140" s="55">
        <v>0</v>
      </c>
      <c r="G140" s="40">
        <f t="shared" si="48"/>
        <v>0</v>
      </c>
      <c r="H140" s="55"/>
      <c r="I140" s="55"/>
      <c r="J140" s="40">
        <f t="shared" si="49"/>
        <v>0</v>
      </c>
    </row>
    <row r="141" spans="1:10" x14ac:dyDescent="0.25">
      <c r="A141" s="44"/>
      <c r="B141" s="71" t="s">
        <v>95</v>
      </c>
      <c r="C141" s="72" t="s">
        <v>96</v>
      </c>
      <c r="D141" s="73"/>
      <c r="E141" s="74">
        <v>14.399999999999999</v>
      </c>
      <c r="F141" s="55">
        <v>0</v>
      </c>
      <c r="G141" s="40">
        <f t="shared" si="48"/>
        <v>0</v>
      </c>
      <c r="H141" s="55"/>
      <c r="I141" s="55"/>
      <c r="J141" s="40">
        <f t="shared" si="49"/>
        <v>0</v>
      </c>
    </row>
    <row r="142" spans="1:10" x14ac:dyDescent="0.25">
      <c r="A142" s="41">
        <v>26</v>
      </c>
      <c r="B142" s="8" t="s">
        <v>97</v>
      </c>
      <c r="C142" s="10" t="s">
        <v>90</v>
      </c>
      <c r="D142" s="1"/>
      <c r="E142" s="11">
        <v>3</v>
      </c>
      <c r="F142" s="11"/>
      <c r="G142" s="11"/>
      <c r="H142" s="11">
        <v>0</v>
      </c>
      <c r="I142" s="11">
        <f>E142*H142</f>
        <v>0</v>
      </c>
      <c r="J142" s="11">
        <f>G142+I142</f>
        <v>0</v>
      </c>
    </row>
    <row r="144" spans="1:10" x14ac:dyDescent="0.25">
      <c r="A144" s="127"/>
      <c r="B144" s="126" t="s">
        <v>13</v>
      </c>
      <c r="C144" s="125"/>
      <c r="D144" s="125"/>
      <c r="E144" s="125"/>
      <c r="F144" s="124"/>
      <c r="G144" s="124"/>
      <c r="H144" s="124"/>
      <c r="I144" s="124"/>
      <c r="J144" s="124">
        <f>SUM(J10:J140)</f>
        <v>0</v>
      </c>
    </row>
    <row r="145" spans="1:10" x14ac:dyDescent="0.25">
      <c r="A145" s="127"/>
      <c r="B145" s="126" t="s">
        <v>14</v>
      </c>
      <c r="C145" s="125"/>
      <c r="D145" s="125"/>
      <c r="E145" s="125"/>
      <c r="F145" s="124"/>
      <c r="G145" s="124">
        <f>SUM(G9:G142)</f>
        <v>0</v>
      </c>
      <c r="H145" s="124"/>
      <c r="I145" s="124">
        <f>SUM(I9:I142)</f>
        <v>0</v>
      </c>
      <c r="J145" s="124">
        <f>J144</f>
        <v>0</v>
      </c>
    </row>
    <row r="146" spans="1:10" x14ac:dyDescent="0.25">
      <c r="A146" s="127"/>
      <c r="B146" s="123" t="s">
        <v>15</v>
      </c>
      <c r="C146" s="122"/>
      <c r="D146" s="122"/>
      <c r="E146" s="122"/>
      <c r="F146" s="121"/>
      <c r="G146" s="121">
        <f>G145*0.2</f>
        <v>0</v>
      </c>
      <c r="H146" s="121"/>
      <c r="I146" s="121">
        <f>I145*0.2</f>
        <v>0</v>
      </c>
      <c r="J146" s="121">
        <f>J145*0.2</f>
        <v>0</v>
      </c>
    </row>
    <row r="147" spans="1:10" x14ac:dyDescent="0.25">
      <c r="A147" s="127"/>
      <c r="B147" s="126" t="s">
        <v>16</v>
      </c>
      <c r="C147" s="122"/>
      <c r="D147" s="122"/>
      <c r="E147" s="122"/>
      <c r="F147" s="121"/>
      <c r="G147" s="121">
        <f>SUM(G145:G146)</f>
        <v>0</v>
      </c>
      <c r="H147" s="121"/>
      <c r="I147" s="121">
        <f>SUM(I145:I146)</f>
        <v>0</v>
      </c>
      <c r="J147" s="124">
        <f>SUM(J145:J146)</f>
        <v>0</v>
      </c>
    </row>
    <row r="148" spans="1:10" x14ac:dyDescent="0.25">
      <c r="A148" s="120"/>
      <c r="B148" s="119" t="s">
        <v>17</v>
      </c>
      <c r="C148" s="120"/>
      <c r="D148" s="120"/>
      <c r="E148" s="120"/>
      <c r="F148" s="118"/>
      <c r="G148" s="118">
        <v>0</v>
      </c>
      <c r="H148" s="118"/>
      <c r="I148" s="118"/>
      <c r="J148" s="117">
        <f>G148</f>
        <v>0</v>
      </c>
    </row>
    <row r="149" spans="1:10" ht="24" x14ac:dyDescent="0.25">
      <c r="A149" s="120"/>
      <c r="B149" s="119" t="s">
        <v>18</v>
      </c>
      <c r="C149" s="120"/>
      <c r="D149" s="120"/>
      <c r="E149" s="120"/>
      <c r="F149" s="118"/>
      <c r="G149" s="118">
        <f>G147-G148</f>
        <v>0</v>
      </c>
      <c r="H149" s="118"/>
      <c r="I149" s="118"/>
      <c r="J149" s="116">
        <f>J147-J148</f>
        <v>0</v>
      </c>
    </row>
    <row r="150" spans="1:10" x14ac:dyDescent="0.25">
      <c r="A150" s="109"/>
      <c r="B150" s="110"/>
      <c r="C150" s="109"/>
      <c r="D150" s="109"/>
      <c r="E150" s="109"/>
      <c r="F150" s="109"/>
      <c r="G150" s="109"/>
      <c r="H150" s="109"/>
      <c r="I150" s="109"/>
      <c r="J150" s="109"/>
    </row>
    <row r="151" spans="1:10" x14ac:dyDescent="0.25">
      <c r="A151" s="109"/>
      <c r="B151" s="110"/>
      <c r="C151" s="109"/>
      <c r="D151" s="109"/>
      <c r="E151" s="109"/>
      <c r="F151" s="109"/>
      <c r="G151" s="109"/>
      <c r="H151" s="109"/>
      <c r="I151" s="109"/>
      <c r="J151" s="109"/>
    </row>
    <row r="152" spans="1:10" x14ac:dyDescent="0.25">
      <c r="A152" s="109"/>
      <c r="B152" s="110"/>
      <c r="C152" s="109"/>
      <c r="D152" s="109"/>
      <c r="E152" s="109"/>
      <c r="F152" s="109"/>
      <c r="G152" s="109"/>
      <c r="H152" s="109"/>
      <c r="I152" s="109"/>
      <c r="J152" s="109"/>
    </row>
  </sheetData>
  <mergeCells count="11">
    <mergeCell ref="E5:E6"/>
    <mergeCell ref="F5:G5"/>
    <mergeCell ref="H5:I5"/>
    <mergeCell ref="B1:K1"/>
    <mergeCell ref="J5:J6"/>
    <mergeCell ref="A2:J2"/>
    <mergeCell ref="A3:J3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2914-4974-4057-9E6F-23A412842F76}">
  <dimension ref="A1:J176"/>
  <sheetViews>
    <sheetView workbookViewId="0">
      <selection activeCell="P9" sqref="P9"/>
    </sheetView>
  </sheetViews>
  <sheetFormatPr defaultRowHeight="15" x14ac:dyDescent="0.25"/>
  <cols>
    <col min="1" max="1" width="7.7109375" customWidth="1"/>
    <col min="2" max="2" width="48.42578125" style="6" customWidth="1"/>
    <col min="3" max="3" width="8.7109375" customWidth="1"/>
    <col min="4" max="4" width="11" customWidth="1"/>
    <col min="5" max="5" width="12.140625" customWidth="1"/>
    <col min="6" max="6" width="12.7109375" customWidth="1"/>
    <col min="7" max="7" width="11.85546875" bestFit="1" customWidth="1"/>
    <col min="8" max="8" width="11" bestFit="1" customWidth="1"/>
    <col min="9" max="9" width="14" bestFit="1" customWidth="1"/>
    <col min="10" max="10" width="13.28515625" customWidth="1"/>
  </cols>
  <sheetData>
    <row r="1" spans="1:10" ht="18.75" x14ac:dyDescent="0.25">
      <c r="A1" s="137"/>
      <c r="B1" s="151" t="s">
        <v>145</v>
      </c>
      <c r="C1" s="151"/>
      <c r="D1" s="151"/>
      <c r="E1" s="151"/>
      <c r="F1" s="151"/>
      <c r="G1" s="151"/>
      <c r="H1" s="151"/>
      <c r="I1" s="151"/>
      <c r="J1" s="151"/>
    </row>
    <row r="2" spans="1:10" ht="25.9" customHeight="1" x14ac:dyDescent="0.25">
      <c r="A2" s="151" t="s">
        <v>134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29.45" customHeight="1" x14ac:dyDescent="0.25">
      <c r="A3" s="152" t="s">
        <v>175</v>
      </c>
      <c r="B3" s="152"/>
      <c r="C3" s="152"/>
      <c r="D3" s="152"/>
      <c r="E3" s="152"/>
      <c r="F3" s="152"/>
      <c r="G3" s="152"/>
      <c r="H3" s="152"/>
      <c r="I3" s="152"/>
      <c r="J3" s="152"/>
    </row>
    <row r="5" spans="1:10" x14ac:dyDescent="0.25">
      <c r="A5" s="150" t="s">
        <v>2</v>
      </c>
      <c r="B5" s="150" t="s">
        <v>3</v>
      </c>
      <c r="C5" s="150" t="s">
        <v>4</v>
      </c>
      <c r="D5" s="150" t="s">
        <v>5</v>
      </c>
      <c r="E5" s="150" t="s">
        <v>6</v>
      </c>
      <c r="F5" s="150" t="s">
        <v>7</v>
      </c>
      <c r="G5" s="150"/>
      <c r="H5" s="150" t="s">
        <v>8</v>
      </c>
      <c r="I5" s="150"/>
      <c r="J5" s="150" t="s">
        <v>9</v>
      </c>
    </row>
    <row r="6" spans="1:10" ht="38.25" x14ac:dyDescent="0.25">
      <c r="A6" s="150"/>
      <c r="B6" s="150"/>
      <c r="C6" s="150"/>
      <c r="D6" s="150"/>
      <c r="E6" s="150"/>
      <c r="F6" s="60" t="s">
        <v>10</v>
      </c>
      <c r="G6" s="60" t="s">
        <v>11</v>
      </c>
      <c r="H6" s="60" t="s">
        <v>10</v>
      </c>
      <c r="I6" s="60" t="s">
        <v>12</v>
      </c>
      <c r="J6" s="150"/>
    </row>
    <row r="7" spans="1:10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spans="1:10" ht="21" x14ac:dyDescent="0.35">
      <c r="A8" s="14" t="s">
        <v>55</v>
      </c>
      <c r="B8" s="46"/>
      <c r="C8" s="14"/>
      <c r="D8" s="14"/>
      <c r="E8" s="14"/>
      <c r="F8" s="14"/>
      <c r="G8" s="1"/>
      <c r="H8" s="1"/>
      <c r="I8" s="1"/>
      <c r="J8" s="1"/>
    </row>
    <row r="9" spans="1:10" ht="15.75" x14ac:dyDescent="0.25">
      <c r="A9" s="41"/>
      <c r="B9" s="8"/>
      <c r="C9" s="10"/>
      <c r="D9" s="1"/>
      <c r="E9" s="11"/>
      <c r="F9" s="15"/>
      <c r="G9" s="1"/>
      <c r="H9" s="39"/>
      <c r="I9" s="39"/>
      <c r="J9" s="39"/>
    </row>
    <row r="10" spans="1:10" x14ac:dyDescent="0.25">
      <c r="A10" s="41">
        <v>1</v>
      </c>
      <c r="B10" s="8" t="s">
        <v>59</v>
      </c>
      <c r="C10" s="10" t="s">
        <v>0</v>
      </c>
      <c r="D10" s="1"/>
      <c r="E10" s="11">
        <v>3.52</v>
      </c>
      <c r="F10" s="11"/>
      <c r="G10" s="11"/>
      <c r="H10" s="11">
        <v>0</v>
      </c>
      <c r="I10" s="11">
        <f>E10*H10</f>
        <v>0</v>
      </c>
      <c r="J10" s="11">
        <f>G10+I10</f>
        <v>0</v>
      </c>
    </row>
    <row r="11" spans="1:10" x14ac:dyDescent="0.25">
      <c r="A11" s="41"/>
      <c r="B11" s="7"/>
      <c r="C11" s="3"/>
      <c r="D11" s="1"/>
      <c r="E11" s="57"/>
      <c r="F11" s="40"/>
      <c r="G11" s="40"/>
      <c r="H11" s="40"/>
      <c r="I11" s="40"/>
      <c r="J11" s="40"/>
    </row>
    <row r="12" spans="1:10" x14ac:dyDescent="0.25">
      <c r="A12" s="41"/>
      <c r="B12" s="7" t="s">
        <v>20</v>
      </c>
      <c r="C12" s="3" t="s">
        <v>0</v>
      </c>
      <c r="D12" s="1">
        <v>1.02</v>
      </c>
      <c r="E12" s="55">
        <f>E10*D12</f>
        <v>3.5904000000000003</v>
      </c>
      <c r="F12" s="55">
        <v>0</v>
      </c>
      <c r="G12" s="40">
        <f t="shared" ref="G12:G15" si="0">E12*F12</f>
        <v>0</v>
      </c>
      <c r="H12" s="55"/>
      <c r="I12" s="55"/>
      <c r="J12" s="40">
        <f t="shared" ref="J12:J15" si="1">G12+I12</f>
        <v>0</v>
      </c>
    </row>
    <row r="13" spans="1:10" x14ac:dyDescent="0.25">
      <c r="A13" s="41"/>
      <c r="B13" s="7" t="s">
        <v>21</v>
      </c>
      <c r="C13" s="3" t="s">
        <v>23</v>
      </c>
      <c r="D13" s="1">
        <v>1.02</v>
      </c>
      <c r="E13" s="57">
        <f>(281.75)/1000*D13</f>
        <v>0.287385</v>
      </c>
      <c r="F13" s="55">
        <v>0</v>
      </c>
      <c r="G13" s="40">
        <f t="shared" si="0"/>
        <v>0</v>
      </c>
      <c r="H13" s="55"/>
      <c r="I13" s="55"/>
      <c r="J13" s="40">
        <f t="shared" si="1"/>
        <v>0</v>
      </c>
    </row>
    <row r="14" spans="1:10" x14ac:dyDescent="0.25">
      <c r="A14" s="41"/>
      <c r="B14" s="7" t="s">
        <v>24</v>
      </c>
      <c r="C14" s="3" t="s">
        <v>23</v>
      </c>
      <c r="D14" s="1">
        <v>1.02</v>
      </c>
      <c r="E14" s="57">
        <f>(25.2)/1000*D14</f>
        <v>2.5704000000000001E-2</v>
      </c>
      <c r="F14" s="55">
        <v>0</v>
      </c>
      <c r="G14" s="40">
        <f t="shared" si="0"/>
        <v>0</v>
      </c>
      <c r="H14" s="55"/>
      <c r="I14" s="55"/>
      <c r="J14" s="40">
        <f t="shared" si="1"/>
        <v>0</v>
      </c>
    </row>
    <row r="15" spans="1:10" x14ac:dyDescent="0.25">
      <c r="A15" s="41"/>
      <c r="B15" s="7" t="s">
        <v>25</v>
      </c>
      <c r="C15" s="3" t="s">
        <v>1</v>
      </c>
      <c r="D15" s="1"/>
      <c r="E15" s="51">
        <f>SUM(E13:E14)*7</f>
        <v>2.1916229999999999</v>
      </c>
      <c r="F15" s="55">
        <v>0</v>
      </c>
      <c r="G15" s="40">
        <f t="shared" si="0"/>
        <v>0</v>
      </c>
      <c r="H15" s="55"/>
      <c r="I15" s="55"/>
      <c r="J15" s="40">
        <f t="shared" si="1"/>
        <v>0</v>
      </c>
    </row>
    <row r="16" spans="1:10" x14ac:dyDescent="0.25">
      <c r="A16" s="41"/>
      <c r="B16" s="7"/>
      <c r="C16" s="3"/>
      <c r="D16" s="1"/>
      <c r="E16" s="51"/>
      <c r="F16" s="40"/>
      <c r="G16" s="40"/>
      <c r="H16" s="40"/>
      <c r="I16" s="40"/>
      <c r="J16" s="40"/>
    </row>
    <row r="17" spans="1:10" x14ac:dyDescent="0.25">
      <c r="A17" s="41">
        <f>A10+1</f>
        <v>2</v>
      </c>
      <c r="B17" s="8" t="s">
        <v>60</v>
      </c>
      <c r="C17" s="10" t="s">
        <v>0</v>
      </c>
      <c r="D17" s="1"/>
      <c r="E17" s="11">
        <v>2.75</v>
      </c>
      <c r="F17" s="11"/>
      <c r="G17" s="11"/>
      <c r="H17" s="11">
        <v>0</v>
      </c>
      <c r="I17" s="11">
        <f>E17*H17</f>
        <v>0</v>
      </c>
      <c r="J17" s="11">
        <f>G17+I17</f>
        <v>0</v>
      </c>
    </row>
    <row r="18" spans="1:10" x14ac:dyDescent="0.25">
      <c r="A18" s="41"/>
      <c r="B18" s="7"/>
      <c r="C18" s="3"/>
      <c r="D18" s="1"/>
      <c r="E18" s="57"/>
      <c r="F18" s="40"/>
      <c r="G18" s="40"/>
      <c r="H18" s="40"/>
      <c r="I18" s="40"/>
      <c r="J18" s="40"/>
    </row>
    <row r="19" spans="1:10" x14ac:dyDescent="0.25">
      <c r="A19" s="41"/>
      <c r="B19" s="7" t="s">
        <v>20</v>
      </c>
      <c r="C19" s="3" t="s">
        <v>0</v>
      </c>
      <c r="D19" s="1">
        <v>1.02</v>
      </c>
      <c r="E19" s="55">
        <f>E17*D19</f>
        <v>2.8050000000000002</v>
      </c>
      <c r="F19" s="55">
        <v>0</v>
      </c>
      <c r="G19" s="40">
        <f t="shared" ref="G19:G22" si="2">E19*F19</f>
        <v>0</v>
      </c>
      <c r="H19" s="55"/>
      <c r="I19" s="55"/>
      <c r="J19" s="40">
        <f t="shared" ref="J19:J22" si="3">G19+I19</f>
        <v>0</v>
      </c>
    </row>
    <row r="20" spans="1:10" x14ac:dyDescent="0.25">
      <c r="A20" s="41"/>
      <c r="B20" s="7" t="s">
        <v>22</v>
      </c>
      <c r="C20" s="3" t="s">
        <v>23</v>
      </c>
      <c r="D20" s="1">
        <v>1.02</v>
      </c>
      <c r="E20" s="57">
        <f>(37.24)/1000*D20</f>
        <v>3.7984800000000006E-2</v>
      </c>
      <c r="F20" s="55">
        <v>0</v>
      </c>
      <c r="G20" s="40">
        <f t="shared" si="2"/>
        <v>0</v>
      </c>
      <c r="H20" s="55"/>
      <c r="I20" s="55"/>
      <c r="J20" s="40">
        <f t="shared" si="3"/>
        <v>0</v>
      </c>
    </row>
    <row r="21" spans="1:10" x14ac:dyDescent="0.25">
      <c r="A21" s="41"/>
      <c r="B21" s="7" t="s">
        <v>21</v>
      </c>
      <c r="C21" s="3" t="s">
        <v>23</v>
      </c>
      <c r="D21" s="1">
        <v>1.02</v>
      </c>
      <c r="E21" s="57">
        <f>(296.75)/1000*D21</f>
        <v>0.30268500000000004</v>
      </c>
      <c r="F21" s="55">
        <v>0</v>
      </c>
      <c r="G21" s="40">
        <f t="shared" si="2"/>
        <v>0</v>
      </c>
      <c r="H21" s="55"/>
      <c r="I21" s="55"/>
      <c r="J21" s="40">
        <f t="shared" si="3"/>
        <v>0</v>
      </c>
    </row>
    <row r="22" spans="1:10" x14ac:dyDescent="0.25">
      <c r="A22" s="41"/>
      <c r="B22" s="7" t="s">
        <v>25</v>
      </c>
      <c r="C22" s="3" t="s">
        <v>1</v>
      </c>
      <c r="D22" s="1"/>
      <c r="E22" s="51">
        <f>SUM(E20:E21)*7</f>
        <v>2.3846886</v>
      </c>
      <c r="F22" s="55">
        <v>0</v>
      </c>
      <c r="G22" s="40">
        <f t="shared" si="2"/>
        <v>0</v>
      </c>
      <c r="H22" s="55"/>
      <c r="I22" s="55"/>
      <c r="J22" s="40">
        <f t="shared" si="3"/>
        <v>0</v>
      </c>
    </row>
    <row r="23" spans="1:10" x14ac:dyDescent="0.25">
      <c r="A23" s="41"/>
      <c r="B23" s="7"/>
      <c r="C23" s="3"/>
      <c r="D23" s="1"/>
      <c r="E23" s="51"/>
      <c r="F23" s="40"/>
      <c r="G23" s="40"/>
      <c r="H23" s="40"/>
      <c r="I23" s="40"/>
      <c r="J23" s="40"/>
    </row>
    <row r="24" spans="1:10" x14ac:dyDescent="0.25">
      <c r="A24" s="41">
        <f>A17+1</f>
        <v>3</v>
      </c>
      <c r="B24" s="8" t="s">
        <v>61</v>
      </c>
      <c r="C24" s="2" t="s">
        <v>0</v>
      </c>
      <c r="D24" s="1"/>
      <c r="E24" s="54">
        <f>0.9*2</f>
        <v>1.8</v>
      </c>
      <c r="F24" s="11"/>
      <c r="G24" s="11"/>
      <c r="H24" s="11">
        <v>0</v>
      </c>
      <c r="I24" s="11">
        <f>E24*H24</f>
        <v>0</v>
      </c>
      <c r="J24" s="11">
        <f>G24+I24</f>
        <v>0</v>
      </c>
    </row>
    <row r="25" spans="1:10" x14ac:dyDescent="0.25">
      <c r="A25" s="41"/>
      <c r="B25" s="9"/>
      <c r="C25" s="1"/>
      <c r="D25" s="1"/>
      <c r="E25" s="52"/>
      <c r="F25" s="1"/>
      <c r="G25" s="1"/>
      <c r="H25" s="1"/>
      <c r="I25" s="1"/>
      <c r="J25" s="1"/>
    </row>
    <row r="26" spans="1:10" x14ac:dyDescent="0.25">
      <c r="A26" s="41"/>
      <c r="B26" s="7" t="s">
        <v>30</v>
      </c>
      <c r="C26" s="3" t="s">
        <v>0</v>
      </c>
      <c r="D26" s="1">
        <v>1.02</v>
      </c>
      <c r="E26" s="55">
        <f>E24*D26</f>
        <v>1.8360000000000001</v>
      </c>
      <c r="F26" s="55">
        <v>0</v>
      </c>
      <c r="G26" s="40">
        <f t="shared" ref="G26:G30" si="4">E26*F26</f>
        <v>0</v>
      </c>
      <c r="H26" s="55"/>
      <c r="I26" s="55"/>
      <c r="J26" s="40">
        <f t="shared" ref="J26:J30" si="5">G26+I26</f>
        <v>0</v>
      </c>
    </row>
    <row r="27" spans="1:10" x14ac:dyDescent="0.25">
      <c r="A27" s="41"/>
      <c r="B27" s="7" t="s">
        <v>22</v>
      </c>
      <c r="C27" s="3" t="s">
        <v>23</v>
      </c>
      <c r="D27" s="1">
        <v>1.02</v>
      </c>
      <c r="E27" s="57">
        <f>(88.4)/1000*D27*2</f>
        <v>0.18033600000000002</v>
      </c>
      <c r="F27" s="55">
        <v>0</v>
      </c>
      <c r="G27" s="40">
        <f t="shared" si="4"/>
        <v>0</v>
      </c>
      <c r="H27" s="55"/>
      <c r="I27" s="55"/>
      <c r="J27" s="40">
        <f t="shared" si="5"/>
        <v>0</v>
      </c>
    </row>
    <row r="28" spans="1:10" x14ac:dyDescent="0.25">
      <c r="A28" s="41"/>
      <c r="B28" s="7" t="s">
        <v>21</v>
      </c>
      <c r="C28" s="3" t="s">
        <v>23</v>
      </c>
      <c r="D28" s="1">
        <v>1.02</v>
      </c>
      <c r="E28" s="57">
        <f>(2.1)/1000*D28*2</f>
        <v>4.2840000000000005E-3</v>
      </c>
      <c r="F28" s="55">
        <v>0</v>
      </c>
      <c r="G28" s="40">
        <f t="shared" si="4"/>
        <v>0</v>
      </c>
      <c r="H28" s="55"/>
      <c r="I28" s="55"/>
      <c r="J28" s="40">
        <f t="shared" si="5"/>
        <v>0</v>
      </c>
    </row>
    <row r="29" spans="1:10" x14ac:dyDescent="0.25">
      <c r="A29" s="41"/>
      <c r="B29" s="7" t="s">
        <v>24</v>
      </c>
      <c r="C29" s="3" t="s">
        <v>23</v>
      </c>
      <c r="D29" s="1">
        <v>1.02</v>
      </c>
      <c r="E29" s="57">
        <f>(17.5)/1000*D29*2</f>
        <v>3.5700000000000003E-2</v>
      </c>
      <c r="F29" s="55">
        <v>0</v>
      </c>
      <c r="G29" s="40">
        <f t="shared" si="4"/>
        <v>0</v>
      </c>
      <c r="H29" s="55"/>
      <c r="I29" s="55"/>
      <c r="J29" s="40">
        <f t="shared" si="5"/>
        <v>0</v>
      </c>
    </row>
    <row r="30" spans="1:10" x14ac:dyDescent="0.25">
      <c r="A30" s="41"/>
      <c r="B30" s="7" t="s">
        <v>25</v>
      </c>
      <c r="C30" s="3" t="s">
        <v>1</v>
      </c>
      <c r="D30" s="1"/>
      <c r="E30" s="51">
        <f>SUM(E27:E29)*7</f>
        <v>1.5422400000000003</v>
      </c>
      <c r="F30" s="55">
        <v>0</v>
      </c>
      <c r="G30" s="40">
        <f t="shared" si="4"/>
        <v>0</v>
      </c>
      <c r="H30" s="55"/>
      <c r="I30" s="55"/>
      <c r="J30" s="40">
        <f t="shared" si="5"/>
        <v>0</v>
      </c>
    </row>
    <row r="31" spans="1:10" ht="15.75" x14ac:dyDescent="0.25">
      <c r="A31" s="41"/>
      <c r="B31" s="8"/>
      <c r="C31" s="10"/>
      <c r="D31" s="1"/>
      <c r="E31" s="11"/>
      <c r="F31" s="15"/>
      <c r="G31" s="1"/>
      <c r="H31" s="39"/>
      <c r="I31" s="39"/>
      <c r="J31" s="39"/>
    </row>
    <row r="32" spans="1:10" ht="30" x14ac:dyDescent="0.25">
      <c r="A32" s="41">
        <f>A24+1</f>
        <v>4</v>
      </c>
      <c r="B32" s="8" t="s">
        <v>62</v>
      </c>
      <c r="C32" s="10" t="s">
        <v>0</v>
      </c>
      <c r="D32" s="1"/>
      <c r="E32" s="11">
        <f>8.17+4.34+2.17+2.2+6.32+8.6+1.63+4.4</f>
        <v>37.83</v>
      </c>
      <c r="F32" s="11"/>
      <c r="G32" s="11"/>
      <c r="H32" s="11">
        <v>0</v>
      </c>
      <c r="I32" s="11">
        <f>E32*H32</f>
        <v>0</v>
      </c>
      <c r="J32" s="11">
        <f>G32+I32</f>
        <v>0</v>
      </c>
    </row>
    <row r="33" spans="1:10" ht="15.75" x14ac:dyDescent="0.25">
      <c r="A33" s="41"/>
      <c r="B33" s="7"/>
      <c r="C33" s="10"/>
      <c r="D33" s="1"/>
      <c r="E33" s="11"/>
      <c r="F33" s="15"/>
      <c r="G33" s="1"/>
      <c r="H33" s="39"/>
      <c r="I33" s="39"/>
      <c r="J33" s="39"/>
    </row>
    <row r="34" spans="1:10" x14ac:dyDescent="0.25">
      <c r="A34" s="41"/>
      <c r="B34" s="7" t="s">
        <v>20</v>
      </c>
      <c r="C34" s="3" t="s">
        <v>0</v>
      </c>
      <c r="D34" s="1">
        <v>1.02</v>
      </c>
      <c r="E34" s="55">
        <f>E32*D34</f>
        <v>38.586599999999997</v>
      </c>
      <c r="F34" s="55">
        <v>0</v>
      </c>
      <c r="G34" s="40">
        <f t="shared" ref="G34:G38" si="6">E34*F34</f>
        <v>0</v>
      </c>
      <c r="H34" s="55"/>
      <c r="I34" s="55"/>
      <c r="J34" s="40">
        <f t="shared" ref="J34:J38" si="7">G34+I34</f>
        <v>0</v>
      </c>
    </row>
    <row r="35" spans="1:10" x14ac:dyDescent="0.25">
      <c r="A35" s="41"/>
      <c r="B35" s="7" t="s">
        <v>22</v>
      </c>
      <c r="C35" s="3" t="s">
        <v>23</v>
      </c>
      <c r="D35" s="1">
        <v>1.02</v>
      </c>
      <c r="E35" s="57">
        <f>(82.1+59.7+147.8+62.9)/1000*D35</f>
        <v>0.35954999999999998</v>
      </c>
      <c r="F35" s="55">
        <v>0</v>
      </c>
      <c r="G35" s="40">
        <f t="shared" si="6"/>
        <v>0</v>
      </c>
      <c r="H35" s="55"/>
      <c r="I35" s="55"/>
      <c r="J35" s="40">
        <f t="shared" si="7"/>
        <v>0</v>
      </c>
    </row>
    <row r="36" spans="1:10" x14ac:dyDescent="0.25">
      <c r="A36" s="41"/>
      <c r="B36" s="7" t="s">
        <v>28</v>
      </c>
      <c r="C36" s="3" t="s">
        <v>23</v>
      </c>
      <c r="D36" s="1">
        <v>1.02</v>
      </c>
      <c r="E36" s="57">
        <f>(324.6+198.8+93.4+126.6+260.3+347.3+71.5+207.1)/1000*D36</f>
        <v>1.6621919999999999</v>
      </c>
      <c r="F36" s="55">
        <v>0</v>
      </c>
      <c r="G36" s="40">
        <f t="shared" si="6"/>
        <v>0</v>
      </c>
      <c r="H36" s="55"/>
      <c r="I36" s="55"/>
      <c r="J36" s="40">
        <f t="shared" si="7"/>
        <v>0</v>
      </c>
    </row>
    <row r="37" spans="1:10" x14ac:dyDescent="0.25">
      <c r="A37" s="41"/>
      <c r="B37" s="7" t="s">
        <v>24</v>
      </c>
      <c r="C37" s="3" t="s">
        <v>23</v>
      </c>
      <c r="D37" s="1">
        <v>1.02</v>
      </c>
      <c r="E37" s="57">
        <f>(33.9+11.3+7.7+9.2+23.1+32.3+11.6+16.4)/1000*D37</f>
        <v>0.14841000000000001</v>
      </c>
      <c r="F37" s="55">
        <v>0</v>
      </c>
      <c r="G37" s="40">
        <f t="shared" si="6"/>
        <v>0</v>
      </c>
      <c r="H37" s="55"/>
      <c r="I37" s="55"/>
      <c r="J37" s="40">
        <f t="shared" si="7"/>
        <v>0</v>
      </c>
    </row>
    <row r="38" spans="1:10" x14ac:dyDescent="0.25">
      <c r="A38" s="41"/>
      <c r="B38" s="7" t="s">
        <v>25</v>
      </c>
      <c r="C38" s="3" t="s">
        <v>1</v>
      </c>
      <c r="D38" s="1"/>
      <c r="E38" s="51">
        <f>SUM(E35:E37)*7</f>
        <v>15.191063999999999</v>
      </c>
      <c r="F38" s="55">
        <v>0</v>
      </c>
      <c r="G38" s="40">
        <f t="shared" si="6"/>
        <v>0</v>
      </c>
      <c r="H38" s="55"/>
      <c r="I38" s="55"/>
      <c r="J38" s="40">
        <f t="shared" si="7"/>
        <v>0</v>
      </c>
    </row>
    <row r="39" spans="1:10" ht="15.75" x14ac:dyDescent="0.25">
      <c r="A39" s="41"/>
      <c r="B39" s="8"/>
      <c r="C39" s="10"/>
      <c r="D39" s="1"/>
      <c r="E39" s="11"/>
      <c r="F39" s="15"/>
      <c r="G39" s="1"/>
      <c r="H39" s="39"/>
      <c r="I39" s="39"/>
      <c r="J39" s="39"/>
    </row>
    <row r="40" spans="1:10" x14ac:dyDescent="0.25">
      <c r="A40" s="41">
        <f>A32+1</f>
        <v>5</v>
      </c>
      <c r="B40" s="8" t="s">
        <v>63</v>
      </c>
      <c r="C40" s="10" t="s">
        <v>0</v>
      </c>
      <c r="D40" s="1"/>
      <c r="E40" s="11">
        <v>11.35</v>
      </c>
      <c r="F40" s="11"/>
      <c r="G40" s="11"/>
      <c r="H40" s="11">
        <v>0</v>
      </c>
      <c r="I40" s="11">
        <f>E40*H40</f>
        <v>0</v>
      </c>
      <c r="J40" s="11">
        <f>G40+I40</f>
        <v>0</v>
      </c>
    </row>
    <row r="41" spans="1:10" ht="15.75" x14ac:dyDescent="0.25">
      <c r="A41" s="41"/>
      <c r="B41" s="7"/>
      <c r="C41" s="10"/>
      <c r="D41" s="1"/>
      <c r="E41" s="11"/>
      <c r="F41" s="15"/>
      <c r="G41" s="1"/>
      <c r="H41" s="39"/>
      <c r="I41" s="39"/>
      <c r="J41" s="39"/>
    </row>
    <row r="42" spans="1:10" x14ac:dyDescent="0.25">
      <c r="A42" s="41"/>
      <c r="B42" s="7" t="s">
        <v>20</v>
      </c>
      <c r="C42" s="3" t="s">
        <v>0</v>
      </c>
      <c r="D42" s="1">
        <v>1.02</v>
      </c>
      <c r="E42" s="55">
        <f>E40*D42</f>
        <v>11.577</v>
      </c>
      <c r="F42" s="55">
        <v>0</v>
      </c>
      <c r="G42" s="40">
        <f t="shared" ref="G42:G45" si="8">E42*F42</f>
        <v>0</v>
      </c>
      <c r="H42" s="55"/>
      <c r="I42" s="55"/>
      <c r="J42" s="40">
        <f t="shared" ref="J42:J45" si="9">G42+I42</f>
        <v>0</v>
      </c>
    </row>
    <row r="43" spans="1:10" x14ac:dyDescent="0.25">
      <c r="A43" s="41"/>
      <c r="B43" s="7" t="s">
        <v>21</v>
      </c>
      <c r="C43" s="3" t="s">
        <v>23</v>
      </c>
      <c r="D43" s="1">
        <v>1.02</v>
      </c>
      <c r="E43" s="57">
        <f>(1550.64)/1000*D43</f>
        <v>1.5816528000000001</v>
      </c>
      <c r="F43" s="55">
        <v>0</v>
      </c>
      <c r="G43" s="40">
        <f t="shared" si="8"/>
        <v>0</v>
      </c>
      <c r="H43" s="55"/>
      <c r="I43" s="55"/>
      <c r="J43" s="40">
        <f t="shared" si="9"/>
        <v>0</v>
      </c>
    </row>
    <row r="44" spans="1:10" x14ac:dyDescent="0.25">
      <c r="A44" s="41"/>
      <c r="B44" s="7" t="s">
        <v>58</v>
      </c>
      <c r="C44" s="3" t="s">
        <v>23</v>
      </c>
      <c r="D44" s="1">
        <v>1.02</v>
      </c>
      <c r="E44" s="57">
        <f>(36.6)/1000*D44</f>
        <v>3.7332000000000004E-2</v>
      </c>
      <c r="F44" s="55">
        <v>0</v>
      </c>
      <c r="G44" s="40">
        <f t="shared" si="8"/>
        <v>0</v>
      </c>
      <c r="H44" s="55"/>
      <c r="I44" s="55"/>
      <c r="J44" s="40">
        <f t="shared" si="9"/>
        <v>0</v>
      </c>
    </row>
    <row r="45" spans="1:10" x14ac:dyDescent="0.25">
      <c r="A45" s="41"/>
      <c r="B45" s="7" t="s">
        <v>25</v>
      </c>
      <c r="C45" s="3" t="s">
        <v>1</v>
      </c>
      <c r="D45" s="1"/>
      <c r="E45" s="51">
        <f>SUM(E43:E44)*7</f>
        <v>11.3328936</v>
      </c>
      <c r="F45" s="55">
        <v>0</v>
      </c>
      <c r="G45" s="40">
        <f t="shared" si="8"/>
        <v>0</v>
      </c>
      <c r="H45" s="55"/>
      <c r="I45" s="55"/>
      <c r="J45" s="40">
        <f t="shared" si="9"/>
        <v>0</v>
      </c>
    </row>
    <row r="46" spans="1:10" ht="15.75" x14ac:dyDescent="0.25">
      <c r="A46" s="41"/>
      <c r="B46" s="8"/>
      <c r="C46" s="10"/>
      <c r="D46" s="1"/>
      <c r="E46" s="11"/>
      <c r="F46" s="15"/>
      <c r="G46" s="1"/>
      <c r="H46" s="39"/>
      <c r="I46" s="39"/>
      <c r="J46" s="39"/>
    </row>
    <row r="47" spans="1:10" x14ac:dyDescent="0.25">
      <c r="A47" s="41">
        <f>A40+1</f>
        <v>6</v>
      </c>
      <c r="B47" s="8" t="s">
        <v>64</v>
      </c>
      <c r="C47" s="10" t="s">
        <v>0</v>
      </c>
      <c r="D47" s="1"/>
      <c r="E47" s="11">
        <v>12.1</v>
      </c>
      <c r="F47" s="11"/>
      <c r="G47" s="11"/>
      <c r="H47" s="11">
        <v>0</v>
      </c>
      <c r="I47" s="11">
        <f>E47*H47</f>
        <v>0</v>
      </c>
      <c r="J47" s="11">
        <f>G47+I47</f>
        <v>0</v>
      </c>
    </row>
    <row r="48" spans="1:10" x14ac:dyDescent="0.25">
      <c r="A48" s="41"/>
      <c r="B48" s="7"/>
      <c r="C48" s="3"/>
      <c r="D48" s="1"/>
      <c r="E48" s="57"/>
      <c r="F48" s="40"/>
      <c r="G48" s="40"/>
      <c r="H48" s="40"/>
      <c r="I48" s="40"/>
      <c r="J48" s="40"/>
    </row>
    <row r="49" spans="1:10" x14ac:dyDescent="0.25">
      <c r="A49" s="41"/>
      <c r="B49" s="7" t="s">
        <v>20</v>
      </c>
      <c r="C49" s="3" t="s">
        <v>0</v>
      </c>
      <c r="D49" s="1">
        <v>1.02</v>
      </c>
      <c r="E49" s="55">
        <f>E47*D49</f>
        <v>12.342000000000001</v>
      </c>
      <c r="F49" s="55">
        <v>0</v>
      </c>
      <c r="G49" s="40">
        <f t="shared" ref="G49:G52" si="10">E49*F49</f>
        <v>0</v>
      </c>
      <c r="H49" s="55"/>
      <c r="I49" s="55"/>
      <c r="J49" s="40">
        <f t="shared" ref="J49:J52" si="11">G49+I49</f>
        <v>0</v>
      </c>
    </row>
    <row r="50" spans="1:10" x14ac:dyDescent="0.25">
      <c r="A50" s="41"/>
      <c r="B50" s="7" t="s">
        <v>22</v>
      </c>
      <c r="C50" s="3" t="s">
        <v>23</v>
      </c>
      <c r="D50" s="1">
        <v>1.02</v>
      </c>
      <c r="E50" s="57">
        <f>(165.29)/1000*D50</f>
        <v>0.16859579999999999</v>
      </c>
      <c r="F50" s="55">
        <v>0</v>
      </c>
      <c r="G50" s="40">
        <f t="shared" si="10"/>
        <v>0</v>
      </c>
      <c r="H50" s="55"/>
      <c r="I50" s="55"/>
      <c r="J50" s="40">
        <f t="shared" si="11"/>
        <v>0</v>
      </c>
    </row>
    <row r="51" spans="1:10" x14ac:dyDescent="0.25">
      <c r="A51" s="41"/>
      <c r="B51" s="7" t="s">
        <v>21</v>
      </c>
      <c r="C51" s="3" t="s">
        <v>23</v>
      </c>
      <c r="D51" s="1">
        <v>1.02</v>
      </c>
      <c r="E51" s="57">
        <f>(1049.89)/1000*D51</f>
        <v>1.0708877999999999</v>
      </c>
      <c r="F51" s="55">
        <v>0</v>
      </c>
      <c r="G51" s="40">
        <f t="shared" si="10"/>
        <v>0</v>
      </c>
      <c r="H51" s="55"/>
      <c r="I51" s="55"/>
      <c r="J51" s="40">
        <f t="shared" si="11"/>
        <v>0</v>
      </c>
    </row>
    <row r="52" spans="1:10" x14ac:dyDescent="0.25">
      <c r="A52" s="41"/>
      <c r="B52" s="7" t="s">
        <v>25</v>
      </c>
      <c r="C52" s="3" t="s">
        <v>1</v>
      </c>
      <c r="D52" s="1"/>
      <c r="E52" s="51">
        <f>SUM(E50:E51)*7</f>
        <v>8.6763852000000004</v>
      </c>
      <c r="F52" s="55">
        <v>0</v>
      </c>
      <c r="G52" s="40">
        <f t="shared" si="10"/>
        <v>0</v>
      </c>
      <c r="H52" s="55"/>
      <c r="I52" s="55"/>
      <c r="J52" s="40">
        <f t="shared" si="11"/>
        <v>0</v>
      </c>
    </row>
    <row r="53" spans="1:10" ht="15.75" x14ac:dyDescent="0.25">
      <c r="A53" s="41"/>
      <c r="B53" s="8"/>
      <c r="C53" s="10"/>
      <c r="D53" s="1"/>
      <c r="E53" s="11"/>
      <c r="F53" s="15"/>
      <c r="G53" s="1"/>
      <c r="H53" s="39"/>
      <c r="I53" s="39"/>
      <c r="J53" s="39"/>
    </row>
    <row r="54" spans="1:10" x14ac:dyDescent="0.25">
      <c r="A54" s="41">
        <f>A47+1</f>
        <v>7</v>
      </c>
      <c r="B54" s="8" t="s">
        <v>65</v>
      </c>
      <c r="C54" s="10" t="s">
        <v>0</v>
      </c>
      <c r="D54" s="1"/>
      <c r="E54" s="11">
        <v>4.3</v>
      </c>
      <c r="F54" s="11"/>
      <c r="G54" s="11"/>
      <c r="H54" s="11">
        <v>0</v>
      </c>
      <c r="I54" s="11">
        <f>E54*H54</f>
        <v>0</v>
      </c>
      <c r="J54" s="11">
        <f>G54+I54</f>
        <v>0</v>
      </c>
    </row>
    <row r="55" spans="1:10" ht="15.75" x14ac:dyDescent="0.25">
      <c r="A55" s="41"/>
      <c r="B55" s="7"/>
      <c r="C55" s="10"/>
      <c r="D55" s="1"/>
      <c r="E55" s="11"/>
      <c r="F55" s="15"/>
      <c r="G55" s="1"/>
      <c r="H55" s="39"/>
      <c r="I55" s="39"/>
      <c r="J55" s="39"/>
    </row>
    <row r="56" spans="1:10" x14ac:dyDescent="0.25">
      <c r="A56" s="41"/>
      <c r="B56" s="7" t="s">
        <v>20</v>
      </c>
      <c r="C56" s="3" t="s">
        <v>0</v>
      </c>
      <c r="D56" s="1">
        <v>1.02</v>
      </c>
      <c r="E56" s="55">
        <f>E54*D56</f>
        <v>4.3860000000000001</v>
      </c>
      <c r="F56" s="55">
        <v>0</v>
      </c>
      <c r="G56" s="40">
        <f t="shared" ref="G56:G59" si="12">E56*F56</f>
        <v>0</v>
      </c>
      <c r="H56" s="55"/>
      <c r="I56" s="55"/>
      <c r="J56" s="40">
        <f t="shared" ref="J56:J59" si="13">G56+I56</f>
        <v>0</v>
      </c>
    </row>
    <row r="57" spans="1:10" x14ac:dyDescent="0.25">
      <c r="A57" s="41"/>
      <c r="B57" s="7" t="s">
        <v>21</v>
      </c>
      <c r="C57" s="3" t="s">
        <v>23</v>
      </c>
      <c r="D57" s="1">
        <v>1.02</v>
      </c>
      <c r="E57" s="57">
        <f>(611.75)/1000*D57</f>
        <v>0.62398500000000001</v>
      </c>
      <c r="F57" s="55">
        <v>0</v>
      </c>
      <c r="G57" s="40">
        <f t="shared" si="12"/>
        <v>0</v>
      </c>
      <c r="H57" s="55"/>
      <c r="I57" s="55"/>
      <c r="J57" s="40">
        <f t="shared" si="13"/>
        <v>0</v>
      </c>
    </row>
    <row r="58" spans="1:10" x14ac:dyDescent="0.25">
      <c r="A58" s="41"/>
      <c r="B58" s="7" t="s">
        <v>58</v>
      </c>
      <c r="C58" s="3" t="s">
        <v>23</v>
      </c>
      <c r="D58" s="1">
        <v>1.02</v>
      </c>
      <c r="E58" s="57">
        <f>(15)/1000*D58</f>
        <v>1.5299999999999999E-2</v>
      </c>
      <c r="F58" s="55">
        <v>0</v>
      </c>
      <c r="G58" s="40">
        <f t="shared" si="12"/>
        <v>0</v>
      </c>
      <c r="H58" s="55"/>
      <c r="I58" s="55"/>
      <c r="J58" s="40">
        <f t="shared" si="13"/>
        <v>0</v>
      </c>
    </row>
    <row r="59" spans="1:10" x14ac:dyDescent="0.25">
      <c r="A59" s="41"/>
      <c r="B59" s="7" t="s">
        <v>25</v>
      </c>
      <c r="C59" s="3" t="s">
        <v>1</v>
      </c>
      <c r="D59" s="1"/>
      <c r="E59" s="51">
        <f>SUM(E57:E58)*7</f>
        <v>4.4749949999999998</v>
      </c>
      <c r="F59" s="55">
        <v>0</v>
      </c>
      <c r="G59" s="40">
        <f t="shared" si="12"/>
        <v>0</v>
      </c>
      <c r="H59" s="55"/>
      <c r="I59" s="55"/>
      <c r="J59" s="40">
        <f t="shared" si="13"/>
        <v>0</v>
      </c>
    </row>
    <row r="60" spans="1:10" x14ac:dyDescent="0.25">
      <c r="A60" s="41"/>
      <c r="B60" s="7"/>
      <c r="C60" s="3"/>
      <c r="D60" s="1"/>
      <c r="E60" s="51"/>
      <c r="F60" s="40"/>
      <c r="G60" s="40"/>
      <c r="H60" s="40"/>
      <c r="I60" s="40"/>
      <c r="J60" s="40"/>
    </row>
    <row r="61" spans="1:10" x14ac:dyDescent="0.25">
      <c r="A61" s="41">
        <f>A54+1</f>
        <v>8</v>
      </c>
      <c r="B61" s="8" t="s">
        <v>66</v>
      </c>
      <c r="C61" s="10" t="s">
        <v>0</v>
      </c>
      <c r="D61" s="1"/>
      <c r="E61" s="11">
        <v>12.2</v>
      </c>
      <c r="F61" s="11"/>
      <c r="G61" s="11"/>
      <c r="H61" s="11">
        <v>0</v>
      </c>
      <c r="I61" s="11">
        <f>E61*H61</f>
        <v>0</v>
      </c>
      <c r="J61" s="11">
        <f>G61+I61</f>
        <v>0</v>
      </c>
    </row>
    <row r="62" spans="1:10" x14ac:dyDescent="0.25">
      <c r="A62" s="41"/>
      <c r="B62" s="7"/>
      <c r="C62" s="3"/>
      <c r="D62" s="1"/>
      <c r="E62" s="57"/>
      <c r="F62" s="40"/>
      <c r="G62" s="40"/>
      <c r="H62" s="40"/>
      <c r="I62" s="40"/>
      <c r="J62" s="40"/>
    </row>
    <row r="63" spans="1:10" x14ac:dyDescent="0.25">
      <c r="A63" s="41"/>
      <c r="B63" s="7" t="s">
        <v>20</v>
      </c>
      <c r="C63" s="3" t="s">
        <v>0</v>
      </c>
      <c r="D63" s="1">
        <v>1.02</v>
      </c>
      <c r="E63" s="55">
        <f>E61*D63</f>
        <v>12.443999999999999</v>
      </c>
      <c r="F63" s="55">
        <v>0</v>
      </c>
      <c r="G63" s="40">
        <f t="shared" ref="G63:G66" si="14">E63*F63</f>
        <v>0</v>
      </c>
      <c r="H63" s="55"/>
      <c r="I63" s="55"/>
      <c r="J63" s="40">
        <f t="shared" ref="J63:J66" si="15">G63+I63</f>
        <v>0</v>
      </c>
    </row>
    <row r="64" spans="1:10" x14ac:dyDescent="0.25">
      <c r="A64" s="41"/>
      <c r="B64" s="7" t="s">
        <v>22</v>
      </c>
      <c r="C64" s="3" t="s">
        <v>23</v>
      </c>
      <c r="D64" s="1">
        <v>1.02</v>
      </c>
      <c r="E64" s="57">
        <f>(2795.8)/1000*D64</f>
        <v>2.8517160000000001</v>
      </c>
      <c r="F64" s="55">
        <v>0</v>
      </c>
      <c r="G64" s="40">
        <f t="shared" si="14"/>
        <v>0</v>
      </c>
      <c r="H64" s="55"/>
      <c r="I64" s="55"/>
      <c r="J64" s="40">
        <f t="shared" si="15"/>
        <v>0</v>
      </c>
    </row>
    <row r="65" spans="1:10" x14ac:dyDescent="0.25">
      <c r="A65" s="41"/>
      <c r="B65" s="7" t="s">
        <v>21</v>
      </c>
      <c r="C65" s="3" t="s">
        <v>23</v>
      </c>
      <c r="D65" s="1">
        <v>1.02</v>
      </c>
      <c r="E65" s="57">
        <f>(57)/1000*D65</f>
        <v>5.8140000000000004E-2</v>
      </c>
      <c r="F65" s="55">
        <v>0</v>
      </c>
      <c r="G65" s="40">
        <f t="shared" si="14"/>
        <v>0</v>
      </c>
      <c r="H65" s="55"/>
      <c r="I65" s="55"/>
      <c r="J65" s="40">
        <f t="shared" si="15"/>
        <v>0</v>
      </c>
    </row>
    <row r="66" spans="1:10" x14ac:dyDescent="0.25">
      <c r="A66" s="41"/>
      <c r="B66" s="7" t="s">
        <v>25</v>
      </c>
      <c r="C66" s="3" t="s">
        <v>1</v>
      </c>
      <c r="D66" s="1"/>
      <c r="E66" s="51">
        <f>SUM(E64:E65)*7</f>
        <v>20.368991999999999</v>
      </c>
      <c r="F66" s="55">
        <v>0</v>
      </c>
      <c r="G66" s="40">
        <f t="shared" si="14"/>
        <v>0</v>
      </c>
      <c r="H66" s="55"/>
      <c r="I66" s="55"/>
      <c r="J66" s="40">
        <f t="shared" si="15"/>
        <v>0</v>
      </c>
    </row>
    <row r="67" spans="1:10" x14ac:dyDescent="0.25">
      <c r="A67" s="41"/>
      <c r="B67" s="7"/>
      <c r="C67" s="3"/>
      <c r="D67" s="1"/>
      <c r="E67" s="51"/>
      <c r="F67" s="40"/>
      <c r="G67" s="40"/>
      <c r="H67" s="40"/>
      <c r="I67" s="40"/>
      <c r="J67" s="40"/>
    </row>
    <row r="68" spans="1:10" x14ac:dyDescent="0.25">
      <c r="A68" s="41">
        <f>A61+1</f>
        <v>9</v>
      </c>
      <c r="B68" s="8" t="s">
        <v>67</v>
      </c>
      <c r="C68" s="10" t="s">
        <v>0</v>
      </c>
      <c r="D68" s="1"/>
      <c r="E68" s="11">
        <v>4.3</v>
      </c>
      <c r="F68" s="11"/>
      <c r="G68" s="11"/>
      <c r="H68" s="11">
        <v>0</v>
      </c>
      <c r="I68" s="11">
        <f>E68*H68</f>
        <v>0</v>
      </c>
      <c r="J68" s="11">
        <f>G68+I68</f>
        <v>0</v>
      </c>
    </row>
    <row r="69" spans="1:10" x14ac:dyDescent="0.25">
      <c r="A69" s="41"/>
      <c r="B69" s="7"/>
      <c r="C69" s="3"/>
      <c r="D69" s="1"/>
      <c r="E69" s="55"/>
      <c r="F69" s="55"/>
      <c r="G69" s="40">
        <f t="shared" ref="G69:G73" si="16">E69*F69</f>
        <v>0</v>
      </c>
      <c r="H69" s="55"/>
      <c r="I69" s="55"/>
      <c r="J69" s="40">
        <f>G69+I69</f>
        <v>0</v>
      </c>
    </row>
    <row r="70" spans="1:10" x14ac:dyDescent="0.25">
      <c r="A70" s="41"/>
      <c r="B70" s="7" t="s">
        <v>20</v>
      </c>
      <c r="C70" s="3" t="s">
        <v>0</v>
      </c>
      <c r="D70" s="1">
        <v>1.02</v>
      </c>
      <c r="E70" s="55">
        <f>E68*D70</f>
        <v>4.3860000000000001</v>
      </c>
      <c r="F70" s="55">
        <v>0</v>
      </c>
      <c r="G70" s="40">
        <f t="shared" si="16"/>
        <v>0</v>
      </c>
      <c r="H70" s="55"/>
      <c r="I70" s="55"/>
      <c r="J70" s="40">
        <f t="shared" ref="J70:J73" si="17">G70+I70</f>
        <v>0</v>
      </c>
    </row>
    <row r="71" spans="1:10" x14ac:dyDescent="0.25">
      <c r="A71" s="41"/>
      <c r="B71" s="7" t="s">
        <v>21</v>
      </c>
      <c r="C71" s="3" t="s">
        <v>23</v>
      </c>
      <c r="D71" s="1">
        <v>1.02</v>
      </c>
      <c r="E71" s="55">
        <f>(542.43)/1000*D71</f>
        <v>0.55327859999999995</v>
      </c>
      <c r="F71" s="55">
        <v>0</v>
      </c>
      <c r="G71" s="40">
        <f t="shared" si="16"/>
        <v>0</v>
      </c>
      <c r="H71" s="55"/>
      <c r="I71" s="55"/>
      <c r="J71" s="40">
        <f t="shared" si="17"/>
        <v>0</v>
      </c>
    </row>
    <row r="72" spans="1:10" x14ac:dyDescent="0.25">
      <c r="A72" s="41"/>
      <c r="B72" s="7" t="s">
        <v>58</v>
      </c>
      <c r="C72" s="3" t="s">
        <v>23</v>
      </c>
      <c r="D72" s="1">
        <v>1.02</v>
      </c>
      <c r="E72" s="55">
        <f>(17.4)/1000*D72</f>
        <v>1.7748E-2</v>
      </c>
      <c r="F72" s="55">
        <v>0</v>
      </c>
      <c r="G72" s="40">
        <f t="shared" si="16"/>
        <v>0</v>
      </c>
      <c r="H72" s="55"/>
      <c r="I72" s="55"/>
      <c r="J72" s="40">
        <f t="shared" si="17"/>
        <v>0</v>
      </c>
    </row>
    <row r="73" spans="1:10" x14ac:dyDescent="0.25">
      <c r="A73" s="41"/>
      <c r="B73" s="7" t="s">
        <v>25</v>
      </c>
      <c r="C73" s="3" t="s">
        <v>1</v>
      </c>
      <c r="D73" s="1"/>
      <c r="E73" s="55">
        <f>SUM(E71:E72)*7</f>
        <v>3.9971861999999998</v>
      </c>
      <c r="F73" s="55">
        <v>0</v>
      </c>
      <c r="G73" s="40">
        <f t="shared" si="16"/>
        <v>0</v>
      </c>
      <c r="H73" s="55"/>
      <c r="I73" s="55"/>
      <c r="J73" s="40">
        <f t="shared" si="17"/>
        <v>0</v>
      </c>
    </row>
    <row r="74" spans="1:10" x14ac:dyDescent="0.25">
      <c r="A74" s="41"/>
      <c r="B74" s="7"/>
      <c r="C74" s="3"/>
      <c r="D74" s="1"/>
      <c r="E74" s="51"/>
      <c r="F74" s="40"/>
      <c r="G74" s="40"/>
      <c r="H74" s="40"/>
      <c r="I74" s="40"/>
      <c r="J74" s="40"/>
    </row>
    <row r="75" spans="1:10" x14ac:dyDescent="0.25">
      <c r="A75" s="134"/>
      <c r="B75" s="135" t="s">
        <v>124</v>
      </c>
      <c r="C75" s="130"/>
      <c r="E75" s="133"/>
      <c r="F75" s="132"/>
      <c r="G75" s="132"/>
      <c r="H75" s="132"/>
      <c r="I75" s="129"/>
      <c r="J75" s="131"/>
    </row>
    <row r="76" spans="1:10" ht="30" x14ac:dyDescent="0.25">
      <c r="A76" s="41">
        <f>A68+1</f>
        <v>10</v>
      </c>
      <c r="B76" s="8" t="s">
        <v>102</v>
      </c>
      <c r="C76" s="10" t="s">
        <v>90</v>
      </c>
      <c r="D76" s="1"/>
      <c r="E76" s="11">
        <v>5</v>
      </c>
      <c r="F76" s="11"/>
      <c r="G76" s="11"/>
      <c r="H76" s="11">
        <v>0</v>
      </c>
      <c r="I76" s="11">
        <f>E76*H76</f>
        <v>0</v>
      </c>
      <c r="J76" s="11">
        <f t="shared" ref="J76:J81" si="18">G76+I76</f>
        <v>0</v>
      </c>
    </row>
    <row r="77" spans="1:10" ht="30" x14ac:dyDescent="0.25">
      <c r="A77" s="41">
        <f>A76</f>
        <v>10</v>
      </c>
      <c r="B77" s="8" t="s">
        <v>103</v>
      </c>
      <c r="C77" s="10" t="s">
        <v>90</v>
      </c>
      <c r="D77" s="1"/>
      <c r="E77" s="11">
        <v>6</v>
      </c>
      <c r="F77" s="11"/>
      <c r="G77" s="11"/>
      <c r="H77" s="11">
        <v>0</v>
      </c>
      <c r="I77" s="11">
        <f>E77*H77</f>
        <v>0</v>
      </c>
      <c r="J77" s="11">
        <f t="shared" si="18"/>
        <v>0</v>
      </c>
    </row>
    <row r="78" spans="1:10" x14ac:dyDescent="0.25">
      <c r="A78" s="41">
        <f>A76+1</f>
        <v>11</v>
      </c>
      <c r="B78" s="8" t="s">
        <v>104</v>
      </c>
      <c r="C78" s="10" t="s">
        <v>90</v>
      </c>
      <c r="D78" s="1"/>
      <c r="E78" s="11">
        <v>10</v>
      </c>
      <c r="F78" s="11"/>
      <c r="G78" s="11"/>
      <c r="H78" s="11">
        <v>0</v>
      </c>
      <c r="I78" s="11">
        <f>E78*H78</f>
        <v>0</v>
      </c>
      <c r="J78" s="11">
        <f t="shared" si="18"/>
        <v>0</v>
      </c>
    </row>
    <row r="79" spans="1:10" x14ac:dyDescent="0.25">
      <c r="A79" s="41"/>
      <c r="B79" s="7" t="s">
        <v>136</v>
      </c>
      <c r="C79" s="3" t="s">
        <v>90</v>
      </c>
      <c r="D79" s="1"/>
      <c r="E79" s="55">
        <f>E76</f>
        <v>5</v>
      </c>
      <c r="F79" s="55">
        <v>0</v>
      </c>
      <c r="G79" s="40">
        <f t="shared" ref="G79:G81" si="19">E79*F79</f>
        <v>0</v>
      </c>
      <c r="H79" s="55"/>
      <c r="I79" s="55"/>
      <c r="J79" s="40">
        <f t="shared" si="18"/>
        <v>0</v>
      </c>
    </row>
    <row r="80" spans="1:10" x14ac:dyDescent="0.25">
      <c r="A80" s="41"/>
      <c r="B80" s="7" t="s">
        <v>137</v>
      </c>
      <c r="C80" s="3" t="s">
        <v>90</v>
      </c>
      <c r="D80" s="1"/>
      <c r="E80" s="55">
        <f>E77</f>
        <v>6</v>
      </c>
      <c r="F80" s="55">
        <v>0</v>
      </c>
      <c r="G80" s="40">
        <f t="shared" si="19"/>
        <v>0</v>
      </c>
      <c r="H80" s="55"/>
      <c r="I80" s="55"/>
      <c r="J80" s="40">
        <f t="shared" si="18"/>
        <v>0</v>
      </c>
    </row>
    <row r="81" spans="1:10" x14ac:dyDescent="0.25">
      <c r="A81" s="41"/>
      <c r="B81" s="7" t="s">
        <v>111</v>
      </c>
      <c r="C81" s="3" t="s">
        <v>90</v>
      </c>
      <c r="D81" s="1"/>
      <c r="E81" s="55">
        <f>E78</f>
        <v>10</v>
      </c>
      <c r="F81" s="55">
        <v>0</v>
      </c>
      <c r="G81" s="40">
        <f t="shared" si="19"/>
        <v>0</v>
      </c>
      <c r="H81" s="55"/>
      <c r="I81" s="55"/>
      <c r="J81" s="40">
        <f t="shared" si="18"/>
        <v>0</v>
      </c>
    </row>
    <row r="82" spans="1:10" x14ac:dyDescent="0.25">
      <c r="A82" s="41"/>
      <c r="B82" s="7" t="s">
        <v>138</v>
      </c>
      <c r="C82" s="3" t="s">
        <v>0</v>
      </c>
      <c r="D82" s="1"/>
      <c r="E82" s="55">
        <f>(E78+0)*0.0025</f>
        <v>2.5000000000000001E-2</v>
      </c>
      <c r="F82" s="40"/>
      <c r="G82" s="40">
        <f>E82*F82</f>
        <v>0</v>
      </c>
      <c r="H82" s="40"/>
      <c r="I82" s="40"/>
      <c r="J82" s="40">
        <f>G82</f>
        <v>0</v>
      </c>
    </row>
    <row r="83" spans="1:10" x14ac:dyDescent="0.25">
      <c r="A83" s="41">
        <f>A78+1</f>
        <v>12</v>
      </c>
      <c r="B83" s="8" t="s">
        <v>125</v>
      </c>
      <c r="C83" s="10" t="s">
        <v>0</v>
      </c>
      <c r="D83" s="1"/>
      <c r="E83" s="11">
        <f>0.05*6</f>
        <v>0.30000000000000004</v>
      </c>
      <c r="F83" s="11"/>
      <c r="G83" s="11"/>
      <c r="H83" s="11">
        <v>0</v>
      </c>
      <c r="I83" s="11">
        <f>E83*H83</f>
        <v>0</v>
      </c>
      <c r="J83" s="11">
        <f t="shared" ref="J83:J92" si="20">G83+I83</f>
        <v>0</v>
      </c>
    </row>
    <row r="84" spans="1:10" x14ac:dyDescent="0.25">
      <c r="A84" s="41"/>
      <c r="B84" s="7" t="s">
        <v>113</v>
      </c>
      <c r="C84" s="3" t="s">
        <v>0</v>
      </c>
      <c r="D84" s="1"/>
      <c r="E84" s="55">
        <f>E83*1.02</f>
        <v>0.30600000000000005</v>
      </c>
      <c r="F84" s="55">
        <v>0</v>
      </c>
      <c r="G84" s="40">
        <f t="shared" ref="G84:G85" si="21">E84*F84</f>
        <v>0</v>
      </c>
      <c r="H84" s="55"/>
      <c r="I84" s="55"/>
      <c r="J84" s="40">
        <f t="shared" si="20"/>
        <v>0</v>
      </c>
    </row>
    <row r="85" spans="1:10" x14ac:dyDescent="0.25">
      <c r="A85" s="41"/>
      <c r="B85" s="7" t="s">
        <v>139</v>
      </c>
      <c r="C85" s="3" t="s">
        <v>23</v>
      </c>
      <c r="D85" s="1"/>
      <c r="E85" s="55">
        <f>5.58*1.015/1000*6</f>
        <v>3.3982199999999997E-2</v>
      </c>
      <c r="F85" s="55">
        <v>0</v>
      </c>
      <c r="G85" s="40">
        <f t="shared" si="21"/>
        <v>0</v>
      </c>
      <c r="H85" s="55"/>
      <c r="I85" s="55"/>
      <c r="J85" s="40">
        <f t="shared" si="20"/>
        <v>0</v>
      </c>
    </row>
    <row r="86" spans="1:10" x14ac:dyDescent="0.25">
      <c r="A86" s="41">
        <f>A83+1</f>
        <v>13</v>
      </c>
      <c r="B86" s="8" t="s">
        <v>106</v>
      </c>
      <c r="C86" s="10" t="s">
        <v>0</v>
      </c>
      <c r="D86" s="1"/>
      <c r="E86" s="11">
        <v>0.49</v>
      </c>
      <c r="F86" s="11"/>
      <c r="G86" s="11"/>
      <c r="H86" s="11">
        <v>0</v>
      </c>
      <c r="I86" s="11">
        <f>E86*H86</f>
        <v>0</v>
      </c>
      <c r="J86" s="11">
        <f t="shared" si="20"/>
        <v>0</v>
      </c>
    </row>
    <row r="87" spans="1:10" x14ac:dyDescent="0.25">
      <c r="A87" s="41"/>
      <c r="B87" s="7" t="s">
        <v>113</v>
      </c>
      <c r="C87" s="3" t="s">
        <v>0</v>
      </c>
      <c r="D87" s="1"/>
      <c r="E87" s="55">
        <f>E86*1.02</f>
        <v>0.49980000000000002</v>
      </c>
      <c r="F87" s="55">
        <v>0</v>
      </c>
      <c r="G87" s="40">
        <f t="shared" ref="G87:G89" si="22">E87*F87</f>
        <v>0</v>
      </c>
      <c r="H87" s="55"/>
      <c r="I87" s="55"/>
      <c r="J87" s="40">
        <f t="shared" si="20"/>
        <v>0</v>
      </c>
    </row>
    <row r="88" spans="1:10" x14ac:dyDescent="0.25">
      <c r="A88" s="41"/>
      <c r="B88" s="7" t="s">
        <v>140</v>
      </c>
      <c r="C88" s="3" t="s">
        <v>23</v>
      </c>
      <c r="D88" s="1"/>
      <c r="E88" s="55">
        <f>1.44*1.015/1000</f>
        <v>1.4615999999999997E-3</v>
      </c>
      <c r="F88" s="55">
        <v>0</v>
      </c>
      <c r="G88" s="40">
        <f t="shared" si="22"/>
        <v>0</v>
      </c>
      <c r="H88" s="55"/>
      <c r="I88" s="55"/>
      <c r="J88" s="40">
        <f t="shared" si="20"/>
        <v>0</v>
      </c>
    </row>
    <row r="89" spans="1:10" x14ac:dyDescent="0.25">
      <c r="A89" s="41"/>
      <c r="B89" s="7" t="s">
        <v>141</v>
      </c>
      <c r="C89" s="3" t="s">
        <v>23</v>
      </c>
      <c r="D89" s="1"/>
      <c r="E89" s="55">
        <f>36.36*1.015/1000</f>
        <v>3.6905399999999991E-2</v>
      </c>
      <c r="F89" s="55">
        <v>0</v>
      </c>
      <c r="G89" s="40">
        <f t="shared" si="22"/>
        <v>0</v>
      </c>
      <c r="H89" s="55"/>
      <c r="I89" s="55"/>
      <c r="J89" s="40">
        <f t="shared" si="20"/>
        <v>0</v>
      </c>
    </row>
    <row r="90" spans="1:10" x14ac:dyDescent="0.25">
      <c r="A90" s="41">
        <f>A86+1</f>
        <v>14</v>
      </c>
      <c r="B90" s="8" t="s">
        <v>107</v>
      </c>
      <c r="C90" s="10" t="s">
        <v>23</v>
      </c>
      <c r="D90" s="1"/>
      <c r="E90" s="11">
        <f>E91/1.015+E92/1.02</f>
        <v>2.0800000000000003E-3</v>
      </c>
      <c r="F90" s="11"/>
      <c r="G90" s="11"/>
      <c r="H90" s="11">
        <v>0</v>
      </c>
      <c r="I90" s="11">
        <f>E90*H90</f>
        <v>0</v>
      </c>
      <c r="J90" s="11">
        <f t="shared" si="20"/>
        <v>0</v>
      </c>
    </row>
    <row r="91" spans="1:10" x14ac:dyDescent="0.25">
      <c r="A91" s="41"/>
      <c r="B91" s="7" t="s">
        <v>140</v>
      </c>
      <c r="C91" s="3" t="s">
        <v>23</v>
      </c>
      <c r="D91" s="1"/>
      <c r="E91" s="55">
        <f>1.12*1.015/1000</f>
        <v>1.1368000000000001E-3</v>
      </c>
      <c r="F91" s="55">
        <v>0</v>
      </c>
      <c r="G91" s="40">
        <f t="shared" ref="G91:G92" si="23">E91*F91</f>
        <v>0</v>
      </c>
      <c r="H91" s="55"/>
      <c r="I91" s="55"/>
      <c r="J91" s="40">
        <f t="shared" si="20"/>
        <v>0</v>
      </c>
    </row>
    <row r="92" spans="1:10" x14ac:dyDescent="0.25">
      <c r="A92" s="41"/>
      <c r="B92" s="7" t="s">
        <v>142</v>
      </c>
      <c r="C92" s="3" t="s">
        <v>23</v>
      </c>
      <c r="D92" s="1"/>
      <c r="E92" s="55">
        <f>0.96*1.02/1000</f>
        <v>9.7919999999999995E-4</v>
      </c>
      <c r="F92" s="55">
        <v>0</v>
      </c>
      <c r="G92" s="40">
        <f t="shared" si="23"/>
        <v>0</v>
      </c>
      <c r="H92" s="55"/>
      <c r="I92" s="55"/>
      <c r="J92" s="40">
        <f t="shared" si="20"/>
        <v>0</v>
      </c>
    </row>
    <row r="94" spans="1:10" ht="30" x14ac:dyDescent="0.25">
      <c r="A94" s="41">
        <f>A90+1</f>
        <v>15</v>
      </c>
      <c r="B94" s="8" t="s">
        <v>56</v>
      </c>
      <c r="C94" s="10" t="s">
        <v>0</v>
      </c>
      <c r="D94" s="1"/>
      <c r="E94" s="11">
        <v>1.26</v>
      </c>
      <c r="F94" s="11"/>
      <c r="G94" s="11"/>
      <c r="H94" s="11">
        <v>0</v>
      </c>
      <c r="I94" s="11">
        <f>E94*H94</f>
        <v>0</v>
      </c>
      <c r="J94" s="11">
        <f>G94+I94</f>
        <v>0</v>
      </c>
    </row>
    <row r="95" spans="1:10" x14ac:dyDescent="0.25">
      <c r="A95" s="41"/>
      <c r="B95" s="7" t="s">
        <v>57</v>
      </c>
      <c r="C95" s="3" t="s">
        <v>0</v>
      </c>
      <c r="D95" s="1">
        <v>1.02</v>
      </c>
      <c r="E95" s="55">
        <f>E94*D95</f>
        <v>1.2852000000000001</v>
      </c>
      <c r="F95" s="55">
        <v>0</v>
      </c>
      <c r="G95" s="40">
        <f t="shared" ref="G95" si="24">E95*F95</f>
        <v>0</v>
      </c>
      <c r="H95" s="55"/>
      <c r="I95" s="55"/>
      <c r="J95" s="40">
        <f>G95+I95</f>
        <v>0</v>
      </c>
    </row>
    <row r="96" spans="1:10" x14ac:dyDescent="0.25">
      <c r="A96" s="41"/>
      <c r="B96" s="7" t="s">
        <v>26</v>
      </c>
      <c r="C96" s="3" t="s">
        <v>23</v>
      </c>
      <c r="D96" s="1">
        <v>1.02</v>
      </c>
      <c r="E96" s="57">
        <f>(122.54)/1000*D96</f>
        <v>0.12499080000000001</v>
      </c>
      <c r="F96" s="40">
        <v>0</v>
      </c>
      <c r="G96" s="40">
        <f t="shared" ref="G96:G98" si="25">E96*F96</f>
        <v>0</v>
      </c>
      <c r="H96" s="55"/>
      <c r="I96" s="55"/>
      <c r="J96" s="40">
        <f t="shared" ref="J96:J98" si="26">G96+I96</f>
        <v>0</v>
      </c>
    </row>
    <row r="97" spans="1:10" x14ac:dyDescent="0.25">
      <c r="A97" s="41"/>
      <c r="B97" s="7" t="s">
        <v>24</v>
      </c>
      <c r="C97" s="3" t="s">
        <v>23</v>
      </c>
      <c r="D97" s="1">
        <v>1.02</v>
      </c>
      <c r="E97" s="57">
        <f>(2.6)/1000*D97</f>
        <v>2.6519999999999998E-3</v>
      </c>
      <c r="F97" s="40">
        <v>0</v>
      </c>
      <c r="G97" s="40">
        <f t="shared" si="25"/>
        <v>0</v>
      </c>
      <c r="H97" s="55"/>
      <c r="I97" s="55"/>
      <c r="J97" s="40">
        <f t="shared" si="26"/>
        <v>0</v>
      </c>
    </row>
    <row r="98" spans="1:10" x14ac:dyDescent="0.25">
      <c r="A98" s="41"/>
      <c r="B98" s="7" t="s">
        <v>58</v>
      </c>
      <c r="C98" s="3" t="s">
        <v>23</v>
      </c>
      <c r="D98" s="1">
        <v>1.02</v>
      </c>
      <c r="E98" s="57">
        <f>(13.44)/1000*D98</f>
        <v>1.3708799999999998E-2</v>
      </c>
      <c r="F98" s="40">
        <v>0</v>
      </c>
      <c r="G98" s="40">
        <f t="shared" si="25"/>
        <v>0</v>
      </c>
      <c r="H98" s="55"/>
      <c r="I98" s="55"/>
      <c r="J98" s="40">
        <f t="shared" si="26"/>
        <v>0</v>
      </c>
    </row>
    <row r="100" spans="1:10" ht="45" x14ac:dyDescent="0.25">
      <c r="A100" s="134"/>
      <c r="B100" s="135" t="s">
        <v>128</v>
      </c>
      <c r="C100" s="130"/>
      <c r="E100" s="133"/>
      <c r="F100" s="132"/>
      <c r="G100" s="132"/>
      <c r="H100" s="132"/>
      <c r="I100" s="129"/>
      <c r="J100" s="131"/>
    </row>
    <row r="101" spans="1:10" ht="30" x14ac:dyDescent="0.25">
      <c r="A101" s="41">
        <f>A94+1</f>
        <v>16</v>
      </c>
      <c r="B101" s="8" t="s">
        <v>91</v>
      </c>
      <c r="C101" s="10" t="s">
        <v>90</v>
      </c>
      <c r="D101" s="1"/>
      <c r="E101" s="11">
        <v>161</v>
      </c>
      <c r="F101" s="11"/>
      <c r="G101" s="11"/>
      <c r="H101" s="11">
        <v>0</v>
      </c>
      <c r="I101" s="11">
        <f>E101*H101</f>
        <v>0</v>
      </c>
      <c r="J101" s="11">
        <f>G101+I101</f>
        <v>0</v>
      </c>
    </row>
    <row r="102" spans="1:10" x14ac:dyDescent="0.25">
      <c r="A102" s="41"/>
      <c r="B102" s="7" t="s">
        <v>123</v>
      </c>
      <c r="C102" s="3" t="s">
        <v>90</v>
      </c>
      <c r="D102" s="1"/>
      <c r="E102" s="55">
        <v>101</v>
      </c>
      <c r="F102" s="55">
        <v>0</v>
      </c>
      <c r="G102" s="40">
        <f t="shared" ref="G102:G104" si="27">E102*F102</f>
        <v>0</v>
      </c>
      <c r="H102" s="55"/>
      <c r="I102" s="55"/>
      <c r="J102" s="40">
        <f>G102+I102</f>
        <v>0</v>
      </c>
    </row>
    <row r="103" spans="1:10" x14ac:dyDescent="0.25">
      <c r="A103" s="41"/>
      <c r="B103" s="7" t="s">
        <v>93</v>
      </c>
      <c r="C103" s="3" t="s">
        <v>90</v>
      </c>
      <c r="D103" s="1"/>
      <c r="E103" s="55">
        <v>60</v>
      </c>
      <c r="F103" s="55">
        <v>0</v>
      </c>
      <c r="G103" s="40">
        <f t="shared" si="27"/>
        <v>0</v>
      </c>
      <c r="H103" s="55"/>
      <c r="I103" s="55"/>
      <c r="J103" s="40">
        <f>G103+I103</f>
        <v>0</v>
      </c>
    </row>
    <row r="104" spans="1:10" x14ac:dyDescent="0.25">
      <c r="A104" s="41"/>
      <c r="B104" s="7" t="s">
        <v>112</v>
      </c>
      <c r="C104" s="3" t="s">
        <v>0</v>
      </c>
      <c r="D104" s="1"/>
      <c r="E104" s="55">
        <v>5.24</v>
      </c>
      <c r="F104" s="55">
        <v>0</v>
      </c>
      <c r="G104" s="40">
        <f t="shared" si="27"/>
        <v>0</v>
      </c>
      <c r="H104" s="55"/>
      <c r="I104" s="55"/>
      <c r="J104" s="55"/>
    </row>
    <row r="105" spans="1:10" ht="30" x14ac:dyDescent="0.25">
      <c r="A105" s="41">
        <f>A94+1</f>
        <v>16</v>
      </c>
      <c r="B105" s="8" t="s">
        <v>94</v>
      </c>
      <c r="C105" s="10" t="s">
        <v>23</v>
      </c>
      <c r="D105" s="1"/>
      <c r="E105" s="11">
        <v>1.3577679999999999</v>
      </c>
      <c r="F105" s="11"/>
      <c r="G105" s="11"/>
      <c r="H105" s="11">
        <v>0</v>
      </c>
      <c r="I105" s="11">
        <f>E105*H105</f>
        <v>0</v>
      </c>
      <c r="J105" s="11">
        <f>G105+I105</f>
        <v>0</v>
      </c>
    </row>
    <row r="106" spans="1:10" x14ac:dyDescent="0.25">
      <c r="A106" s="41"/>
      <c r="B106" s="7" t="s">
        <v>133</v>
      </c>
      <c r="C106" s="3" t="s">
        <v>23</v>
      </c>
      <c r="D106" s="1"/>
      <c r="E106" s="55">
        <v>1.3069056000000001</v>
      </c>
      <c r="F106" s="55">
        <v>0</v>
      </c>
      <c r="G106" s="40">
        <f t="shared" ref="G106:G108" si="28">E106*F106</f>
        <v>0</v>
      </c>
      <c r="H106" s="55"/>
      <c r="I106" s="55"/>
      <c r="J106" s="40">
        <f t="shared" ref="J106:J108" si="29">G106+I106</f>
        <v>0</v>
      </c>
    </row>
    <row r="107" spans="1:10" x14ac:dyDescent="0.25">
      <c r="A107" s="41"/>
      <c r="B107" s="7" t="s">
        <v>114</v>
      </c>
      <c r="C107" s="3" t="s">
        <v>23</v>
      </c>
      <c r="D107" s="1"/>
      <c r="E107" s="55">
        <v>4.0080320000000003E-2</v>
      </c>
      <c r="F107" s="55">
        <v>0</v>
      </c>
      <c r="G107" s="40">
        <f t="shared" si="28"/>
        <v>0</v>
      </c>
      <c r="H107" s="55"/>
      <c r="I107" s="55"/>
      <c r="J107" s="40">
        <f t="shared" si="29"/>
        <v>0</v>
      </c>
    </row>
    <row r="108" spans="1:10" x14ac:dyDescent="0.25">
      <c r="A108" s="41"/>
      <c r="B108" s="7" t="s">
        <v>95</v>
      </c>
      <c r="C108" s="3" t="s">
        <v>96</v>
      </c>
      <c r="D108" s="1"/>
      <c r="E108" s="55">
        <v>672</v>
      </c>
      <c r="F108" s="55">
        <v>0</v>
      </c>
      <c r="G108" s="40">
        <f t="shared" si="28"/>
        <v>0</v>
      </c>
      <c r="H108" s="55"/>
      <c r="I108" s="55"/>
      <c r="J108" s="40">
        <f t="shared" si="29"/>
        <v>0</v>
      </c>
    </row>
    <row r="109" spans="1:10" x14ac:dyDescent="0.25">
      <c r="A109" s="41">
        <v>3</v>
      </c>
      <c r="B109" s="8" t="s">
        <v>97</v>
      </c>
      <c r="C109" s="10" t="s">
        <v>90</v>
      </c>
      <c r="D109" s="1"/>
      <c r="E109" s="11">
        <v>161</v>
      </c>
      <c r="F109" s="11"/>
      <c r="G109" s="11"/>
      <c r="H109" s="11">
        <v>0</v>
      </c>
      <c r="I109" s="11">
        <f>E109*H109</f>
        <v>0</v>
      </c>
      <c r="J109" s="11">
        <f>G109+I109</f>
        <v>0</v>
      </c>
    </row>
    <row r="111" spans="1:10" x14ac:dyDescent="0.25">
      <c r="A111" s="127"/>
      <c r="B111" s="126" t="s">
        <v>13</v>
      </c>
      <c r="C111" s="125"/>
      <c r="D111" s="125"/>
      <c r="E111" s="125"/>
      <c r="F111" s="124"/>
      <c r="G111" s="124"/>
      <c r="H111" s="124"/>
      <c r="I111" s="124"/>
      <c r="J111" s="124">
        <f>SUM(J9:J109)</f>
        <v>0</v>
      </c>
    </row>
    <row r="112" spans="1:10" x14ac:dyDescent="0.25">
      <c r="A112" s="127"/>
      <c r="B112" s="126" t="s">
        <v>14</v>
      </c>
      <c r="C112" s="125"/>
      <c r="D112" s="125"/>
      <c r="E112" s="125"/>
      <c r="F112" s="124"/>
      <c r="G112" s="124">
        <f>SUM(G9:G109)</f>
        <v>0</v>
      </c>
      <c r="H112" s="124"/>
      <c r="I112" s="124">
        <f>SUM(I9:I109)</f>
        <v>0</v>
      </c>
      <c r="J112" s="124">
        <f>J111</f>
        <v>0</v>
      </c>
    </row>
    <row r="113" spans="1:10" x14ac:dyDescent="0.25">
      <c r="A113" s="127"/>
      <c r="B113" s="123" t="s">
        <v>15</v>
      </c>
      <c r="C113" s="122"/>
      <c r="D113" s="122"/>
      <c r="E113" s="122"/>
      <c r="F113" s="121"/>
      <c r="G113" s="121">
        <f>G112*0.2</f>
        <v>0</v>
      </c>
      <c r="H113" s="121"/>
      <c r="I113" s="121">
        <f>I112*0.2</f>
        <v>0</v>
      </c>
      <c r="J113" s="121">
        <f>J112*0.2</f>
        <v>0</v>
      </c>
    </row>
    <row r="114" spans="1:10" x14ac:dyDescent="0.25">
      <c r="A114" s="127"/>
      <c r="B114" s="126" t="s">
        <v>16</v>
      </c>
      <c r="C114" s="122"/>
      <c r="D114" s="122"/>
      <c r="E114" s="122"/>
      <c r="F114" s="121"/>
      <c r="G114" s="121">
        <f>SUM(G112:G113)</f>
        <v>0</v>
      </c>
      <c r="H114" s="121"/>
      <c r="I114" s="121">
        <f>SUM(I112:I113)</f>
        <v>0</v>
      </c>
      <c r="J114" s="124">
        <f>SUM(J112:J113)</f>
        <v>0</v>
      </c>
    </row>
    <row r="115" spans="1:10" x14ac:dyDescent="0.25">
      <c r="A115" s="120"/>
      <c r="B115" s="119" t="s">
        <v>17</v>
      </c>
      <c r="C115" s="120"/>
      <c r="D115" s="120"/>
      <c r="E115" s="120"/>
      <c r="F115" s="118"/>
      <c r="G115" s="118">
        <v>0</v>
      </c>
      <c r="H115" s="118"/>
      <c r="I115" s="118"/>
      <c r="J115" s="117">
        <f>G115</f>
        <v>0</v>
      </c>
    </row>
    <row r="116" spans="1:10" ht="24" x14ac:dyDescent="0.25">
      <c r="A116" s="120"/>
      <c r="B116" s="119" t="s">
        <v>18</v>
      </c>
      <c r="C116" s="120"/>
      <c r="D116" s="120"/>
      <c r="E116" s="120"/>
      <c r="F116" s="118"/>
      <c r="G116" s="118">
        <f>G114-G115</f>
        <v>0</v>
      </c>
      <c r="H116" s="118"/>
      <c r="I116" s="118"/>
      <c r="J116" s="116">
        <f>J114-J115</f>
        <v>0</v>
      </c>
    </row>
    <row r="117" spans="1:10" x14ac:dyDescent="0.25">
      <c r="A117" s="109"/>
      <c r="B117" s="110"/>
      <c r="C117" s="109"/>
      <c r="D117" s="109"/>
      <c r="E117" s="109"/>
      <c r="F117" s="109"/>
      <c r="G117" s="109"/>
      <c r="H117" s="109"/>
      <c r="I117" s="109"/>
      <c r="J117" s="109"/>
    </row>
    <row r="118" spans="1:10" x14ac:dyDescent="0.25">
      <c r="A118" s="109"/>
      <c r="B118" s="110"/>
      <c r="C118" s="109"/>
      <c r="D118" s="109"/>
      <c r="E118" s="109"/>
      <c r="F118" s="109"/>
      <c r="G118" s="109"/>
      <c r="H118" s="109"/>
      <c r="I118" s="109"/>
      <c r="J118" s="109"/>
    </row>
    <row r="119" spans="1:10" x14ac:dyDescent="0.25">
      <c r="A119" s="109"/>
      <c r="B119" s="110"/>
      <c r="C119" s="109"/>
      <c r="D119" s="109"/>
      <c r="E119" s="109"/>
      <c r="F119" s="109"/>
      <c r="G119" s="109"/>
      <c r="H119" s="109"/>
      <c r="I119" s="109"/>
      <c r="J119" s="109"/>
    </row>
    <row r="163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4" ht="16.5" customHeight="1" x14ac:dyDescent="0.25"/>
    <row r="175" ht="16.5" customHeight="1" x14ac:dyDescent="0.25"/>
    <row r="176" ht="16.5" customHeight="1" x14ac:dyDescent="0.25"/>
  </sheetData>
  <mergeCells count="11">
    <mergeCell ref="B1:J1"/>
    <mergeCell ref="A2:J2"/>
    <mergeCell ref="A3:J3"/>
    <mergeCell ref="J5:J6"/>
    <mergeCell ref="A5:A6"/>
    <mergeCell ref="B5:B6"/>
    <mergeCell ref="C5:C6"/>
    <mergeCell ref="D5:D6"/>
    <mergeCell ref="E5:E6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C59F-5F7E-4D49-821A-75E95F4DB6D7}">
  <dimension ref="A1:M193"/>
  <sheetViews>
    <sheetView workbookViewId="0">
      <selection activeCell="O7" sqref="O7"/>
    </sheetView>
  </sheetViews>
  <sheetFormatPr defaultColWidth="8.85546875" defaultRowHeight="15" x14ac:dyDescent="0.25"/>
  <cols>
    <col min="1" max="1" width="9" style="87" bestFit="1" customWidth="1"/>
    <col min="2" max="2" width="50" style="87" customWidth="1"/>
    <col min="3" max="3" width="8.85546875" style="87"/>
    <col min="4" max="7" width="9" style="87" bestFit="1" customWidth="1"/>
    <col min="8" max="8" width="9.42578125" style="87" bestFit="1" customWidth="1"/>
    <col min="9" max="9" width="12.5703125" style="87" customWidth="1"/>
    <col min="10" max="10" width="14.42578125" style="87" customWidth="1"/>
    <col min="11" max="16384" width="8.85546875" style="87"/>
  </cols>
  <sheetData>
    <row r="1" spans="1:11" ht="18.75" x14ac:dyDescent="0.25">
      <c r="A1" s="137"/>
      <c r="B1" s="151" t="s">
        <v>145</v>
      </c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1.6" customHeight="1" x14ac:dyDescent="0.25">
      <c r="A2" s="151" t="s">
        <v>126</v>
      </c>
      <c r="B2" s="151"/>
      <c r="C2" s="151"/>
      <c r="D2" s="151"/>
      <c r="E2" s="151"/>
      <c r="F2" s="151"/>
      <c r="G2" s="151"/>
      <c r="H2" s="151"/>
      <c r="I2" s="151"/>
      <c r="J2" s="151"/>
      <c r="K2" s="137"/>
    </row>
    <row r="3" spans="1:11" ht="38.450000000000003" customHeight="1" x14ac:dyDescent="0.25">
      <c r="A3" s="152" t="s">
        <v>175</v>
      </c>
      <c r="B3" s="152"/>
      <c r="C3" s="152"/>
      <c r="D3" s="152"/>
      <c r="E3" s="152"/>
      <c r="F3" s="152"/>
      <c r="G3" s="152"/>
      <c r="H3" s="152"/>
      <c r="I3" s="152"/>
      <c r="J3" s="152"/>
      <c r="K3" s="137"/>
    </row>
    <row r="4" spans="1:11" x14ac:dyDescent="0.25">
      <c r="A4" s="13"/>
      <c r="B4" s="45"/>
      <c r="C4" s="13"/>
      <c r="D4" s="13"/>
      <c r="E4" s="13"/>
      <c r="F4" s="13"/>
      <c r="G4" s="13"/>
      <c r="H4" s="13"/>
      <c r="I4" s="13"/>
      <c r="J4" s="13"/>
    </row>
    <row r="5" spans="1:11" x14ac:dyDescent="0.25">
      <c r="A5" s="150" t="s">
        <v>2</v>
      </c>
      <c r="B5" s="150" t="s">
        <v>3</v>
      </c>
      <c r="C5" s="150" t="s">
        <v>4</v>
      </c>
      <c r="D5" s="150" t="s">
        <v>5</v>
      </c>
      <c r="E5" s="150" t="s">
        <v>6</v>
      </c>
      <c r="F5" s="150" t="s">
        <v>7</v>
      </c>
      <c r="G5" s="150"/>
      <c r="H5" s="150" t="s">
        <v>8</v>
      </c>
      <c r="I5" s="150"/>
      <c r="J5" s="150" t="s">
        <v>9</v>
      </c>
    </row>
    <row r="6" spans="1:11" ht="51" x14ac:dyDescent="0.25">
      <c r="A6" s="150"/>
      <c r="B6" s="150"/>
      <c r="C6" s="150"/>
      <c r="D6" s="150"/>
      <c r="E6" s="150"/>
      <c r="F6" s="60" t="s">
        <v>10</v>
      </c>
      <c r="G6" s="60" t="s">
        <v>11</v>
      </c>
      <c r="H6" s="60" t="s">
        <v>10</v>
      </c>
      <c r="I6" s="60" t="s">
        <v>12</v>
      </c>
      <c r="J6" s="150"/>
    </row>
    <row r="7" spans="1:11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9" spans="1:11" ht="21" x14ac:dyDescent="0.35">
      <c r="A9" s="128" t="s">
        <v>29</v>
      </c>
      <c r="B9" s="89"/>
      <c r="C9" s="88"/>
      <c r="D9" s="88"/>
      <c r="E9" s="90"/>
      <c r="F9" s="88"/>
      <c r="G9" s="91"/>
      <c r="H9" s="91"/>
      <c r="I9" s="91"/>
      <c r="J9" s="91"/>
    </row>
    <row r="10" spans="1:11" x14ac:dyDescent="0.25">
      <c r="A10" s="91"/>
      <c r="B10" s="92"/>
      <c r="C10" s="91"/>
      <c r="D10" s="91"/>
      <c r="E10" s="93"/>
      <c r="F10" s="91"/>
      <c r="G10" s="91"/>
      <c r="H10" s="91"/>
      <c r="I10" s="91"/>
      <c r="J10" s="91"/>
    </row>
    <row r="11" spans="1:11" ht="30" x14ac:dyDescent="0.25">
      <c r="A11" s="41">
        <v>1</v>
      </c>
      <c r="B11" s="8" t="s">
        <v>32</v>
      </c>
      <c r="C11" s="10" t="s">
        <v>0</v>
      </c>
      <c r="D11" s="1"/>
      <c r="E11" s="11">
        <f>1.64*2+1.64*2</f>
        <v>6.56</v>
      </c>
      <c r="F11" s="11"/>
      <c r="G11" s="11"/>
      <c r="H11" s="11">
        <v>0</v>
      </c>
      <c r="I11" s="11">
        <f>E11*H11</f>
        <v>0</v>
      </c>
      <c r="J11" s="11">
        <f>G11+I11</f>
        <v>0</v>
      </c>
    </row>
    <row r="12" spans="1:11" x14ac:dyDescent="0.25">
      <c r="A12" s="41"/>
      <c r="B12" s="7"/>
      <c r="C12" s="3"/>
      <c r="D12" s="1"/>
      <c r="E12" s="57"/>
      <c r="F12" s="40"/>
      <c r="G12" s="40"/>
      <c r="H12" s="40"/>
      <c r="I12" s="40"/>
      <c r="J12" s="40"/>
    </row>
    <row r="13" spans="1:11" x14ac:dyDescent="0.25">
      <c r="A13" s="41"/>
      <c r="B13" s="7" t="s">
        <v>30</v>
      </c>
      <c r="C13" s="3" t="s">
        <v>0</v>
      </c>
      <c r="D13" s="1">
        <v>1.02</v>
      </c>
      <c r="E13" s="55">
        <f>E11*D13</f>
        <v>6.6911999999999994</v>
      </c>
      <c r="F13" s="55">
        <v>0</v>
      </c>
      <c r="G13" s="40">
        <f t="shared" ref="G13" si="0">E13*F13</f>
        <v>0</v>
      </c>
      <c r="H13" s="55"/>
      <c r="I13" s="55"/>
      <c r="J13" s="40">
        <f t="shared" ref="J13" si="1">G13+I13</f>
        <v>0</v>
      </c>
    </row>
    <row r="14" spans="1:11" x14ac:dyDescent="0.25">
      <c r="A14" s="41"/>
      <c r="B14" s="7" t="s">
        <v>22</v>
      </c>
      <c r="C14" s="3" t="s">
        <v>23</v>
      </c>
      <c r="D14" s="1">
        <v>1.02</v>
      </c>
      <c r="E14" s="55">
        <f>(145.21*2+174.25*2)/1000*D14</f>
        <v>0.65169840000000001</v>
      </c>
      <c r="F14" s="55">
        <v>0</v>
      </c>
      <c r="G14" s="40">
        <f t="shared" ref="G14:G17" si="2">E14*F14</f>
        <v>0</v>
      </c>
      <c r="H14" s="55"/>
      <c r="I14" s="55"/>
      <c r="J14" s="40">
        <f t="shared" ref="J14:J17" si="3">G14+I14</f>
        <v>0</v>
      </c>
    </row>
    <row r="15" spans="1:11" x14ac:dyDescent="0.25">
      <c r="A15" s="41"/>
      <c r="B15" s="7" t="s">
        <v>31</v>
      </c>
      <c r="C15" s="3" t="s">
        <v>23</v>
      </c>
      <c r="D15" s="1">
        <v>1.02</v>
      </c>
      <c r="E15" s="55">
        <f>(49.69*2+49.69*2)/1000*D15</f>
        <v>0.2027352</v>
      </c>
      <c r="F15" s="55">
        <v>0</v>
      </c>
      <c r="G15" s="40">
        <f t="shared" si="2"/>
        <v>0</v>
      </c>
      <c r="H15" s="55"/>
      <c r="I15" s="55"/>
      <c r="J15" s="40">
        <f t="shared" si="3"/>
        <v>0</v>
      </c>
    </row>
    <row r="16" spans="1:11" x14ac:dyDescent="0.25">
      <c r="A16" s="41"/>
      <c r="B16" s="7" t="s">
        <v>24</v>
      </c>
      <c r="C16" s="3" t="s">
        <v>23</v>
      </c>
      <c r="D16" s="1">
        <v>1.02</v>
      </c>
      <c r="E16" s="55">
        <f>(10.57*2+13.22*2)/1000*D16</f>
        <v>4.8531600000000001E-2</v>
      </c>
      <c r="F16" s="55">
        <v>0</v>
      </c>
      <c r="G16" s="40">
        <f t="shared" si="2"/>
        <v>0</v>
      </c>
      <c r="H16" s="55"/>
      <c r="I16" s="55"/>
      <c r="J16" s="40">
        <f t="shared" si="3"/>
        <v>0</v>
      </c>
    </row>
    <row r="17" spans="1:10" x14ac:dyDescent="0.25">
      <c r="A17" s="41"/>
      <c r="B17" s="7" t="s">
        <v>25</v>
      </c>
      <c r="C17" s="3" t="s">
        <v>1</v>
      </c>
      <c r="D17" s="1"/>
      <c r="E17" s="55">
        <f>SUM(E14:E16)*7</f>
        <v>6.3207564000000005</v>
      </c>
      <c r="F17" s="55">
        <v>0</v>
      </c>
      <c r="G17" s="40">
        <f t="shared" si="2"/>
        <v>0</v>
      </c>
      <c r="H17" s="55"/>
      <c r="I17" s="55"/>
      <c r="J17" s="40">
        <f t="shared" si="3"/>
        <v>0</v>
      </c>
    </row>
    <row r="18" spans="1:10" x14ac:dyDescent="0.25">
      <c r="A18" s="91"/>
      <c r="B18" s="92"/>
      <c r="C18" s="91"/>
      <c r="D18" s="91"/>
      <c r="E18" s="93"/>
      <c r="F18" s="91"/>
      <c r="G18" s="91"/>
      <c r="H18" s="91"/>
      <c r="I18" s="91"/>
      <c r="J18" s="91"/>
    </row>
    <row r="19" spans="1:10" ht="30" x14ac:dyDescent="0.25">
      <c r="A19" s="41">
        <v>2</v>
      </c>
      <c r="B19" s="8" t="s">
        <v>33</v>
      </c>
      <c r="C19" s="10" t="s">
        <v>0</v>
      </c>
      <c r="D19" s="1"/>
      <c r="E19" s="11">
        <f>1.1</f>
        <v>1.1000000000000001</v>
      </c>
      <c r="F19" s="11"/>
      <c r="G19" s="11"/>
      <c r="H19" s="11">
        <v>0</v>
      </c>
      <c r="I19" s="11">
        <f>E19*H19</f>
        <v>0</v>
      </c>
      <c r="J19" s="11">
        <f>G19+I19</f>
        <v>0</v>
      </c>
    </row>
    <row r="20" spans="1:10" x14ac:dyDescent="0.25">
      <c r="A20" s="41"/>
      <c r="B20" s="7"/>
      <c r="C20" s="3"/>
      <c r="D20" s="1"/>
      <c r="E20" s="57"/>
      <c r="F20" s="40"/>
      <c r="G20" s="40"/>
      <c r="H20" s="40"/>
      <c r="I20" s="40"/>
      <c r="J20" s="40"/>
    </row>
    <row r="21" spans="1:10" x14ac:dyDescent="0.25">
      <c r="A21" s="41"/>
      <c r="B21" s="7" t="s">
        <v>30</v>
      </c>
      <c r="C21" s="3" t="s">
        <v>0</v>
      </c>
      <c r="D21" s="1">
        <v>1.02</v>
      </c>
      <c r="E21" s="55">
        <f>E19*D21</f>
        <v>1.1220000000000001</v>
      </c>
      <c r="F21" s="55">
        <v>0</v>
      </c>
      <c r="G21" s="40">
        <f t="shared" ref="G21:G25" si="4">E21*F21</f>
        <v>0</v>
      </c>
      <c r="H21" s="55"/>
      <c r="I21" s="55"/>
      <c r="J21" s="40">
        <f t="shared" ref="J21:J25" si="5">G21+I21</f>
        <v>0</v>
      </c>
    </row>
    <row r="22" spans="1:10" x14ac:dyDescent="0.25">
      <c r="A22" s="41"/>
      <c r="B22" s="7" t="s">
        <v>22</v>
      </c>
      <c r="C22" s="3" t="s">
        <v>23</v>
      </c>
      <c r="D22" s="1">
        <v>1.02</v>
      </c>
      <c r="E22" s="55">
        <f>(101.64)/1000*D22</f>
        <v>0.1036728</v>
      </c>
      <c r="F22" s="55">
        <v>0</v>
      </c>
      <c r="G22" s="40">
        <f t="shared" si="4"/>
        <v>0</v>
      </c>
      <c r="H22" s="55"/>
      <c r="I22" s="55"/>
      <c r="J22" s="40">
        <f t="shared" si="5"/>
        <v>0</v>
      </c>
    </row>
    <row r="23" spans="1:10" x14ac:dyDescent="0.25">
      <c r="A23" s="41"/>
      <c r="B23" s="7" t="s">
        <v>31</v>
      </c>
      <c r="C23" s="3" t="s">
        <v>23</v>
      </c>
      <c r="D23" s="1">
        <v>1.02</v>
      </c>
      <c r="E23" s="55">
        <f>(34.9)/1000*D23</f>
        <v>3.5597999999999998E-2</v>
      </c>
      <c r="F23" s="55">
        <v>0</v>
      </c>
      <c r="G23" s="40">
        <f t="shared" si="4"/>
        <v>0</v>
      </c>
      <c r="H23" s="55"/>
      <c r="I23" s="55"/>
      <c r="J23" s="40">
        <f t="shared" si="5"/>
        <v>0</v>
      </c>
    </row>
    <row r="24" spans="1:10" x14ac:dyDescent="0.25">
      <c r="A24" s="41"/>
      <c r="B24" s="7" t="s">
        <v>24</v>
      </c>
      <c r="C24" s="3" t="s">
        <v>23</v>
      </c>
      <c r="D24" s="1">
        <v>1.02</v>
      </c>
      <c r="E24" s="55">
        <f>(6.61)/1000*D24</f>
        <v>6.7422000000000003E-3</v>
      </c>
      <c r="F24" s="55">
        <v>0</v>
      </c>
      <c r="G24" s="40">
        <f t="shared" si="4"/>
        <v>0</v>
      </c>
      <c r="H24" s="55"/>
      <c r="I24" s="55"/>
      <c r="J24" s="40">
        <f t="shared" si="5"/>
        <v>0</v>
      </c>
    </row>
    <row r="25" spans="1:10" x14ac:dyDescent="0.25">
      <c r="A25" s="41"/>
      <c r="B25" s="7" t="s">
        <v>25</v>
      </c>
      <c r="C25" s="3" t="s">
        <v>1</v>
      </c>
      <c r="D25" s="1"/>
      <c r="E25" s="55">
        <f>SUM(E22:E24)*7</f>
        <v>1.0220910000000001</v>
      </c>
      <c r="F25" s="55">
        <v>0</v>
      </c>
      <c r="G25" s="40">
        <f t="shared" si="4"/>
        <v>0</v>
      </c>
      <c r="H25" s="55"/>
      <c r="I25" s="55"/>
      <c r="J25" s="40">
        <f t="shared" si="5"/>
        <v>0</v>
      </c>
    </row>
    <row r="26" spans="1:10" x14ac:dyDescent="0.25">
      <c r="A26" s="91"/>
      <c r="B26" s="103"/>
      <c r="C26" s="91"/>
      <c r="D26" s="91"/>
      <c r="E26" s="93"/>
      <c r="F26" s="91"/>
      <c r="G26" s="91"/>
      <c r="H26" s="91"/>
      <c r="I26" s="91"/>
      <c r="J26" s="91"/>
    </row>
    <row r="27" spans="1:10" ht="30" x14ac:dyDescent="0.25">
      <c r="A27" s="41">
        <v>3</v>
      </c>
      <c r="B27" s="8" t="s">
        <v>34</v>
      </c>
      <c r="C27" s="10" t="s">
        <v>0</v>
      </c>
      <c r="D27" s="1"/>
      <c r="E27" s="11">
        <f>0.32</f>
        <v>0.32</v>
      </c>
      <c r="F27" s="11"/>
      <c r="G27" s="11"/>
      <c r="H27" s="11">
        <v>0</v>
      </c>
      <c r="I27" s="11">
        <f>E27*H27</f>
        <v>0</v>
      </c>
      <c r="J27" s="11">
        <f>G27+I27</f>
        <v>0</v>
      </c>
    </row>
    <row r="28" spans="1:10" x14ac:dyDescent="0.25">
      <c r="A28" s="41"/>
      <c r="B28" s="7"/>
      <c r="C28" s="3"/>
      <c r="D28" s="1"/>
      <c r="E28" s="57"/>
      <c r="F28" s="40"/>
      <c r="G28" s="40"/>
      <c r="H28" s="40"/>
      <c r="I28" s="40"/>
      <c r="J28" s="40"/>
    </row>
    <row r="29" spans="1:10" x14ac:dyDescent="0.25">
      <c r="A29" s="41"/>
      <c r="B29" s="7" t="s">
        <v>30</v>
      </c>
      <c r="C29" s="3" t="s">
        <v>0</v>
      </c>
      <c r="D29" s="1">
        <v>1.02</v>
      </c>
      <c r="E29" s="55">
        <f>E27*D29</f>
        <v>0.32640000000000002</v>
      </c>
      <c r="F29" s="55">
        <v>0</v>
      </c>
      <c r="G29" s="40">
        <f t="shared" ref="G29:G33" si="6">E29*F29</f>
        <v>0</v>
      </c>
      <c r="H29" s="55"/>
      <c r="I29" s="55"/>
      <c r="J29" s="40">
        <f t="shared" ref="J29:J33" si="7">G29+I29</f>
        <v>0</v>
      </c>
    </row>
    <row r="30" spans="1:10" x14ac:dyDescent="0.25">
      <c r="A30" s="41"/>
      <c r="B30" s="7" t="s">
        <v>22</v>
      </c>
      <c r="C30" s="3" t="s">
        <v>23</v>
      </c>
      <c r="D30" s="1">
        <v>1.02</v>
      </c>
      <c r="E30" s="55">
        <f>(96.53)/1000*D30</f>
        <v>9.8460600000000009E-2</v>
      </c>
      <c r="F30" s="55">
        <v>0</v>
      </c>
      <c r="G30" s="40">
        <f t="shared" si="6"/>
        <v>0</v>
      </c>
      <c r="H30" s="55"/>
      <c r="I30" s="55"/>
      <c r="J30" s="40">
        <f t="shared" si="7"/>
        <v>0</v>
      </c>
    </row>
    <row r="31" spans="1:10" x14ac:dyDescent="0.25">
      <c r="A31" s="41"/>
      <c r="B31" s="7" t="s">
        <v>31</v>
      </c>
      <c r="C31" s="3" t="s">
        <v>23</v>
      </c>
      <c r="D31" s="1">
        <v>1.02</v>
      </c>
      <c r="E31" s="55">
        <f>(29.87)/1000*D31</f>
        <v>3.0467400000000002E-2</v>
      </c>
      <c r="F31" s="55">
        <v>0</v>
      </c>
      <c r="G31" s="40">
        <f t="shared" si="6"/>
        <v>0</v>
      </c>
      <c r="H31" s="55"/>
      <c r="I31" s="55"/>
      <c r="J31" s="40">
        <f t="shared" si="7"/>
        <v>0</v>
      </c>
    </row>
    <row r="32" spans="1:10" x14ac:dyDescent="0.25">
      <c r="A32" s="41"/>
      <c r="B32" s="7" t="s">
        <v>24</v>
      </c>
      <c r="C32" s="3" t="s">
        <v>23</v>
      </c>
      <c r="D32" s="1">
        <v>1.02</v>
      </c>
      <c r="E32" s="55">
        <f>(5.95)/1000*D32</f>
        <v>6.0690000000000006E-3</v>
      </c>
      <c r="F32" s="55">
        <v>0</v>
      </c>
      <c r="G32" s="40">
        <f t="shared" si="6"/>
        <v>0</v>
      </c>
      <c r="H32" s="55"/>
      <c r="I32" s="55"/>
      <c r="J32" s="40">
        <f t="shared" si="7"/>
        <v>0</v>
      </c>
    </row>
    <row r="33" spans="1:10" x14ac:dyDescent="0.25">
      <c r="A33" s="41"/>
      <c r="B33" s="7" t="s">
        <v>25</v>
      </c>
      <c r="C33" s="3" t="s">
        <v>1</v>
      </c>
      <c r="D33" s="1"/>
      <c r="E33" s="55">
        <f>SUM(E30:E32)*7</f>
        <v>0.94497900000000001</v>
      </c>
      <c r="F33" s="55">
        <v>0</v>
      </c>
      <c r="G33" s="40">
        <f t="shared" si="6"/>
        <v>0</v>
      </c>
      <c r="H33" s="55"/>
      <c r="I33" s="55"/>
      <c r="J33" s="40">
        <f t="shared" si="7"/>
        <v>0</v>
      </c>
    </row>
    <row r="34" spans="1:10" ht="15.75" x14ac:dyDescent="0.25">
      <c r="A34" s="102"/>
      <c r="B34" s="95"/>
      <c r="C34" s="94"/>
      <c r="D34" s="91"/>
      <c r="E34" s="96"/>
      <c r="F34" s="91"/>
      <c r="G34" s="91"/>
      <c r="H34" s="97"/>
      <c r="I34" s="97"/>
      <c r="J34" s="97"/>
    </row>
    <row r="35" spans="1:10" ht="30" x14ac:dyDescent="0.25">
      <c r="A35" s="41">
        <v>4</v>
      </c>
      <c r="B35" s="8" t="s">
        <v>35</v>
      </c>
      <c r="C35" s="10" t="s">
        <v>0</v>
      </c>
      <c r="D35" s="1"/>
      <c r="E35" s="11">
        <f>0.25*2</f>
        <v>0.5</v>
      </c>
      <c r="F35" s="11"/>
      <c r="G35" s="11"/>
      <c r="H35" s="11">
        <v>0</v>
      </c>
      <c r="I35" s="11">
        <f>E35*H35</f>
        <v>0</v>
      </c>
      <c r="J35" s="11">
        <f>G35+I35</f>
        <v>0</v>
      </c>
    </row>
    <row r="36" spans="1:10" x14ac:dyDescent="0.25">
      <c r="A36" s="41"/>
      <c r="B36" s="7"/>
      <c r="C36" s="3"/>
      <c r="D36" s="1"/>
      <c r="E36" s="57"/>
      <c r="F36" s="40"/>
      <c r="G36" s="40"/>
      <c r="H36" s="40"/>
      <c r="I36" s="40"/>
      <c r="J36" s="40"/>
    </row>
    <row r="37" spans="1:10" x14ac:dyDescent="0.25">
      <c r="A37" s="41"/>
      <c r="B37" s="7" t="s">
        <v>30</v>
      </c>
      <c r="C37" s="3" t="s">
        <v>0</v>
      </c>
      <c r="D37" s="1">
        <v>1.02</v>
      </c>
      <c r="E37" s="55">
        <f>E35*D37</f>
        <v>0.51</v>
      </c>
      <c r="F37" s="55">
        <v>0</v>
      </c>
      <c r="G37" s="40">
        <f t="shared" ref="G37:G41" si="8">E37*F37</f>
        <v>0</v>
      </c>
      <c r="H37" s="55"/>
      <c r="I37" s="55"/>
      <c r="J37" s="40">
        <f t="shared" ref="J37:J41" si="9">G37+I37</f>
        <v>0</v>
      </c>
    </row>
    <row r="38" spans="1:10" x14ac:dyDescent="0.25">
      <c r="A38" s="41"/>
      <c r="B38" s="7" t="s">
        <v>22</v>
      </c>
      <c r="C38" s="3" t="s">
        <v>23</v>
      </c>
      <c r="D38" s="1">
        <v>1.02</v>
      </c>
      <c r="E38" s="55">
        <f>(60.33*2)/1000*D38</f>
        <v>0.12307320000000001</v>
      </c>
      <c r="F38" s="55">
        <v>0</v>
      </c>
      <c r="G38" s="40">
        <f t="shared" si="8"/>
        <v>0</v>
      </c>
      <c r="H38" s="55"/>
      <c r="I38" s="55"/>
      <c r="J38" s="40">
        <f t="shared" si="9"/>
        <v>0</v>
      </c>
    </row>
    <row r="39" spans="1:10" x14ac:dyDescent="0.25">
      <c r="A39" s="41"/>
      <c r="B39" s="7" t="s">
        <v>31</v>
      </c>
      <c r="C39" s="3" t="s">
        <v>23</v>
      </c>
      <c r="D39" s="1">
        <v>1.02</v>
      </c>
      <c r="E39" s="55">
        <f>(24.32*2)/1000*D39</f>
        <v>4.9612800000000006E-2</v>
      </c>
      <c r="F39" s="55">
        <v>0</v>
      </c>
      <c r="G39" s="40">
        <f t="shared" si="8"/>
        <v>0</v>
      </c>
      <c r="H39" s="55"/>
      <c r="I39" s="55"/>
      <c r="J39" s="40">
        <f t="shared" si="9"/>
        <v>0</v>
      </c>
    </row>
    <row r="40" spans="1:10" x14ac:dyDescent="0.25">
      <c r="A40" s="41"/>
      <c r="B40" s="7" t="s">
        <v>24</v>
      </c>
      <c r="C40" s="3" t="s">
        <v>23</v>
      </c>
      <c r="D40" s="1">
        <v>1.02</v>
      </c>
      <c r="E40" s="55">
        <f>(3.04*2)/1000*D40</f>
        <v>6.2016000000000007E-3</v>
      </c>
      <c r="F40" s="55">
        <v>0</v>
      </c>
      <c r="G40" s="40">
        <f t="shared" si="8"/>
        <v>0</v>
      </c>
      <c r="H40" s="55"/>
      <c r="I40" s="55"/>
      <c r="J40" s="40">
        <f t="shared" si="9"/>
        <v>0</v>
      </c>
    </row>
    <row r="41" spans="1:10" x14ac:dyDescent="0.25">
      <c r="A41" s="41"/>
      <c r="B41" s="7" t="s">
        <v>25</v>
      </c>
      <c r="C41" s="3" t="s">
        <v>1</v>
      </c>
      <c r="D41" s="1"/>
      <c r="E41" s="55">
        <f>SUM(E38:E40)*7</f>
        <v>1.2522132000000001</v>
      </c>
      <c r="F41" s="55">
        <v>0</v>
      </c>
      <c r="G41" s="40">
        <f t="shared" si="8"/>
        <v>0</v>
      </c>
      <c r="H41" s="55"/>
      <c r="I41" s="55"/>
      <c r="J41" s="40">
        <f t="shared" si="9"/>
        <v>0</v>
      </c>
    </row>
    <row r="42" spans="1:10" ht="15.75" x14ac:dyDescent="0.25">
      <c r="A42" s="102"/>
      <c r="B42" s="95"/>
      <c r="C42" s="94"/>
      <c r="D42" s="91"/>
      <c r="E42" s="96"/>
      <c r="F42" s="91"/>
      <c r="G42" s="91"/>
      <c r="H42" s="97"/>
      <c r="I42" s="97"/>
      <c r="J42" s="97"/>
    </row>
    <row r="43" spans="1:10" ht="30" x14ac:dyDescent="0.25">
      <c r="A43" s="41">
        <v>5</v>
      </c>
      <c r="B43" s="8" t="s">
        <v>36</v>
      </c>
      <c r="C43" s="10" t="s">
        <v>0</v>
      </c>
      <c r="D43" s="1"/>
      <c r="E43" s="11">
        <f>1.1*2</f>
        <v>2.2000000000000002</v>
      </c>
      <c r="F43" s="11"/>
      <c r="G43" s="11"/>
      <c r="H43" s="11">
        <v>0</v>
      </c>
      <c r="I43" s="11">
        <f>E43*H43</f>
        <v>0</v>
      </c>
      <c r="J43" s="11">
        <f>G43+I43</f>
        <v>0</v>
      </c>
    </row>
    <row r="44" spans="1:10" x14ac:dyDescent="0.25">
      <c r="A44" s="41"/>
      <c r="B44" s="7"/>
      <c r="C44" s="3"/>
      <c r="D44" s="1"/>
      <c r="E44" s="57"/>
      <c r="F44" s="40"/>
      <c r="G44" s="40"/>
      <c r="H44" s="40"/>
      <c r="I44" s="40"/>
      <c r="J44" s="40"/>
    </row>
    <row r="45" spans="1:10" x14ac:dyDescent="0.25">
      <c r="A45" s="41"/>
      <c r="B45" s="7" t="s">
        <v>30</v>
      </c>
      <c r="C45" s="3" t="s">
        <v>0</v>
      </c>
      <c r="D45" s="1">
        <v>1.02</v>
      </c>
      <c r="E45" s="55">
        <f>E43*D45</f>
        <v>2.2440000000000002</v>
      </c>
      <c r="F45" s="55">
        <v>0</v>
      </c>
      <c r="G45" s="40">
        <f t="shared" ref="G45:G49" si="10">E45*F45</f>
        <v>0</v>
      </c>
      <c r="H45" s="55"/>
      <c r="I45" s="55"/>
      <c r="J45" s="40">
        <f t="shared" ref="J45:J49" si="11">G45+I45</f>
        <v>0</v>
      </c>
    </row>
    <row r="46" spans="1:10" x14ac:dyDescent="0.25">
      <c r="A46" s="41"/>
      <c r="B46" s="7" t="s">
        <v>22</v>
      </c>
      <c r="C46" s="3" t="s">
        <v>23</v>
      </c>
      <c r="D46" s="1">
        <v>1.02</v>
      </c>
      <c r="E46" s="55">
        <f>(101.64*2)/1000*D46</f>
        <v>0.20734559999999999</v>
      </c>
      <c r="F46" s="55">
        <v>0</v>
      </c>
      <c r="G46" s="40">
        <f t="shared" si="10"/>
        <v>0</v>
      </c>
      <c r="H46" s="55"/>
      <c r="I46" s="55"/>
      <c r="J46" s="40">
        <f t="shared" si="11"/>
        <v>0</v>
      </c>
    </row>
    <row r="47" spans="1:10" x14ac:dyDescent="0.25">
      <c r="A47" s="41"/>
      <c r="B47" s="7" t="s">
        <v>31</v>
      </c>
      <c r="C47" s="3" t="s">
        <v>23</v>
      </c>
      <c r="D47" s="1">
        <v>1.02</v>
      </c>
      <c r="E47" s="55">
        <f>(39.58*2)/1000*D47</f>
        <v>8.0743200000000001E-2</v>
      </c>
      <c r="F47" s="55">
        <v>0</v>
      </c>
      <c r="G47" s="40">
        <f t="shared" si="10"/>
        <v>0</v>
      </c>
      <c r="H47" s="55"/>
      <c r="I47" s="55"/>
      <c r="J47" s="40">
        <f t="shared" si="11"/>
        <v>0</v>
      </c>
    </row>
    <row r="48" spans="1:10" x14ac:dyDescent="0.25">
      <c r="A48" s="41"/>
      <c r="B48" s="7" t="s">
        <v>24</v>
      </c>
      <c r="C48" s="3" t="s">
        <v>23</v>
      </c>
      <c r="D48" s="1">
        <v>1.02</v>
      </c>
      <c r="E48" s="55">
        <f>(6.61*2)/1000*D48</f>
        <v>1.3484400000000001E-2</v>
      </c>
      <c r="F48" s="55">
        <v>0</v>
      </c>
      <c r="G48" s="40">
        <f t="shared" si="10"/>
        <v>0</v>
      </c>
      <c r="H48" s="55"/>
      <c r="I48" s="55"/>
      <c r="J48" s="40">
        <f t="shared" si="11"/>
        <v>0</v>
      </c>
    </row>
    <row r="49" spans="1:10" x14ac:dyDescent="0.25">
      <c r="A49" s="41"/>
      <c r="B49" s="7" t="s">
        <v>25</v>
      </c>
      <c r="C49" s="3" t="s">
        <v>1</v>
      </c>
      <c r="D49" s="1"/>
      <c r="E49" s="55">
        <f>SUM(E46:E48)*7</f>
        <v>2.1110123999999999</v>
      </c>
      <c r="F49" s="55">
        <v>0</v>
      </c>
      <c r="G49" s="40">
        <f t="shared" si="10"/>
        <v>0</v>
      </c>
      <c r="H49" s="55"/>
      <c r="I49" s="55"/>
      <c r="J49" s="40">
        <f t="shared" si="11"/>
        <v>0</v>
      </c>
    </row>
    <row r="50" spans="1:10" ht="15.75" x14ac:dyDescent="0.25">
      <c r="A50" s="102"/>
      <c r="B50" s="95"/>
      <c r="C50" s="94"/>
      <c r="D50" s="91"/>
      <c r="E50" s="96"/>
      <c r="F50" s="91"/>
      <c r="G50" s="91"/>
      <c r="H50" s="97"/>
      <c r="I50" s="97"/>
      <c r="J50" s="97"/>
    </row>
    <row r="51" spans="1:10" ht="30" x14ac:dyDescent="0.25">
      <c r="A51" s="41">
        <v>6</v>
      </c>
      <c r="B51" s="8" t="s">
        <v>37</v>
      </c>
      <c r="C51" s="10" t="s">
        <v>0</v>
      </c>
      <c r="D51" s="1"/>
      <c r="E51" s="11">
        <f>1.07</f>
        <v>1.07</v>
      </c>
      <c r="F51" s="11"/>
      <c r="G51" s="11"/>
      <c r="H51" s="11">
        <v>0</v>
      </c>
      <c r="I51" s="11">
        <f>E51*H51</f>
        <v>0</v>
      </c>
      <c r="J51" s="11">
        <f>G51+I51</f>
        <v>0</v>
      </c>
    </row>
    <row r="52" spans="1:10" x14ac:dyDescent="0.25">
      <c r="A52" s="41"/>
      <c r="B52" s="7"/>
      <c r="C52" s="3"/>
      <c r="D52" s="1"/>
      <c r="E52" s="57"/>
      <c r="F52" s="40"/>
      <c r="G52" s="40"/>
      <c r="H52" s="40"/>
      <c r="I52" s="40"/>
      <c r="J52" s="40"/>
    </row>
    <row r="53" spans="1:10" x14ac:dyDescent="0.25">
      <c r="A53" s="41"/>
      <c r="B53" s="7" t="s">
        <v>30</v>
      </c>
      <c r="C53" s="3" t="s">
        <v>0</v>
      </c>
      <c r="D53" s="1">
        <v>1.02</v>
      </c>
      <c r="E53" s="55">
        <f>E51*D53</f>
        <v>1.0914000000000001</v>
      </c>
      <c r="F53" s="55">
        <v>0</v>
      </c>
      <c r="G53" s="40">
        <f t="shared" ref="G53:G57" si="12">E53*F53</f>
        <v>0</v>
      </c>
      <c r="H53" s="55"/>
      <c r="I53" s="55"/>
      <c r="J53" s="40">
        <f t="shared" ref="J53:J57" si="13">G53+I53</f>
        <v>0</v>
      </c>
    </row>
    <row r="54" spans="1:10" x14ac:dyDescent="0.25">
      <c r="A54" s="41"/>
      <c r="B54" s="7" t="s">
        <v>22</v>
      </c>
      <c r="C54" s="3" t="s">
        <v>23</v>
      </c>
      <c r="D54" s="1">
        <v>1.02</v>
      </c>
      <c r="E54" s="55">
        <f>(116.17)/1000*D54</f>
        <v>0.1184934</v>
      </c>
      <c r="F54" s="55">
        <v>0</v>
      </c>
      <c r="G54" s="40">
        <f t="shared" si="12"/>
        <v>0</v>
      </c>
      <c r="H54" s="55"/>
      <c r="I54" s="55"/>
      <c r="J54" s="40">
        <f t="shared" si="13"/>
        <v>0</v>
      </c>
    </row>
    <row r="55" spans="1:10" x14ac:dyDescent="0.25">
      <c r="A55" s="41"/>
      <c r="B55" s="7" t="s">
        <v>31</v>
      </c>
      <c r="C55" s="3" t="s">
        <v>23</v>
      </c>
      <c r="D55" s="1">
        <v>1.02</v>
      </c>
      <c r="E55" s="55">
        <f>(39.83)/1000*D55</f>
        <v>4.0626599999999999E-2</v>
      </c>
      <c r="F55" s="55">
        <v>0</v>
      </c>
      <c r="G55" s="40">
        <f t="shared" si="12"/>
        <v>0</v>
      </c>
      <c r="H55" s="55"/>
      <c r="I55" s="55"/>
      <c r="J55" s="40">
        <f t="shared" si="13"/>
        <v>0</v>
      </c>
    </row>
    <row r="56" spans="1:10" x14ac:dyDescent="0.25">
      <c r="A56" s="41"/>
      <c r="B56" s="7" t="s">
        <v>24</v>
      </c>
      <c r="C56" s="3" t="s">
        <v>23</v>
      </c>
      <c r="D56" s="1">
        <v>1.02</v>
      </c>
      <c r="E56" s="55">
        <f>(7.93)/1000*D56</f>
        <v>8.0885999999999996E-3</v>
      </c>
      <c r="F56" s="55">
        <v>0</v>
      </c>
      <c r="G56" s="40">
        <f t="shared" si="12"/>
        <v>0</v>
      </c>
      <c r="H56" s="55"/>
      <c r="I56" s="55"/>
      <c r="J56" s="40">
        <f t="shared" si="13"/>
        <v>0</v>
      </c>
    </row>
    <row r="57" spans="1:10" x14ac:dyDescent="0.25">
      <c r="A57" s="41"/>
      <c r="B57" s="7" t="s">
        <v>25</v>
      </c>
      <c r="C57" s="3" t="s">
        <v>1</v>
      </c>
      <c r="D57" s="1"/>
      <c r="E57" s="55">
        <f>SUM(E54:E56)*7</f>
        <v>1.1704602</v>
      </c>
      <c r="F57" s="55">
        <v>0</v>
      </c>
      <c r="G57" s="40">
        <f t="shared" si="12"/>
        <v>0</v>
      </c>
      <c r="H57" s="55"/>
      <c r="I57" s="55"/>
      <c r="J57" s="40">
        <f t="shared" si="13"/>
        <v>0</v>
      </c>
    </row>
    <row r="58" spans="1:10" x14ac:dyDescent="0.25">
      <c r="A58" s="91"/>
      <c r="B58" s="103"/>
      <c r="C58" s="91"/>
      <c r="D58" s="91"/>
      <c r="E58" s="93"/>
      <c r="F58" s="91"/>
      <c r="G58" s="91"/>
      <c r="H58" s="91"/>
      <c r="I58" s="91"/>
      <c r="J58" s="91"/>
    </row>
    <row r="59" spans="1:10" ht="30" x14ac:dyDescent="0.25">
      <c r="A59" s="41">
        <v>7</v>
      </c>
      <c r="B59" s="8" t="s">
        <v>38</v>
      </c>
      <c r="C59" s="10" t="s">
        <v>0</v>
      </c>
      <c r="D59" s="1"/>
      <c r="E59" s="11">
        <f>1.46</f>
        <v>1.46</v>
      </c>
      <c r="F59" s="11"/>
      <c r="G59" s="11"/>
      <c r="H59" s="11">
        <v>0</v>
      </c>
      <c r="I59" s="11">
        <f>E59*H59</f>
        <v>0</v>
      </c>
      <c r="J59" s="11">
        <f>G59+I59</f>
        <v>0</v>
      </c>
    </row>
    <row r="60" spans="1:10" x14ac:dyDescent="0.25">
      <c r="A60" s="41"/>
      <c r="B60" s="7"/>
      <c r="C60" s="3"/>
      <c r="D60" s="1"/>
      <c r="E60" s="57"/>
      <c r="F60" s="40"/>
      <c r="G60" s="40"/>
      <c r="H60" s="40"/>
      <c r="I60" s="40"/>
      <c r="J60" s="40"/>
    </row>
    <row r="61" spans="1:10" x14ac:dyDescent="0.25">
      <c r="A61" s="41"/>
      <c r="B61" s="7" t="s">
        <v>30</v>
      </c>
      <c r="C61" s="3" t="s">
        <v>0</v>
      </c>
      <c r="D61" s="1">
        <v>1.02</v>
      </c>
      <c r="E61" s="55">
        <f>E59*D61</f>
        <v>1.4892000000000001</v>
      </c>
      <c r="F61" s="55">
        <v>0</v>
      </c>
      <c r="G61" s="40">
        <f t="shared" ref="G61:G65" si="14">E61*F61</f>
        <v>0</v>
      </c>
      <c r="H61" s="55"/>
      <c r="I61" s="55"/>
      <c r="J61" s="40">
        <f t="shared" ref="J61:J65" si="15">G61+I61</f>
        <v>0</v>
      </c>
    </row>
    <row r="62" spans="1:10" x14ac:dyDescent="0.25">
      <c r="A62" s="41"/>
      <c r="B62" s="7" t="s">
        <v>22</v>
      </c>
      <c r="C62" s="3" t="s">
        <v>23</v>
      </c>
      <c r="D62" s="1">
        <v>1.02</v>
      </c>
      <c r="E62" s="55">
        <f>(130.69)/1000*D62</f>
        <v>0.1333038</v>
      </c>
      <c r="F62" s="55">
        <v>0</v>
      </c>
      <c r="G62" s="40">
        <f t="shared" si="14"/>
        <v>0</v>
      </c>
      <c r="H62" s="55"/>
      <c r="I62" s="55"/>
      <c r="J62" s="40">
        <f t="shared" si="15"/>
        <v>0</v>
      </c>
    </row>
    <row r="63" spans="1:10" x14ac:dyDescent="0.25">
      <c r="A63" s="41"/>
      <c r="B63" s="7" t="s">
        <v>31</v>
      </c>
      <c r="C63" s="3" t="s">
        <v>23</v>
      </c>
      <c r="D63" s="1">
        <v>1.02</v>
      </c>
      <c r="E63" s="55">
        <f>(44.76)/1000*D63</f>
        <v>4.56552E-2</v>
      </c>
      <c r="F63" s="55">
        <v>0</v>
      </c>
      <c r="G63" s="40">
        <f t="shared" si="14"/>
        <v>0</v>
      </c>
      <c r="H63" s="55"/>
      <c r="I63" s="55"/>
      <c r="J63" s="40">
        <f t="shared" si="15"/>
        <v>0</v>
      </c>
    </row>
    <row r="64" spans="1:10" x14ac:dyDescent="0.25">
      <c r="A64" s="41"/>
      <c r="B64" s="7" t="s">
        <v>24</v>
      </c>
      <c r="C64" s="3" t="s">
        <v>23</v>
      </c>
      <c r="D64" s="1">
        <v>1.02</v>
      </c>
      <c r="E64" s="55">
        <f>(9.25)/1000*D64</f>
        <v>9.4349999999999989E-3</v>
      </c>
      <c r="F64" s="55">
        <v>0</v>
      </c>
      <c r="G64" s="40">
        <f t="shared" si="14"/>
        <v>0</v>
      </c>
      <c r="H64" s="55"/>
      <c r="I64" s="55"/>
      <c r="J64" s="40">
        <f t="shared" si="15"/>
        <v>0</v>
      </c>
    </row>
    <row r="65" spans="1:10" x14ac:dyDescent="0.25">
      <c r="A65" s="41"/>
      <c r="B65" s="7" t="s">
        <v>25</v>
      </c>
      <c r="C65" s="3" t="s">
        <v>1</v>
      </c>
      <c r="D65" s="1"/>
      <c r="E65" s="55">
        <f>SUM(E62:E64)*7</f>
        <v>1.3187580000000001</v>
      </c>
      <c r="F65" s="55">
        <v>0</v>
      </c>
      <c r="G65" s="40">
        <f t="shared" si="14"/>
        <v>0</v>
      </c>
      <c r="H65" s="55"/>
      <c r="I65" s="55"/>
      <c r="J65" s="40">
        <f t="shared" si="15"/>
        <v>0</v>
      </c>
    </row>
    <row r="66" spans="1:10" x14ac:dyDescent="0.25">
      <c r="A66" s="91"/>
      <c r="B66" s="103"/>
      <c r="C66" s="91"/>
      <c r="D66" s="91"/>
      <c r="E66" s="93"/>
      <c r="F66" s="91"/>
      <c r="G66" s="91"/>
      <c r="H66" s="91"/>
      <c r="I66" s="91"/>
      <c r="J66" s="91"/>
    </row>
    <row r="67" spans="1:10" ht="30" x14ac:dyDescent="0.25">
      <c r="A67" s="41">
        <v>8</v>
      </c>
      <c r="B67" s="8" t="s">
        <v>39</v>
      </c>
      <c r="C67" s="10" t="s">
        <v>0</v>
      </c>
      <c r="D67" s="1"/>
      <c r="E67" s="11">
        <f>0.48</f>
        <v>0.48</v>
      </c>
      <c r="F67" s="11"/>
      <c r="G67" s="11"/>
      <c r="H67" s="11">
        <v>0</v>
      </c>
      <c r="I67" s="11">
        <f>E67*H67</f>
        <v>0</v>
      </c>
      <c r="J67" s="11">
        <f>G67+I67</f>
        <v>0</v>
      </c>
    </row>
    <row r="68" spans="1:10" x14ac:dyDescent="0.25">
      <c r="A68" s="41"/>
      <c r="B68" s="7"/>
      <c r="C68" s="3"/>
      <c r="D68" s="1"/>
      <c r="E68" s="57"/>
      <c r="F68" s="40"/>
      <c r="G68" s="40"/>
      <c r="H68" s="40"/>
      <c r="I68" s="40"/>
      <c r="J68" s="40"/>
    </row>
    <row r="69" spans="1:10" x14ac:dyDescent="0.25">
      <c r="A69" s="41"/>
      <c r="B69" s="7" t="s">
        <v>30</v>
      </c>
      <c r="C69" s="3" t="s">
        <v>0</v>
      </c>
      <c r="D69" s="1">
        <v>1.02</v>
      </c>
      <c r="E69" s="55">
        <f>E67*D69</f>
        <v>0.48959999999999998</v>
      </c>
      <c r="F69" s="55">
        <v>0</v>
      </c>
      <c r="G69" s="40">
        <f t="shared" ref="G69:G73" si="16">E69*F69</f>
        <v>0</v>
      </c>
      <c r="H69" s="55"/>
      <c r="I69" s="55"/>
      <c r="J69" s="40">
        <f t="shared" ref="J69:J73" si="17">G69+I69</f>
        <v>0</v>
      </c>
    </row>
    <row r="70" spans="1:10" x14ac:dyDescent="0.25">
      <c r="A70" s="41"/>
      <c r="B70" s="7" t="s">
        <v>22</v>
      </c>
      <c r="C70" s="3" t="s">
        <v>23</v>
      </c>
      <c r="D70" s="1">
        <v>1.02</v>
      </c>
      <c r="E70" s="55">
        <f>(44.19)/1000*D70</f>
        <v>4.5073800000000004E-2</v>
      </c>
      <c r="F70" s="55">
        <v>0</v>
      </c>
      <c r="G70" s="40">
        <f t="shared" si="16"/>
        <v>0</v>
      </c>
      <c r="H70" s="55"/>
      <c r="I70" s="55"/>
      <c r="J70" s="40">
        <f t="shared" si="17"/>
        <v>0</v>
      </c>
    </row>
    <row r="71" spans="1:10" x14ac:dyDescent="0.25">
      <c r="A71" s="41"/>
      <c r="B71" s="7" t="s">
        <v>31</v>
      </c>
      <c r="C71" s="3" t="s">
        <v>23</v>
      </c>
      <c r="D71" s="1">
        <v>1.02</v>
      </c>
      <c r="E71" s="55">
        <f>(18.05)/1000*D71</f>
        <v>1.8411E-2</v>
      </c>
      <c r="F71" s="55">
        <v>0</v>
      </c>
      <c r="G71" s="40">
        <f t="shared" si="16"/>
        <v>0</v>
      </c>
      <c r="H71" s="55"/>
      <c r="I71" s="55"/>
      <c r="J71" s="40">
        <f t="shared" si="17"/>
        <v>0</v>
      </c>
    </row>
    <row r="72" spans="1:10" x14ac:dyDescent="0.25">
      <c r="A72" s="41"/>
      <c r="B72" s="7" t="s">
        <v>24</v>
      </c>
      <c r="C72" s="3" t="s">
        <v>23</v>
      </c>
      <c r="D72" s="1">
        <v>1.02</v>
      </c>
      <c r="E72" s="55">
        <f>(4.23)/1000*D72</f>
        <v>4.3146E-3</v>
      </c>
      <c r="F72" s="55">
        <v>0</v>
      </c>
      <c r="G72" s="40">
        <f t="shared" si="16"/>
        <v>0</v>
      </c>
      <c r="H72" s="55"/>
      <c r="I72" s="55"/>
      <c r="J72" s="40">
        <f t="shared" si="17"/>
        <v>0</v>
      </c>
    </row>
    <row r="73" spans="1:10" x14ac:dyDescent="0.25">
      <c r="A73" s="41"/>
      <c r="B73" s="7" t="s">
        <v>25</v>
      </c>
      <c r="C73" s="3" t="s">
        <v>1</v>
      </c>
      <c r="D73" s="1"/>
      <c r="E73" s="55">
        <f>SUM(E70:E72)*7</f>
        <v>0.47459580000000007</v>
      </c>
      <c r="F73" s="55">
        <v>0</v>
      </c>
      <c r="G73" s="40">
        <f t="shared" si="16"/>
        <v>0</v>
      </c>
      <c r="H73" s="55"/>
      <c r="I73" s="55"/>
      <c r="J73" s="40">
        <f t="shared" si="17"/>
        <v>0</v>
      </c>
    </row>
    <row r="74" spans="1:10" x14ac:dyDescent="0.25">
      <c r="A74" s="91"/>
      <c r="B74" s="99"/>
      <c r="C74" s="98"/>
      <c r="D74" s="91"/>
      <c r="E74" s="100"/>
      <c r="F74" s="101"/>
      <c r="G74" s="101"/>
      <c r="H74" s="101"/>
      <c r="I74" s="101"/>
      <c r="J74" s="101"/>
    </row>
    <row r="75" spans="1:10" ht="30" x14ac:dyDescent="0.25">
      <c r="A75" s="41">
        <v>9</v>
      </c>
      <c r="B75" s="8" t="s">
        <v>40</v>
      </c>
      <c r="C75" s="10" t="s">
        <v>0</v>
      </c>
      <c r="D75" s="1"/>
      <c r="E75" s="11">
        <f>28.62</f>
        <v>28.62</v>
      </c>
      <c r="F75" s="11"/>
      <c r="G75" s="11"/>
      <c r="H75" s="11">
        <v>0</v>
      </c>
      <c r="I75" s="11">
        <f>E75*H75</f>
        <v>0</v>
      </c>
      <c r="J75" s="11">
        <f>G75+I75</f>
        <v>0</v>
      </c>
    </row>
    <row r="76" spans="1:10" x14ac:dyDescent="0.25">
      <c r="A76" s="41"/>
      <c r="B76" s="7"/>
      <c r="C76" s="3"/>
      <c r="D76" s="1"/>
      <c r="E76" s="57"/>
      <c r="F76" s="40"/>
      <c r="G76" s="40"/>
      <c r="H76" s="40"/>
      <c r="I76" s="40"/>
      <c r="J76" s="40"/>
    </row>
    <row r="77" spans="1:10" x14ac:dyDescent="0.25">
      <c r="A77" s="41"/>
      <c r="B77" s="7" t="s">
        <v>30</v>
      </c>
      <c r="C77" s="3" t="s">
        <v>0</v>
      </c>
      <c r="D77" s="1">
        <v>1.02</v>
      </c>
      <c r="E77" s="55">
        <f>E75*D77</f>
        <v>29.192400000000003</v>
      </c>
      <c r="F77" s="55">
        <v>0</v>
      </c>
      <c r="G77" s="40">
        <f t="shared" ref="G77:G81" si="18">E77*F77</f>
        <v>0</v>
      </c>
      <c r="H77" s="55"/>
      <c r="I77" s="55"/>
      <c r="J77" s="40">
        <f t="shared" ref="J77:J81" si="19">G77+I77</f>
        <v>0</v>
      </c>
    </row>
    <row r="78" spans="1:10" x14ac:dyDescent="0.25">
      <c r="A78" s="41"/>
      <c r="B78" s="7" t="s">
        <v>41</v>
      </c>
      <c r="C78" s="3" t="s">
        <v>23</v>
      </c>
      <c r="D78" s="1">
        <v>1.02</v>
      </c>
      <c r="E78" s="55">
        <f>(1675.22)/1000*D78</f>
        <v>1.7087243999999999</v>
      </c>
      <c r="F78" s="55">
        <v>0</v>
      </c>
      <c r="G78" s="40">
        <f t="shared" si="18"/>
        <v>0</v>
      </c>
      <c r="H78" s="55"/>
      <c r="I78" s="55"/>
      <c r="J78" s="40">
        <f t="shared" si="19"/>
        <v>0</v>
      </c>
    </row>
    <row r="79" spans="1:10" x14ac:dyDescent="0.25">
      <c r="A79" s="41"/>
      <c r="B79" s="7" t="s">
        <v>26</v>
      </c>
      <c r="C79" s="3" t="s">
        <v>23</v>
      </c>
      <c r="D79" s="1">
        <v>1.02</v>
      </c>
      <c r="E79" s="55">
        <f>(1785.93)/1000*D79</f>
        <v>1.8216486000000001</v>
      </c>
      <c r="F79" s="55">
        <v>0</v>
      </c>
      <c r="G79" s="40">
        <f t="shared" si="18"/>
        <v>0</v>
      </c>
      <c r="H79" s="55"/>
      <c r="I79" s="55"/>
      <c r="J79" s="40">
        <f t="shared" si="19"/>
        <v>0</v>
      </c>
    </row>
    <row r="80" spans="1:10" x14ac:dyDescent="0.25">
      <c r="A80" s="41"/>
      <c r="B80" s="7" t="s">
        <v>24</v>
      </c>
      <c r="C80" s="3" t="s">
        <v>23</v>
      </c>
      <c r="D80" s="1">
        <v>1.02</v>
      </c>
      <c r="E80" s="55">
        <f>(181.25)/1000*D80</f>
        <v>0.18487499999999998</v>
      </c>
      <c r="F80" s="55">
        <v>0</v>
      </c>
      <c r="G80" s="40">
        <f t="shared" si="18"/>
        <v>0</v>
      </c>
      <c r="H80" s="55"/>
      <c r="I80" s="55"/>
      <c r="J80" s="40">
        <f t="shared" si="19"/>
        <v>0</v>
      </c>
    </row>
    <row r="81" spans="1:10" x14ac:dyDescent="0.25">
      <c r="A81" s="41"/>
      <c r="B81" s="7" t="s">
        <v>25</v>
      </c>
      <c r="C81" s="3" t="s">
        <v>1</v>
      </c>
      <c r="D81" s="1"/>
      <c r="E81" s="55">
        <f>SUM(E78:E80)*7</f>
        <v>26.006736</v>
      </c>
      <c r="F81" s="55">
        <v>0</v>
      </c>
      <c r="G81" s="40">
        <f t="shared" si="18"/>
        <v>0</v>
      </c>
      <c r="H81" s="55"/>
      <c r="I81" s="55"/>
      <c r="J81" s="40">
        <f t="shared" si="19"/>
        <v>0</v>
      </c>
    </row>
    <row r="82" spans="1:10" x14ac:dyDescent="0.25">
      <c r="A82" s="104"/>
      <c r="B82" s="105"/>
      <c r="C82" s="106"/>
      <c r="D82" s="104"/>
      <c r="E82" s="107"/>
      <c r="F82" s="108"/>
      <c r="G82" s="108"/>
      <c r="H82" s="108"/>
      <c r="I82" s="108"/>
      <c r="J82" s="108"/>
    </row>
    <row r="83" spans="1:10" x14ac:dyDescent="0.25">
      <c r="A83" s="41">
        <v>9</v>
      </c>
      <c r="B83" s="8" t="s">
        <v>42</v>
      </c>
      <c r="C83" s="10" t="s">
        <v>0</v>
      </c>
      <c r="D83" s="1"/>
      <c r="E83" s="11">
        <f>7</f>
        <v>7</v>
      </c>
      <c r="F83" s="11"/>
      <c r="G83" s="11"/>
      <c r="H83" s="11">
        <f>H75</f>
        <v>0</v>
      </c>
      <c r="I83" s="11">
        <f>E83*H83</f>
        <v>0</v>
      </c>
      <c r="J83" s="11">
        <f>I83</f>
        <v>0</v>
      </c>
    </row>
    <row r="84" spans="1:10" x14ac:dyDescent="0.25">
      <c r="A84" s="41"/>
      <c r="B84" s="7"/>
      <c r="C84" s="3"/>
      <c r="D84" s="1"/>
      <c r="E84" s="57"/>
      <c r="F84" s="40"/>
      <c r="G84" s="40"/>
      <c r="H84" s="40"/>
      <c r="I84" s="40"/>
      <c r="J84" s="40"/>
    </row>
    <row r="85" spans="1:10" x14ac:dyDescent="0.25">
      <c r="A85" s="41"/>
      <c r="B85" s="7" t="s">
        <v>30</v>
      </c>
      <c r="C85" s="3" t="s">
        <v>0</v>
      </c>
      <c r="D85" s="1">
        <v>1.02</v>
      </c>
      <c r="E85" s="55">
        <f>E83*D85</f>
        <v>7.1400000000000006</v>
      </c>
      <c r="F85" s="55">
        <v>0</v>
      </c>
      <c r="G85" s="40">
        <f>E85*F85</f>
        <v>0</v>
      </c>
      <c r="H85" s="55"/>
      <c r="I85" s="55"/>
      <c r="J85" s="40">
        <f>G85</f>
        <v>0</v>
      </c>
    </row>
    <row r="86" spans="1:10" x14ac:dyDescent="0.25">
      <c r="A86" s="41"/>
      <c r="B86" s="7" t="s">
        <v>26</v>
      </c>
      <c r="C86" s="3" t="s">
        <v>23</v>
      </c>
      <c r="D86" s="1">
        <v>1.02</v>
      </c>
      <c r="E86" s="55">
        <f>(1026.14)/1000*D86</f>
        <v>1.0466628</v>
      </c>
      <c r="F86" s="55">
        <v>0</v>
      </c>
      <c r="G86" s="40">
        <f>E86*F86</f>
        <v>0</v>
      </c>
      <c r="H86" s="55"/>
      <c r="I86" s="55"/>
      <c r="J86" s="40">
        <f>G86</f>
        <v>0</v>
      </c>
    </row>
    <row r="87" spans="1:10" x14ac:dyDescent="0.25">
      <c r="A87" s="41"/>
      <c r="B87" s="7" t="s">
        <v>21</v>
      </c>
      <c r="C87" s="3" t="s">
        <v>23</v>
      </c>
      <c r="D87" s="1">
        <v>1.02</v>
      </c>
      <c r="E87" s="55">
        <f>(11.2)/1000*D87</f>
        <v>1.1424E-2</v>
      </c>
      <c r="F87" s="55">
        <v>0</v>
      </c>
      <c r="G87" s="40">
        <f>E87*F87</f>
        <v>0</v>
      </c>
      <c r="H87" s="55"/>
      <c r="I87" s="55"/>
      <c r="J87" s="40">
        <f>G87</f>
        <v>0</v>
      </c>
    </row>
    <row r="88" spans="1:10" x14ac:dyDescent="0.25">
      <c r="A88" s="41"/>
      <c r="B88" s="7" t="s">
        <v>24</v>
      </c>
      <c r="C88" s="3" t="s">
        <v>23</v>
      </c>
      <c r="D88" s="1">
        <v>1.02</v>
      </c>
      <c r="E88" s="55">
        <f>(90.24)/1000*D88</f>
        <v>9.2044799999999996E-2</v>
      </c>
      <c r="F88" s="55">
        <v>0</v>
      </c>
      <c r="G88" s="40">
        <f>E88*F88</f>
        <v>0</v>
      </c>
      <c r="H88" s="55"/>
      <c r="I88" s="55"/>
      <c r="J88" s="40">
        <f>G88</f>
        <v>0</v>
      </c>
    </row>
    <row r="89" spans="1:10" x14ac:dyDescent="0.25">
      <c r="A89" s="41"/>
      <c r="B89" s="7" t="s">
        <v>25</v>
      </c>
      <c r="C89" s="3" t="s">
        <v>1</v>
      </c>
      <c r="D89" s="1"/>
      <c r="E89" s="55">
        <f>SUM(E86:E88)*7</f>
        <v>8.0509212000000012</v>
      </c>
      <c r="F89" s="55">
        <v>0</v>
      </c>
      <c r="G89" s="40">
        <f>E89*F89</f>
        <v>0</v>
      </c>
      <c r="H89" s="55"/>
      <c r="I89" s="55"/>
      <c r="J89" s="40">
        <f>G89</f>
        <v>0</v>
      </c>
    </row>
    <row r="90" spans="1:10" x14ac:dyDescent="0.25">
      <c r="A90" s="91"/>
      <c r="B90" s="99"/>
      <c r="C90" s="98"/>
      <c r="D90" s="91"/>
      <c r="E90" s="100"/>
      <c r="F90" s="101"/>
      <c r="G90" s="101"/>
      <c r="H90" s="101"/>
      <c r="I90" s="101"/>
      <c r="J90" s="101"/>
    </row>
    <row r="91" spans="1:10" x14ac:dyDescent="0.25">
      <c r="A91" s="41">
        <v>10</v>
      </c>
      <c r="B91" s="8" t="s">
        <v>54</v>
      </c>
      <c r="C91" s="10" t="s">
        <v>0</v>
      </c>
      <c r="D91" s="1"/>
      <c r="E91" s="11">
        <f>32.3</f>
        <v>32.299999999999997</v>
      </c>
      <c r="F91" s="11"/>
      <c r="G91" s="11"/>
      <c r="H91" s="11">
        <f>H83</f>
        <v>0</v>
      </c>
      <c r="I91" s="11">
        <f>E91*H91</f>
        <v>0</v>
      </c>
      <c r="J91" s="11">
        <f>I91</f>
        <v>0</v>
      </c>
    </row>
    <row r="92" spans="1:10" x14ac:dyDescent="0.25">
      <c r="A92" s="41"/>
      <c r="B92" s="7"/>
      <c r="C92" s="3"/>
      <c r="D92" s="1"/>
      <c r="E92" s="57"/>
      <c r="F92" s="40"/>
      <c r="G92" s="40"/>
      <c r="H92" s="40"/>
      <c r="I92" s="40"/>
      <c r="J92" s="40"/>
    </row>
    <row r="93" spans="1:10" x14ac:dyDescent="0.25">
      <c r="A93" s="41"/>
      <c r="B93" s="7" t="s">
        <v>30</v>
      </c>
      <c r="C93" s="3" t="s">
        <v>0</v>
      </c>
      <c r="D93" s="1">
        <v>1.02</v>
      </c>
      <c r="E93" s="55">
        <f>E91*D93</f>
        <v>32.945999999999998</v>
      </c>
      <c r="F93" s="55">
        <v>0</v>
      </c>
      <c r="G93" s="40">
        <f>E93*F93</f>
        <v>0</v>
      </c>
      <c r="H93" s="55"/>
      <c r="I93" s="55"/>
      <c r="J93" s="40">
        <f>G93</f>
        <v>0</v>
      </c>
    </row>
    <row r="94" spans="1:10" x14ac:dyDescent="0.25">
      <c r="A94" s="41"/>
      <c r="B94" s="7" t="s">
        <v>22</v>
      </c>
      <c r="C94" s="3" t="s">
        <v>23</v>
      </c>
      <c r="D94" s="1">
        <v>1.02</v>
      </c>
      <c r="E94" s="55">
        <f>(951.74)/1000*D94</f>
        <v>0.97077480000000005</v>
      </c>
      <c r="F94" s="55">
        <v>0</v>
      </c>
      <c r="G94" s="40">
        <f>E94*F94</f>
        <v>0</v>
      </c>
      <c r="H94" s="55"/>
      <c r="I94" s="55"/>
      <c r="J94" s="40">
        <f>G94</f>
        <v>0</v>
      </c>
    </row>
    <row r="95" spans="1:10" x14ac:dyDescent="0.25">
      <c r="A95" s="41"/>
      <c r="B95" s="7" t="s">
        <v>26</v>
      </c>
      <c r="C95" s="3" t="s">
        <v>23</v>
      </c>
      <c r="D95" s="1">
        <v>1.02</v>
      </c>
      <c r="E95" s="55">
        <f>(1426.36)/1000*D95</f>
        <v>1.4548871999999999</v>
      </c>
      <c r="F95" s="55">
        <v>0</v>
      </c>
      <c r="G95" s="40">
        <f>E95*F95</f>
        <v>0</v>
      </c>
      <c r="H95" s="55"/>
      <c r="I95" s="55"/>
      <c r="J95" s="40">
        <f>G95</f>
        <v>0</v>
      </c>
    </row>
    <row r="96" spans="1:10" x14ac:dyDescent="0.25">
      <c r="A96" s="41"/>
      <c r="B96" s="7" t="s">
        <v>24</v>
      </c>
      <c r="C96" s="3" t="s">
        <v>23</v>
      </c>
      <c r="D96" s="1">
        <v>1.02</v>
      </c>
      <c r="E96" s="55">
        <f>(237.71)/1000*D96</f>
        <v>0.24246420000000002</v>
      </c>
      <c r="F96" s="55">
        <v>0</v>
      </c>
      <c r="G96" s="40">
        <f>E96*F96</f>
        <v>0</v>
      </c>
      <c r="H96" s="55"/>
      <c r="I96" s="55"/>
      <c r="J96" s="40">
        <f>G96</f>
        <v>0</v>
      </c>
    </row>
    <row r="97" spans="1:10" x14ac:dyDescent="0.25">
      <c r="A97" s="41"/>
      <c r="B97" s="7" t="s">
        <v>25</v>
      </c>
      <c r="C97" s="3" t="s">
        <v>1</v>
      </c>
      <c r="D97" s="1"/>
      <c r="E97" s="55">
        <f>SUM(E94:E96)*7</f>
        <v>18.676883400000001</v>
      </c>
      <c r="F97" s="55">
        <v>0</v>
      </c>
      <c r="G97" s="40">
        <f>E97*F97</f>
        <v>0</v>
      </c>
      <c r="H97" s="55"/>
      <c r="I97" s="55"/>
      <c r="J97" s="40">
        <f>G97</f>
        <v>0</v>
      </c>
    </row>
    <row r="98" spans="1:10" x14ac:dyDescent="0.25">
      <c r="A98" s="91"/>
      <c r="B98" s="99"/>
      <c r="C98" s="98"/>
      <c r="D98" s="91"/>
      <c r="E98" s="100"/>
      <c r="F98" s="101"/>
      <c r="G98" s="101"/>
      <c r="H98" s="101"/>
      <c r="I98" s="101"/>
      <c r="J98" s="101"/>
    </row>
    <row r="99" spans="1:10" ht="21" x14ac:dyDescent="0.35">
      <c r="A99" s="128" t="s">
        <v>43</v>
      </c>
      <c r="B99" s="89"/>
      <c r="C99" s="88"/>
      <c r="D99" s="88"/>
      <c r="E99" s="90"/>
      <c r="F99" s="88"/>
      <c r="G99" s="91"/>
      <c r="H99" s="91"/>
      <c r="I99" s="91"/>
      <c r="J99" s="91"/>
    </row>
    <row r="100" spans="1:10" ht="21" x14ac:dyDescent="0.35">
      <c r="A100" s="88"/>
      <c r="B100" s="89"/>
      <c r="C100" s="88"/>
      <c r="D100" s="88"/>
      <c r="E100" s="90"/>
      <c r="F100" s="88"/>
      <c r="G100" s="91"/>
      <c r="H100" s="91"/>
      <c r="I100" s="91"/>
      <c r="J100" s="91"/>
    </row>
    <row r="101" spans="1:10" ht="30" x14ac:dyDescent="0.25">
      <c r="A101" s="41">
        <f>A91+1</f>
        <v>11</v>
      </c>
      <c r="B101" s="8" t="s">
        <v>44</v>
      </c>
      <c r="C101" s="10" t="s">
        <v>0</v>
      </c>
      <c r="D101" s="1"/>
      <c r="E101" s="11">
        <f>27.6</f>
        <v>27.6</v>
      </c>
      <c r="F101" s="11"/>
      <c r="G101" s="11"/>
      <c r="H101" s="11">
        <f>H93</f>
        <v>0</v>
      </c>
      <c r="I101" s="11">
        <f>E101*H101</f>
        <v>0</v>
      </c>
      <c r="J101" s="11">
        <f>I101</f>
        <v>0</v>
      </c>
    </row>
    <row r="102" spans="1:10" x14ac:dyDescent="0.25">
      <c r="A102" s="41"/>
      <c r="B102" s="7"/>
      <c r="C102" s="3"/>
      <c r="D102" s="1"/>
      <c r="E102" s="57"/>
      <c r="F102" s="40"/>
      <c r="G102" s="40"/>
      <c r="H102" s="40"/>
      <c r="I102" s="40"/>
      <c r="J102" s="40"/>
    </row>
    <row r="103" spans="1:10" x14ac:dyDescent="0.25">
      <c r="A103" s="41"/>
      <c r="B103" s="7" t="s">
        <v>30</v>
      </c>
      <c r="C103" s="3" t="s">
        <v>0</v>
      </c>
      <c r="D103" s="1">
        <v>1.02</v>
      </c>
      <c r="E103" s="55">
        <f>E101*D103</f>
        <v>28.152000000000001</v>
      </c>
      <c r="F103" s="55">
        <v>0</v>
      </c>
      <c r="G103" s="40">
        <f t="shared" ref="G103:G108" si="20">E103*F103</f>
        <v>0</v>
      </c>
      <c r="H103" s="55"/>
      <c r="I103" s="55"/>
      <c r="J103" s="40">
        <f t="shared" ref="J103:J108" si="21">G103</f>
        <v>0</v>
      </c>
    </row>
    <row r="104" spans="1:10" x14ac:dyDescent="0.25">
      <c r="A104" s="41"/>
      <c r="B104" s="7" t="s">
        <v>41</v>
      </c>
      <c r="C104" s="3" t="s">
        <v>23</v>
      </c>
      <c r="D104" s="1">
        <v>1.02</v>
      </c>
      <c r="E104" s="55">
        <f>(215.1)/1000*D104</f>
        <v>0.21940199999999999</v>
      </c>
      <c r="F104" s="55">
        <v>0</v>
      </c>
      <c r="G104" s="40">
        <f t="shared" si="20"/>
        <v>0</v>
      </c>
      <c r="H104" s="55"/>
      <c r="I104" s="55"/>
      <c r="J104" s="40">
        <f t="shared" si="21"/>
        <v>0</v>
      </c>
    </row>
    <row r="105" spans="1:10" x14ac:dyDescent="0.25">
      <c r="A105" s="41"/>
      <c r="B105" s="7" t="s">
        <v>26</v>
      </c>
      <c r="C105" s="3" t="s">
        <v>23</v>
      </c>
      <c r="D105" s="1">
        <v>1.02</v>
      </c>
      <c r="E105" s="55">
        <f>(3233.91)/1000*D105</f>
        <v>3.2985881999999997</v>
      </c>
      <c r="F105" s="55">
        <v>0</v>
      </c>
      <c r="G105" s="40">
        <f t="shared" si="20"/>
        <v>0</v>
      </c>
      <c r="H105" s="55"/>
      <c r="I105" s="55"/>
      <c r="J105" s="40">
        <f t="shared" si="21"/>
        <v>0</v>
      </c>
    </row>
    <row r="106" spans="1:10" x14ac:dyDescent="0.25">
      <c r="A106" s="41"/>
      <c r="B106" s="7" t="s">
        <v>21</v>
      </c>
      <c r="C106" s="3" t="s">
        <v>23</v>
      </c>
      <c r="D106" s="1">
        <v>1.02</v>
      </c>
      <c r="E106" s="55">
        <f>(312.06)/1000*D106</f>
        <v>0.31830120000000001</v>
      </c>
      <c r="F106" s="55">
        <v>0</v>
      </c>
      <c r="G106" s="40">
        <f t="shared" si="20"/>
        <v>0</v>
      </c>
      <c r="H106" s="55"/>
      <c r="I106" s="55"/>
      <c r="J106" s="40">
        <f t="shared" si="21"/>
        <v>0</v>
      </c>
    </row>
    <row r="107" spans="1:10" x14ac:dyDescent="0.25">
      <c r="A107" s="41"/>
      <c r="B107" s="7" t="s">
        <v>24</v>
      </c>
      <c r="C107" s="3" t="s">
        <v>23</v>
      </c>
      <c r="D107" s="1">
        <v>1.02</v>
      </c>
      <c r="E107" s="55">
        <f>(43.2)/1000*D107</f>
        <v>4.4064000000000006E-2</v>
      </c>
      <c r="F107" s="55">
        <v>0</v>
      </c>
      <c r="G107" s="40">
        <f t="shared" si="20"/>
        <v>0</v>
      </c>
      <c r="H107" s="55"/>
      <c r="I107" s="55"/>
      <c r="J107" s="40">
        <f t="shared" si="21"/>
        <v>0</v>
      </c>
    </row>
    <row r="108" spans="1:10" x14ac:dyDescent="0.25">
      <c r="A108" s="41"/>
      <c r="B108" s="7" t="s">
        <v>25</v>
      </c>
      <c r="C108" s="3" t="s">
        <v>1</v>
      </c>
      <c r="D108" s="1"/>
      <c r="E108" s="55">
        <f>SUM(E105:E107)*7</f>
        <v>25.626673799999999</v>
      </c>
      <c r="F108" s="55">
        <v>0</v>
      </c>
      <c r="G108" s="40">
        <f t="shared" si="20"/>
        <v>0</v>
      </c>
      <c r="H108" s="55"/>
      <c r="I108" s="55"/>
      <c r="J108" s="40">
        <f t="shared" si="21"/>
        <v>0</v>
      </c>
    </row>
    <row r="109" spans="1:10" x14ac:dyDescent="0.25">
      <c r="A109" s="91"/>
      <c r="B109" s="99"/>
      <c r="C109" s="98"/>
      <c r="D109" s="91"/>
      <c r="E109" s="100"/>
      <c r="F109" s="101"/>
      <c r="G109" s="101"/>
      <c r="H109" s="101"/>
      <c r="I109" s="101"/>
      <c r="J109" s="101"/>
    </row>
    <row r="110" spans="1:10" ht="30" x14ac:dyDescent="0.25">
      <c r="A110" s="41">
        <v>12</v>
      </c>
      <c r="B110" s="8" t="s">
        <v>45</v>
      </c>
      <c r="C110" s="10" t="s">
        <v>0</v>
      </c>
      <c r="D110" s="1"/>
      <c r="E110" s="11">
        <v>5.0999999999999996</v>
      </c>
      <c r="F110" s="11"/>
      <c r="G110" s="11"/>
      <c r="H110" s="11">
        <f>H102</f>
        <v>0</v>
      </c>
      <c r="I110" s="11">
        <f>E110*H110</f>
        <v>0</v>
      </c>
      <c r="J110" s="11">
        <f>I110</f>
        <v>0</v>
      </c>
    </row>
    <row r="111" spans="1:10" x14ac:dyDescent="0.25">
      <c r="A111" s="41"/>
      <c r="B111" s="7"/>
      <c r="C111" s="3"/>
      <c r="D111" s="1"/>
      <c r="E111" s="57"/>
      <c r="F111" s="40"/>
      <c r="G111" s="40"/>
      <c r="H111" s="40"/>
      <c r="I111" s="40"/>
      <c r="J111" s="40"/>
    </row>
    <row r="112" spans="1:10" x14ac:dyDescent="0.25">
      <c r="A112" s="41"/>
      <c r="B112" s="7" t="s">
        <v>30</v>
      </c>
      <c r="C112" s="3" t="s">
        <v>0</v>
      </c>
      <c r="D112" s="1">
        <v>1.02</v>
      </c>
      <c r="E112" s="55">
        <f>E110*D112</f>
        <v>5.202</v>
      </c>
      <c r="F112" s="55">
        <v>0</v>
      </c>
      <c r="G112" s="40">
        <f>E112*F112</f>
        <v>0</v>
      </c>
      <c r="H112" s="55"/>
      <c r="I112" s="55"/>
      <c r="J112" s="40">
        <f>G112</f>
        <v>0</v>
      </c>
    </row>
    <row r="113" spans="1:10" x14ac:dyDescent="0.25">
      <c r="A113" s="41"/>
      <c r="B113" s="7" t="s">
        <v>26</v>
      </c>
      <c r="C113" s="3" t="s">
        <v>23</v>
      </c>
      <c r="D113" s="1">
        <v>1.02</v>
      </c>
      <c r="E113" s="55">
        <f>(780.28)/1000*D113</f>
        <v>0.79588559999999997</v>
      </c>
      <c r="F113" s="55">
        <v>0</v>
      </c>
      <c r="G113" s="40">
        <f>E113*F113</f>
        <v>0</v>
      </c>
      <c r="H113" s="55"/>
      <c r="I113" s="55"/>
      <c r="J113" s="40">
        <f>G113</f>
        <v>0</v>
      </c>
    </row>
    <row r="114" spans="1:10" x14ac:dyDescent="0.25">
      <c r="A114" s="41"/>
      <c r="B114" s="7" t="s">
        <v>21</v>
      </c>
      <c r="C114" s="3" t="s">
        <v>23</v>
      </c>
      <c r="D114" s="1">
        <v>1.02</v>
      </c>
      <c r="E114" s="55">
        <f>(14.8)/1000*D114</f>
        <v>1.5096000000000002E-2</v>
      </c>
      <c r="F114" s="55">
        <v>0</v>
      </c>
      <c r="G114" s="40">
        <f>E114*F114</f>
        <v>0</v>
      </c>
      <c r="H114" s="55"/>
      <c r="I114" s="55"/>
      <c r="J114" s="40">
        <f>G114</f>
        <v>0</v>
      </c>
    </row>
    <row r="115" spans="1:10" x14ac:dyDescent="0.25">
      <c r="A115" s="41"/>
      <c r="B115" s="7" t="s">
        <v>24</v>
      </c>
      <c r="C115" s="3" t="s">
        <v>23</v>
      </c>
      <c r="D115" s="1">
        <v>1.02</v>
      </c>
      <c r="E115" s="55">
        <f>(14.68)/1000*D115</f>
        <v>1.49736E-2</v>
      </c>
      <c r="F115" s="55">
        <v>0</v>
      </c>
      <c r="G115" s="40">
        <f>E115*F115</f>
        <v>0</v>
      </c>
      <c r="H115" s="55"/>
      <c r="I115" s="55"/>
      <c r="J115" s="40">
        <f>G115</f>
        <v>0</v>
      </c>
    </row>
    <row r="116" spans="1:10" x14ac:dyDescent="0.25">
      <c r="A116" s="41"/>
      <c r="B116" s="7" t="s">
        <v>25</v>
      </c>
      <c r="C116" s="3" t="s">
        <v>1</v>
      </c>
      <c r="D116" s="1"/>
      <c r="E116" s="55">
        <f>SUM(E113:E115)*7</f>
        <v>5.7816863999999999</v>
      </c>
      <c r="F116" s="55">
        <v>0</v>
      </c>
      <c r="G116" s="40">
        <f>E116*F116</f>
        <v>0</v>
      </c>
      <c r="H116" s="55"/>
      <c r="I116" s="55"/>
      <c r="J116" s="40">
        <f>G116</f>
        <v>0</v>
      </c>
    </row>
    <row r="117" spans="1:10" x14ac:dyDescent="0.25">
      <c r="A117" s="91"/>
      <c r="B117" s="99"/>
      <c r="C117" s="98"/>
      <c r="D117" s="91"/>
      <c r="E117" s="100"/>
      <c r="F117" s="101"/>
      <c r="G117" s="101"/>
      <c r="H117" s="101"/>
      <c r="I117" s="101"/>
      <c r="J117" s="101"/>
    </row>
    <row r="118" spans="1:10" ht="30" x14ac:dyDescent="0.25">
      <c r="A118" s="41">
        <v>13</v>
      </c>
      <c r="B118" s="8" t="s">
        <v>46</v>
      </c>
      <c r="C118" s="10" t="s">
        <v>0</v>
      </c>
      <c r="D118" s="1"/>
      <c r="E118" s="11">
        <f>7.8</f>
        <v>7.8</v>
      </c>
      <c r="F118" s="11"/>
      <c r="G118" s="11"/>
      <c r="H118" s="11">
        <f>H110</f>
        <v>0</v>
      </c>
      <c r="I118" s="11">
        <f>E118*H118</f>
        <v>0</v>
      </c>
      <c r="J118" s="11">
        <f>I118</f>
        <v>0</v>
      </c>
    </row>
    <row r="119" spans="1:10" x14ac:dyDescent="0.25">
      <c r="A119" s="41"/>
      <c r="B119" s="7"/>
      <c r="C119" s="3"/>
      <c r="D119" s="1"/>
      <c r="E119" s="57"/>
      <c r="F119" s="40"/>
      <c r="G119" s="40"/>
      <c r="H119" s="40"/>
      <c r="I119" s="40"/>
      <c r="J119" s="40"/>
    </row>
    <row r="120" spans="1:10" x14ac:dyDescent="0.25">
      <c r="A120" s="41"/>
      <c r="B120" s="7" t="s">
        <v>30</v>
      </c>
      <c r="C120" s="3" t="s">
        <v>0</v>
      </c>
      <c r="D120" s="1">
        <v>1.02</v>
      </c>
      <c r="E120" s="55">
        <f>E118*D120</f>
        <v>7.9559999999999995</v>
      </c>
      <c r="F120" s="55">
        <v>0</v>
      </c>
      <c r="G120" s="40">
        <f t="shared" ref="G120:G125" si="22">E120*F120</f>
        <v>0</v>
      </c>
      <c r="H120" s="55"/>
      <c r="I120" s="55"/>
      <c r="J120" s="40">
        <f t="shared" ref="J120:J125" si="23">G120</f>
        <v>0</v>
      </c>
    </row>
    <row r="121" spans="1:10" x14ac:dyDescent="0.25">
      <c r="A121" s="41"/>
      <c r="B121" s="7" t="s">
        <v>22</v>
      </c>
      <c r="C121" s="3" t="s">
        <v>23</v>
      </c>
      <c r="D121" s="1">
        <v>1.02</v>
      </c>
      <c r="E121" s="55">
        <f>(57.58)/1000*D121</f>
        <v>5.8731600000000002E-2</v>
      </c>
      <c r="F121" s="55">
        <v>0</v>
      </c>
      <c r="G121" s="40">
        <f t="shared" si="22"/>
        <v>0</v>
      </c>
      <c r="H121" s="55"/>
      <c r="I121" s="55"/>
      <c r="J121" s="40">
        <f t="shared" si="23"/>
        <v>0</v>
      </c>
    </row>
    <row r="122" spans="1:10" x14ac:dyDescent="0.25">
      <c r="A122" s="41"/>
      <c r="B122" s="7" t="s">
        <v>41</v>
      </c>
      <c r="C122" s="3" t="s">
        <v>23</v>
      </c>
      <c r="D122" s="1">
        <v>1.02</v>
      </c>
      <c r="E122" s="55">
        <f>(32.29)/1000*D122</f>
        <v>3.2935800000000001E-2</v>
      </c>
      <c r="F122" s="55">
        <v>0</v>
      </c>
      <c r="G122" s="40">
        <f t="shared" si="22"/>
        <v>0</v>
      </c>
      <c r="H122" s="55"/>
      <c r="I122" s="55"/>
      <c r="J122" s="40">
        <f t="shared" si="23"/>
        <v>0</v>
      </c>
    </row>
    <row r="123" spans="1:10" x14ac:dyDescent="0.25">
      <c r="A123" s="41"/>
      <c r="B123" s="7" t="s">
        <v>26</v>
      </c>
      <c r="C123" s="3" t="s">
        <v>23</v>
      </c>
      <c r="D123" s="1">
        <v>1.02</v>
      </c>
      <c r="E123" s="55">
        <f>(1233.08)/1000*D123</f>
        <v>1.2577415999999999</v>
      </c>
      <c r="F123" s="55">
        <v>0</v>
      </c>
      <c r="G123" s="40">
        <f t="shared" si="22"/>
        <v>0</v>
      </c>
      <c r="H123" s="55"/>
      <c r="I123" s="55"/>
      <c r="J123" s="40">
        <f t="shared" si="23"/>
        <v>0</v>
      </c>
    </row>
    <row r="124" spans="1:10" x14ac:dyDescent="0.25">
      <c r="A124" s="41"/>
      <c r="B124" s="7" t="s">
        <v>24</v>
      </c>
      <c r="C124" s="3" t="s">
        <v>23</v>
      </c>
      <c r="D124" s="1">
        <v>1.02</v>
      </c>
      <c r="E124" s="55">
        <f>(33.93)/1000*D124</f>
        <v>3.4608600000000003E-2</v>
      </c>
      <c r="F124" s="55">
        <v>0</v>
      </c>
      <c r="G124" s="40">
        <f t="shared" si="22"/>
        <v>0</v>
      </c>
      <c r="H124" s="55"/>
      <c r="I124" s="55"/>
      <c r="J124" s="40">
        <f t="shared" si="23"/>
        <v>0</v>
      </c>
    </row>
    <row r="125" spans="1:10" x14ac:dyDescent="0.25">
      <c r="A125" s="41"/>
      <c r="B125" s="7" t="s">
        <v>25</v>
      </c>
      <c r="C125" s="3" t="s">
        <v>1</v>
      </c>
      <c r="D125" s="1"/>
      <c r="E125" s="55">
        <f>SUM(E122:E124)*7</f>
        <v>9.2770019999999995</v>
      </c>
      <c r="F125" s="55">
        <v>0</v>
      </c>
      <c r="G125" s="40">
        <f t="shared" si="22"/>
        <v>0</v>
      </c>
      <c r="H125" s="55"/>
      <c r="I125" s="55"/>
      <c r="J125" s="40">
        <f t="shared" si="23"/>
        <v>0</v>
      </c>
    </row>
    <row r="126" spans="1:10" x14ac:dyDescent="0.25">
      <c r="A126" s="91"/>
      <c r="B126" s="99"/>
      <c r="C126" s="98"/>
      <c r="D126" s="91"/>
      <c r="E126" s="100"/>
      <c r="F126" s="101"/>
      <c r="G126" s="101"/>
      <c r="H126" s="101"/>
      <c r="I126" s="101"/>
      <c r="J126" s="101"/>
    </row>
    <row r="127" spans="1:10" ht="30" x14ac:dyDescent="0.25">
      <c r="A127" s="41">
        <v>14</v>
      </c>
      <c r="B127" s="8" t="s">
        <v>47</v>
      </c>
      <c r="C127" s="10" t="s">
        <v>0</v>
      </c>
      <c r="D127" s="1"/>
      <c r="E127" s="11">
        <f>3.9</f>
        <v>3.9</v>
      </c>
      <c r="F127" s="11"/>
      <c r="G127" s="11"/>
      <c r="H127" s="11">
        <f>H119</f>
        <v>0</v>
      </c>
      <c r="I127" s="11">
        <f>E127*H127</f>
        <v>0</v>
      </c>
      <c r="J127" s="11">
        <f>I127</f>
        <v>0</v>
      </c>
    </row>
    <row r="128" spans="1:10" x14ac:dyDescent="0.25">
      <c r="A128" s="41"/>
      <c r="B128" s="7"/>
      <c r="C128" s="3"/>
      <c r="D128" s="1"/>
      <c r="E128" s="57"/>
      <c r="F128" s="40"/>
      <c r="G128" s="40"/>
      <c r="H128" s="40"/>
      <c r="I128" s="40"/>
      <c r="J128" s="40"/>
    </row>
    <row r="129" spans="1:10" x14ac:dyDescent="0.25">
      <c r="A129" s="41"/>
      <c r="B129" s="7" t="s">
        <v>30</v>
      </c>
      <c r="C129" s="3" t="s">
        <v>0</v>
      </c>
      <c r="D129" s="1">
        <v>1.02</v>
      </c>
      <c r="E129" s="55">
        <f>E127*D129</f>
        <v>3.9779999999999998</v>
      </c>
      <c r="F129" s="55">
        <v>0</v>
      </c>
      <c r="G129" s="40">
        <f>E129*F129</f>
        <v>0</v>
      </c>
      <c r="H129" s="55"/>
      <c r="I129" s="55"/>
      <c r="J129" s="40">
        <f>G129</f>
        <v>0</v>
      </c>
    </row>
    <row r="130" spans="1:10" x14ac:dyDescent="0.25">
      <c r="A130" s="41"/>
      <c r="B130" s="7" t="s">
        <v>21</v>
      </c>
      <c r="C130" s="3" t="s">
        <v>23</v>
      </c>
      <c r="D130" s="1">
        <v>1.02</v>
      </c>
      <c r="E130" s="55">
        <f>(340.54)/1000*D130</f>
        <v>0.34735080000000002</v>
      </c>
      <c r="F130" s="55">
        <v>0</v>
      </c>
      <c r="G130" s="40">
        <f>E130*F130</f>
        <v>0</v>
      </c>
      <c r="H130" s="55"/>
      <c r="I130" s="55"/>
      <c r="J130" s="40">
        <f>G130</f>
        <v>0</v>
      </c>
    </row>
    <row r="131" spans="1:10" x14ac:dyDescent="0.25">
      <c r="A131" s="41"/>
      <c r="B131" s="7" t="s">
        <v>24</v>
      </c>
      <c r="C131" s="3" t="s">
        <v>23</v>
      </c>
      <c r="D131" s="1">
        <v>1.02</v>
      </c>
      <c r="E131" s="55">
        <f>(6.39)/1000*D131</f>
        <v>6.5177999999999998E-3</v>
      </c>
      <c r="F131" s="55">
        <v>0</v>
      </c>
      <c r="G131" s="40">
        <f>E131*F131</f>
        <v>0</v>
      </c>
      <c r="H131" s="55"/>
      <c r="I131" s="55"/>
      <c r="J131" s="40">
        <f>G131</f>
        <v>0</v>
      </c>
    </row>
    <row r="132" spans="1:10" x14ac:dyDescent="0.25">
      <c r="A132" s="41"/>
      <c r="B132" s="7" t="s">
        <v>25</v>
      </c>
      <c r="C132" s="3" t="s">
        <v>1</v>
      </c>
      <c r="D132" s="1"/>
      <c r="E132" s="55">
        <f>SUM(E130:E131)*7</f>
        <v>2.4770802000000001</v>
      </c>
      <c r="F132" s="55">
        <v>0</v>
      </c>
      <c r="G132" s="40">
        <f>E132*F132</f>
        <v>0</v>
      </c>
      <c r="H132" s="55"/>
      <c r="I132" s="55"/>
      <c r="J132" s="40">
        <f>G132</f>
        <v>0</v>
      </c>
    </row>
    <row r="133" spans="1:10" x14ac:dyDescent="0.25">
      <c r="A133" s="41"/>
      <c r="B133" s="7"/>
      <c r="C133" s="3"/>
      <c r="D133" s="1"/>
      <c r="E133" s="55"/>
      <c r="F133" s="55"/>
      <c r="G133" s="40"/>
      <c r="H133" s="55"/>
      <c r="I133" s="55"/>
      <c r="J133" s="40"/>
    </row>
    <row r="134" spans="1:10" x14ac:dyDescent="0.25">
      <c r="A134" s="41">
        <v>15</v>
      </c>
      <c r="B134" s="8" t="s">
        <v>48</v>
      </c>
      <c r="C134" s="10" t="s">
        <v>0</v>
      </c>
      <c r="D134" s="1"/>
      <c r="E134" s="11">
        <f>1.4</f>
        <v>1.4</v>
      </c>
      <c r="F134" s="11"/>
      <c r="G134" s="11"/>
      <c r="H134" s="11">
        <f>H126</f>
        <v>0</v>
      </c>
      <c r="I134" s="11">
        <f>E134*H134</f>
        <v>0</v>
      </c>
      <c r="J134" s="11">
        <f>I134</f>
        <v>0</v>
      </c>
    </row>
    <row r="135" spans="1:10" x14ac:dyDescent="0.25">
      <c r="A135" s="41"/>
      <c r="B135" s="7"/>
      <c r="C135" s="3"/>
      <c r="D135" s="1"/>
      <c r="E135" s="57"/>
      <c r="F135" s="40"/>
      <c r="G135" s="40"/>
      <c r="H135" s="40"/>
      <c r="I135" s="40"/>
      <c r="J135" s="40"/>
    </row>
    <row r="136" spans="1:10" x14ac:dyDescent="0.25">
      <c r="A136" s="41"/>
      <c r="B136" s="7" t="s">
        <v>30</v>
      </c>
      <c r="C136" s="3" t="s">
        <v>0</v>
      </c>
      <c r="D136" s="1">
        <v>1.02</v>
      </c>
      <c r="E136" s="55">
        <f>E134*D136</f>
        <v>1.4279999999999999</v>
      </c>
      <c r="F136" s="55">
        <v>0</v>
      </c>
      <c r="G136" s="40">
        <f>E136*F136</f>
        <v>0</v>
      </c>
      <c r="H136" s="55"/>
      <c r="I136" s="55"/>
      <c r="J136" s="40">
        <f>G136</f>
        <v>0</v>
      </c>
    </row>
    <row r="137" spans="1:10" x14ac:dyDescent="0.25">
      <c r="A137" s="41"/>
      <c r="B137" s="7" t="s">
        <v>22</v>
      </c>
      <c r="C137" s="3" t="s">
        <v>23</v>
      </c>
      <c r="D137" s="1">
        <v>1.02</v>
      </c>
      <c r="E137" s="55">
        <f>(157.61)/1000*D137</f>
        <v>0.16076219999999999</v>
      </c>
      <c r="F137" s="55">
        <v>0</v>
      </c>
      <c r="G137" s="40">
        <f>E137*F137</f>
        <v>0</v>
      </c>
      <c r="H137" s="55"/>
      <c r="I137" s="55"/>
      <c r="J137" s="40">
        <f>G137</f>
        <v>0</v>
      </c>
    </row>
    <row r="138" spans="1:10" x14ac:dyDescent="0.25">
      <c r="A138" s="41"/>
      <c r="B138" s="7" t="s">
        <v>31</v>
      </c>
      <c r="C138" s="3" t="s">
        <v>23</v>
      </c>
      <c r="D138" s="1">
        <v>1.02</v>
      </c>
      <c r="E138" s="55">
        <f>(21.79)/1000*D138</f>
        <v>2.22258E-2</v>
      </c>
      <c r="F138" s="55">
        <v>0</v>
      </c>
      <c r="G138" s="40">
        <f>E138*F138</f>
        <v>0</v>
      </c>
      <c r="H138" s="55"/>
      <c r="I138" s="55"/>
      <c r="J138" s="40">
        <f>G138</f>
        <v>0</v>
      </c>
    </row>
    <row r="139" spans="1:10" x14ac:dyDescent="0.25">
      <c r="A139" s="41"/>
      <c r="B139" s="7" t="s">
        <v>25</v>
      </c>
      <c r="C139" s="3" t="s">
        <v>1</v>
      </c>
      <c r="D139" s="1"/>
      <c r="E139" s="57">
        <f>SUM(E137:E138)*7</f>
        <v>1.2809159999999999</v>
      </c>
      <c r="F139" s="40">
        <v>0</v>
      </c>
      <c r="G139" s="40">
        <f>E139*F139</f>
        <v>0</v>
      </c>
      <c r="H139" s="40"/>
      <c r="I139" s="40"/>
      <c r="J139" s="40">
        <f>G139</f>
        <v>0</v>
      </c>
    </row>
    <row r="140" spans="1:10" x14ac:dyDescent="0.25">
      <c r="A140" s="41"/>
      <c r="B140" s="7"/>
      <c r="C140" s="3"/>
      <c r="D140" s="1"/>
      <c r="E140" s="57"/>
      <c r="F140" s="40"/>
      <c r="G140" s="40"/>
      <c r="H140" s="40"/>
      <c r="I140" s="40"/>
      <c r="J140" s="40"/>
    </row>
    <row r="141" spans="1:10" ht="21" x14ac:dyDescent="0.35">
      <c r="A141" s="128" t="s">
        <v>49</v>
      </c>
      <c r="B141" s="89"/>
      <c r="C141" s="88"/>
      <c r="D141" s="88"/>
      <c r="E141" s="90"/>
      <c r="F141" s="88"/>
      <c r="G141" s="91"/>
      <c r="H141" s="91"/>
      <c r="I141" s="91"/>
      <c r="J141" s="91"/>
    </row>
    <row r="142" spans="1:10" x14ac:dyDescent="0.25">
      <c r="A142" s="91"/>
      <c r="B142" s="99"/>
      <c r="C142" s="98"/>
      <c r="D142" s="91"/>
      <c r="E142" s="100"/>
      <c r="F142" s="101"/>
      <c r="G142" s="101"/>
      <c r="H142" s="101"/>
      <c r="I142" s="101"/>
      <c r="J142" s="101"/>
    </row>
    <row r="143" spans="1:10" ht="30" x14ac:dyDescent="0.25">
      <c r="A143" s="41">
        <v>16</v>
      </c>
      <c r="B143" s="8" t="s">
        <v>50</v>
      </c>
      <c r="C143" s="10" t="s">
        <v>0</v>
      </c>
      <c r="D143" s="1"/>
      <c r="E143" s="11">
        <v>37.22</v>
      </c>
      <c r="F143" s="11"/>
      <c r="G143" s="11"/>
      <c r="H143" s="11">
        <f>H135</f>
        <v>0</v>
      </c>
      <c r="I143" s="11">
        <f>E143*H143</f>
        <v>0</v>
      </c>
      <c r="J143" s="11">
        <f>I143</f>
        <v>0</v>
      </c>
    </row>
    <row r="144" spans="1:10" x14ac:dyDescent="0.25">
      <c r="A144" s="41"/>
      <c r="B144" s="7"/>
      <c r="C144" s="3"/>
      <c r="D144" s="1"/>
      <c r="E144" s="57"/>
      <c r="F144" s="40"/>
      <c r="G144" s="40"/>
      <c r="H144" s="40"/>
      <c r="I144" s="40"/>
      <c r="J144" s="40"/>
    </row>
    <row r="145" spans="1:10" x14ac:dyDescent="0.25">
      <c r="A145" s="41"/>
      <c r="B145" s="7" t="s">
        <v>30</v>
      </c>
      <c r="C145" s="3" t="s">
        <v>0</v>
      </c>
      <c r="D145" s="1">
        <v>1.02</v>
      </c>
      <c r="E145" s="55">
        <f>E143*D145</f>
        <v>37.964399999999998</v>
      </c>
      <c r="F145" s="55">
        <v>0</v>
      </c>
      <c r="G145" s="40">
        <f t="shared" ref="G145:G151" si="24">E145*F145</f>
        <v>0</v>
      </c>
      <c r="H145" s="55"/>
      <c r="I145" s="55"/>
      <c r="J145" s="40">
        <f t="shared" ref="J145:J151" si="25">G145</f>
        <v>0</v>
      </c>
    </row>
    <row r="146" spans="1:10" x14ac:dyDescent="0.25">
      <c r="A146" s="41"/>
      <c r="B146" s="7" t="s">
        <v>51</v>
      </c>
      <c r="C146" s="3" t="s">
        <v>23</v>
      </c>
      <c r="D146" s="1">
        <v>1.02</v>
      </c>
      <c r="E146" s="55">
        <f>(104.82)/1000*D146</f>
        <v>0.10691639999999999</v>
      </c>
      <c r="F146" s="55">
        <v>0</v>
      </c>
      <c r="G146" s="40">
        <f t="shared" si="24"/>
        <v>0</v>
      </c>
      <c r="H146" s="55"/>
      <c r="I146" s="55"/>
      <c r="J146" s="40">
        <f t="shared" si="25"/>
        <v>0</v>
      </c>
    </row>
    <row r="147" spans="1:10" x14ac:dyDescent="0.25">
      <c r="A147" s="41"/>
      <c r="B147" s="7" t="s">
        <v>22</v>
      </c>
      <c r="C147" s="3" t="s">
        <v>23</v>
      </c>
      <c r="D147" s="1">
        <v>1.02</v>
      </c>
      <c r="E147" s="55">
        <f>(88.4)/1000*D147</f>
        <v>9.0168000000000012E-2</v>
      </c>
      <c r="F147" s="55">
        <v>0</v>
      </c>
      <c r="G147" s="40">
        <f t="shared" si="24"/>
        <v>0</v>
      </c>
      <c r="H147" s="55"/>
      <c r="I147" s="55"/>
      <c r="J147" s="40">
        <f t="shared" si="25"/>
        <v>0</v>
      </c>
    </row>
    <row r="148" spans="1:10" x14ac:dyDescent="0.25">
      <c r="A148" s="41"/>
      <c r="B148" s="7" t="s">
        <v>26</v>
      </c>
      <c r="C148" s="3" t="s">
        <v>23</v>
      </c>
      <c r="D148" s="1">
        <v>1.02</v>
      </c>
      <c r="E148" s="57">
        <f>(53.27)/1000*D148</f>
        <v>5.4335400000000006E-2</v>
      </c>
      <c r="F148" s="40">
        <v>0</v>
      </c>
      <c r="G148" s="40">
        <f t="shared" si="24"/>
        <v>0</v>
      </c>
      <c r="H148" s="40"/>
      <c r="I148" s="40"/>
      <c r="J148" s="40">
        <f t="shared" si="25"/>
        <v>0</v>
      </c>
    </row>
    <row r="149" spans="1:10" x14ac:dyDescent="0.25">
      <c r="A149" s="41"/>
      <c r="B149" s="7" t="s">
        <v>21</v>
      </c>
      <c r="C149" s="3" t="s">
        <v>23</v>
      </c>
      <c r="D149" s="1">
        <v>1.02</v>
      </c>
      <c r="E149" s="57">
        <f>(3858.47)/1000*D149</f>
        <v>3.9356393999999999</v>
      </c>
      <c r="F149" s="40">
        <v>0</v>
      </c>
      <c r="G149" s="40">
        <f t="shared" si="24"/>
        <v>0</v>
      </c>
      <c r="H149" s="40"/>
      <c r="I149" s="40"/>
      <c r="J149" s="40">
        <f t="shared" si="25"/>
        <v>0</v>
      </c>
    </row>
    <row r="150" spans="1:10" x14ac:dyDescent="0.25">
      <c r="A150" s="41"/>
      <c r="B150" s="7" t="s">
        <v>24</v>
      </c>
      <c r="C150" s="3" t="s">
        <v>23</v>
      </c>
      <c r="D150" s="1">
        <v>1.02</v>
      </c>
      <c r="E150" s="57">
        <f>(1.9)/1000*D150</f>
        <v>1.9380000000000001E-3</v>
      </c>
      <c r="F150" s="40">
        <v>0</v>
      </c>
      <c r="G150" s="40">
        <f t="shared" si="24"/>
        <v>0</v>
      </c>
      <c r="H150" s="40"/>
      <c r="I150" s="40"/>
      <c r="J150" s="40">
        <f t="shared" si="25"/>
        <v>0</v>
      </c>
    </row>
    <row r="151" spans="1:10" x14ac:dyDescent="0.25">
      <c r="A151" s="41"/>
      <c r="B151" s="7" t="s">
        <v>25</v>
      </c>
      <c r="C151" s="3" t="s">
        <v>1</v>
      </c>
      <c r="D151" s="1"/>
      <c r="E151" s="57">
        <f>SUM(E146:E150)*7</f>
        <v>29.322980400000002</v>
      </c>
      <c r="F151" s="40">
        <v>0</v>
      </c>
      <c r="G151" s="40">
        <f t="shared" si="24"/>
        <v>0</v>
      </c>
      <c r="H151" s="40"/>
      <c r="I151" s="40"/>
      <c r="J151" s="40">
        <f t="shared" si="25"/>
        <v>0</v>
      </c>
    </row>
    <row r="152" spans="1:10" x14ac:dyDescent="0.25">
      <c r="A152" s="91"/>
      <c r="B152" s="99"/>
      <c r="C152" s="98"/>
      <c r="D152" s="91"/>
      <c r="E152" s="100"/>
      <c r="F152" s="101"/>
      <c r="G152" s="101"/>
      <c r="H152" s="101"/>
      <c r="I152" s="101"/>
      <c r="J152" s="101"/>
    </row>
    <row r="153" spans="1:10" ht="21" x14ac:dyDescent="0.35">
      <c r="A153" s="128" t="s">
        <v>52</v>
      </c>
      <c r="B153" s="89"/>
      <c r="C153" s="88"/>
      <c r="D153" s="88"/>
      <c r="E153" s="90"/>
      <c r="F153" s="88"/>
      <c r="G153" s="91"/>
      <c r="H153" s="91"/>
      <c r="I153" s="91"/>
      <c r="J153" s="91"/>
    </row>
    <row r="154" spans="1:10" x14ac:dyDescent="0.25">
      <c r="A154" s="41">
        <f>A143+1</f>
        <v>17</v>
      </c>
      <c r="B154" s="8" t="s">
        <v>53</v>
      </c>
      <c r="C154" s="10" t="s">
        <v>0</v>
      </c>
      <c r="D154" s="1"/>
      <c r="E154" s="11">
        <f>9.24</f>
        <v>9.24</v>
      </c>
      <c r="F154" s="11"/>
      <c r="G154" s="11"/>
      <c r="H154" s="11">
        <f>H146</f>
        <v>0</v>
      </c>
      <c r="I154" s="11">
        <f>E154*H154</f>
        <v>0</v>
      </c>
      <c r="J154" s="11">
        <f>I154</f>
        <v>0</v>
      </c>
    </row>
    <row r="155" spans="1:10" x14ac:dyDescent="0.25">
      <c r="A155" s="41"/>
      <c r="B155" s="7"/>
      <c r="C155" s="3"/>
      <c r="D155" s="1"/>
      <c r="E155" s="57"/>
      <c r="F155" s="40"/>
      <c r="G155" s="40"/>
      <c r="H155" s="40"/>
      <c r="I155" s="40"/>
      <c r="J155" s="40"/>
    </row>
    <row r="156" spans="1:10" x14ac:dyDescent="0.25">
      <c r="A156" s="41"/>
      <c r="B156" s="7" t="s">
        <v>30</v>
      </c>
      <c r="C156" s="3" t="s">
        <v>0</v>
      </c>
      <c r="D156" s="1">
        <v>1.02</v>
      </c>
      <c r="E156" s="55">
        <f>E154*D156</f>
        <v>9.4248000000000012</v>
      </c>
      <c r="F156" s="55">
        <v>0</v>
      </c>
      <c r="G156" s="40">
        <f>E156*F156</f>
        <v>0</v>
      </c>
      <c r="H156" s="55"/>
      <c r="I156" s="55"/>
      <c r="J156" s="40">
        <f>G156</f>
        <v>0</v>
      </c>
    </row>
    <row r="157" spans="1:10" x14ac:dyDescent="0.25">
      <c r="A157" s="41"/>
      <c r="B157" s="7" t="s">
        <v>21</v>
      </c>
      <c r="C157" s="3" t="s">
        <v>23</v>
      </c>
      <c r="D157" s="1">
        <v>1.02</v>
      </c>
      <c r="E157" s="55">
        <f>(1273.03)/1000*D157</f>
        <v>1.2984905999999998</v>
      </c>
      <c r="F157" s="55">
        <v>0</v>
      </c>
      <c r="G157" s="40">
        <f>E157*F157</f>
        <v>0</v>
      </c>
      <c r="H157" s="55"/>
      <c r="I157" s="55"/>
      <c r="J157" s="40">
        <f>G157</f>
        <v>0</v>
      </c>
    </row>
    <row r="158" spans="1:10" x14ac:dyDescent="0.25">
      <c r="A158" s="41"/>
      <c r="B158" s="7" t="s">
        <v>24</v>
      </c>
      <c r="C158" s="3" t="s">
        <v>23</v>
      </c>
      <c r="D158" s="1">
        <v>1.02</v>
      </c>
      <c r="E158" s="55">
        <f>(9.75)/1000*D158</f>
        <v>9.9450000000000007E-3</v>
      </c>
      <c r="F158" s="55">
        <v>0</v>
      </c>
      <c r="G158" s="40">
        <f>E158*F158</f>
        <v>0</v>
      </c>
      <c r="H158" s="55"/>
      <c r="I158" s="55"/>
      <c r="J158" s="40">
        <f>G158</f>
        <v>0</v>
      </c>
    </row>
    <row r="159" spans="1:10" x14ac:dyDescent="0.25">
      <c r="A159" s="41"/>
      <c r="B159" s="7" t="s">
        <v>25</v>
      </c>
      <c r="C159" s="3" t="s">
        <v>1</v>
      </c>
      <c r="D159" s="1"/>
      <c r="E159" s="57">
        <f>SUM(E157:E158)*7</f>
        <v>9.1590492000000001</v>
      </c>
      <c r="F159" s="40">
        <v>0</v>
      </c>
      <c r="G159" s="40">
        <f>E159*F159</f>
        <v>0</v>
      </c>
      <c r="H159" s="40"/>
      <c r="I159" s="40"/>
      <c r="J159" s="40">
        <f>G159</f>
        <v>0</v>
      </c>
    </row>
    <row r="160" spans="1:10" x14ac:dyDescent="0.25">
      <c r="A160" s="104"/>
      <c r="B160" s="105"/>
      <c r="C160" s="106"/>
      <c r="D160" s="104"/>
      <c r="E160" s="107"/>
      <c r="F160" s="108"/>
      <c r="G160" s="108"/>
      <c r="H160" s="108"/>
      <c r="I160" s="108"/>
      <c r="J160" s="108"/>
    </row>
    <row r="161" spans="1:13" ht="45" x14ac:dyDescent="0.25">
      <c r="A161" s="134"/>
      <c r="B161" s="139" t="s">
        <v>127</v>
      </c>
      <c r="C161" s="130"/>
      <c r="D161"/>
      <c r="E161" s="133"/>
      <c r="F161" s="132"/>
      <c r="G161" s="132"/>
      <c r="H161" s="132"/>
      <c r="I161" s="129"/>
      <c r="J161" s="131"/>
    </row>
    <row r="162" spans="1:13" ht="30" x14ac:dyDescent="0.25">
      <c r="A162" s="41">
        <f>A154+1</f>
        <v>18</v>
      </c>
      <c r="B162" s="8" t="s">
        <v>91</v>
      </c>
      <c r="C162" s="10" t="s">
        <v>90</v>
      </c>
      <c r="D162" s="1"/>
      <c r="E162" s="11">
        <v>21</v>
      </c>
      <c r="F162" s="11"/>
      <c r="G162" s="11"/>
      <c r="H162" s="11">
        <v>0</v>
      </c>
      <c r="I162" s="11">
        <f>E162*H162</f>
        <v>0</v>
      </c>
      <c r="J162" s="11">
        <f>G162+I162</f>
        <v>0</v>
      </c>
    </row>
    <row r="163" spans="1:13" x14ac:dyDescent="0.25">
      <c r="A163" s="41"/>
      <c r="B163" s="7" t="s">
        <v>123</v>
      </c>
      <c r="C163" s="3" t="s">
        <v>90</v>
      </c>
      <c r="D163" s="1"/>
      <c r="E163" s="55">
        <f>11</f>
        <v>11</v>
      </c>
      <c r="F163" s="55">
        <v>0</v>
      </c>
      <c r="G163" s="40">
        <f t="shared" ref="G163:G165" si="26">E163*F163</f>
        <v>0</v>
      </c>
      <c r="H163" s="55"/>
      <c r="I163" s="55"/>
      <c r="J163" s="40">
        <f>G163+I163</f>
        <v>0</v>
      </c>
    </row>
    <row r="164" spans="1:13" x14ac:dyDescent="0.25">
      <c r="A164" s="41"/>
      <c r="B164" s="7" t="s">
        <v>93</v>
      </c>
      <c r="C164" s="3" t="s">
        <v>90</v>
      </c>
      <c r="D164" s="1"/>
      <c r="E164" s="55">
        <f>10</f>
        <v>10</v>
      </c>
      <c r="F164" s="55">
        <v>0</v>
      </c>
      <c r="G164" s="40">
        <f t="shared" si="26"/>
        <v>0</v>
      </c>
      <c r="H164" s="55"/>
      <c r="I164" s="55"/>
      <c r="J164" s="40">
        <f>G164+I164</f>
        <v>0</v>
      </c>
      <c r="L164" s="104"/>
      <c r="M164" s="104"/>
    </row>
    <row r="165" spans="1:13" x14ac:dyDescent="0.25">
      <c r="A165" s="41"/>
      <c r="B165" s="7" t="s">
        <v>112</v>
      </c>
      <c r="C165" s="3" t="s">
        <v>0</v>
      </c>
      <c r="D165" s="1"/>
      <c r="E165" s="55">
        <v>5.24</v>
      </c>
      <c r="F165" s="55">
        <v>0</v>
      </c>
      <c r="G165" s="40">
        <f t="shared" si="26"/>
        <v>0</v>
      </c>
      <c r="H165" s="55"/>
      <c r="I165" s="55"/>
      <c r="J165" s="55"/>
      <c r="L165" s="104"/>
      <c r="M165" s="104"/>
    </row>
    <row r="166" spans="1:13" ht="30" x14ac:dyDescent="0.25">
      <c r="A166" s="41">
        <f>A162+1</f>
        <v>19</v>
      </c>
      <c r="B166" s="8" t="s">
        <v>94</v>
      </c>
      <c r="C166" s="10" t="s">
        <v>23</v>
      </c>
      <c r="D166" s="1"/>
      <c r="E166" s="11">
        <v>9.0802799999999989E-2</v>
      </c>
      <c r="F166" s="11"/>
      <c r="G166" s="11"/>
      <c r="H166" s="11">
        <v>0</v>
      </c>
      <c r="I166" s="11">
        <f>E166*H166</f>
        <v>0</v>
      </c>
      <c r="J166" s="11">
        <f>G166+I166</f>
        <v>0</v>
      </c>
      <c r="L166" s="113"/>
      <c r="M166" s="104"/>
    </row>
    <row r="167" spans="1:13" x14ac:dyDescent="0.25">
      <c r="A167" s="41"/>
      <c r="B167" s="7" t="s">
        <v>133</v>
      </c>
      <c r="C167" s="3" t="s">
        <v>23</v>
      </c>
      <c r="D167" s="1"/>
      <c r="E167" s="55">
        <v>8.9849759999999987E-2</v>
      </c>
      <c r="F167" s="55">
        <v>0</v>
      </c>
      <c r="G167" s="40">
        <f t="shared" ref="G167:G169" si="27">E167*F167</f>
        <v>0</v>
      </c>
      <c r="H167" s="55"/>
      <c r="I167" s="55"/>
      <c r="J167" s="40">
        <f t="shared" ref="J167:J169" si="28">G167+I167</f>
        <v>0</v>
      </c>
      <c r="L167" s="114"/>
      <c r="M167" s="104"/>
    </row>
    <row r="168" spans="1:13" x14ac:dyDescent="0.25">
      <c r="A168" s="41"/>
      <c r="B168" s="7" t="s">
        <v>114</v>
      </c>
      <c r="C168" s="3" t="s">
        <v>23</v>
      </c>
      <c r="D168" s="1"/>
      <c r="E168" s="55">
        <v>2.7555219999999994E-3</v>
      </c>
      <c r="F168" s="55">
        <v>0</v>
      </c>
      <c r="G168" s="40">
        <f t="shared" si="27"/>
        <v>0</v>
      </c>
      <c r="H168" s="55"/>
      <c r="I168" s="55"/>
      <c r="J168" s="40">
        <f t="shared" si="28"/>
        <v>0</v>
      </c>
      <c r="L168" s="114"/>
      <c r="M168" s="104"/>
    </row>
    <row r="169" spans="1:13" x14ac:dyDescent="0.25">
      <c r="A169" s="41"/>
      <c r="B169" s="7" t="s">
        <v>95</v>
      </c>
      <c r="C169" s="3" t="s">
        <v>96</v>
      </c>
      <c r="D169" s="1"/>
      <c r="E169" s="55">
        <v>50.16</v>
      </c>
      <c r="F169" s="55">
        <v>0</v>
      </c>
      <c r="G169" s="40">
        <f t="shared" si="27"/>
        <v>0</v>
      </c>
      <c r="H169" s="55"/>
      <c r="I169" s="55"/>
      <c r="J169" s="40">
        <f t="shared" si="28"/>
        <v>0</v>
      </c>
      <c r="L169" s="114"/>
      <c r="M169" s="104"/>
    </row>
    <row r="170" spans="1:13" x14ac:dyDescent="0.25">
      <c r="A170" s="41">
        <f>A166+1</f>
        <v>20</v>
      </c>
      <c r="B170" s="8" t="s">
        <v>97</v>
      </c>
      <c r="C170" s="10" t="s">
        <v>90</v>
      </c>
      <c r="D170" s="1"/>
      <c r="E170" s="11">
        <v>161</v>
      </c>
      <c r="F170" s="11"/>
      <c r="G170" s="11"/>
      <c r="H170" s="11">
        <v>0</v>
      </c>
      <c r="I170" s="11">
        <f>E170*H170</f>
        <v>0</v>
      </c>
      <c r="J170" s="11">
        <f>G170+I170</f>
        <v>0</v>
      </c>
      <c r="L170" s="113"/>
      <c r="M170" s="104"/>
    </row>
    <row r="171" spans="1:13" x14ac:dyDescent="0.25">
      <c r="A171" s="115"/>
      <c r="B171" s="8"/>
      <c r="C171" s="136"/>
      <c r="D171" s="58"/>
      <c r="E171" s="113"/>
      <c r="F171" s="113"/>
      <c r="G171" s="113"/>
      <c r="H171" s="113"/>
      <c r="I171" s="113"/>
      <c r="J171" s="113"/>
      <c r="L171" s="113"/>
      <c r="M171" s="104"/>
    </row>
    <row r="172" spans="1:13" ht="30" x14ac:dyDescent="0.25">
      <c r="A172" s="104"/>
      <c r="B172" s="139" t="s">
        <v>130</v>
      </c>
      <c r="C172" s="106"/>
      <c r="D172" s="104"/>
      <c r="E172" s="107"/>
      <c r="F172" s="108"/>
      <c r="G172" s="108"/>
      <c r="H172" s="108"/>
      <c r="I172" s="108"/>
      <c r="J172" s="108"/>
      <c r="L172" s="104"/>
      <c r="M172" s="104"/>
    </row>
    <row r="173" spans="1:13" ht="30" x14ac:dyDescent="0.25">
      <c r="A173" s="41">
        <f>A170+1</f>
        <v>21</v>
      </c>
      <c r="B173" s="8" t="s">
        <v>102</v>
      </c>
      <c r="C173" s="10" t="s">
        <v>90</v>
      </c>
      <c r="D173" s="1"/>
      <c r="E173" s="11">
        <v>23</v>
      </c>
      <c r="F173" s="11"/>
      <c r="G173" s="11"/>
      <c r="H173" s="11">
        <v>0</v>
      </c>
      <c r="I173" s="11">
        <f>E173*H173</f>
        <v>0</v>
      </c>
      <c r="J173" s="11">
        <f t="shared" ref="J173:J183" si="29">G173+I173</f>
        <v>0</v>
      </c>
    </row>
    <row r="174" spans="1:13" ht="30" x14ac:dyDescent="0.25">
      <c r="A174" s="41"/>
      <c r="B174" s="8" t="s">
        <v>103</v>
      </c>
      <c r="C174" s="10" t="s">
        <v>90</v>
      </c>
      <c r="D174" s="1"/>
      <c r="E174" s="11">
        <v>23</v>
      </c>
      <c r="F174" s="11"/>
      <c r="G174" s="11"/>
      <c r="H174" s="11">
        <v>0</v>
      </c>
      <c r="I174" s="11">
        <f>E174*H174</f>
        <v>0</v>
      </c>
      <c r="J174" s="11">
        <f t="shared" si="29"/>
        <v>0</v>
      </c>
    </row>
    <row r="175" spans="1:13" x14ac:dyDescent="0.25">
      <c r="A175" s="41">
        <f>A173+1</f>
        <v>22</v>
      </c>
      <c r="B175" s="8" t="s">
        <v>104</v>
      </c>
      <c r="C175" s="10" t="s">
        <v>90</v>
      </c>
      <c r="D175" s="1"/>
      <c r="E175" s="11">
        <v>47</v>
      </c>
      <c r="F175" s="11"/>
      <c r="G175" s="11"/>
      <c r="H175" s="11">
        <v>0</v>
      </c>
      <c r="I175" s="11">
        <f>E175*H175</f>
        <v>0</v>
      </c>
      <c r="J175" s="11">
        <f t="shared" si="29"/>
        <v>0</v>
      </c>
    </row>
    <row r="176" spans="1:13" x14ac:dyDescent="0.25">
      <c r="A176" s="41"/>
      <c r="B176" s="7" t="s">
        <v>109</v>
      </c>
      <c r="C176" s="3" t="s">
        <v>90</v>
      </c>
      <c r="D176" s="1"/>
      <c r="E176" s="55">
        <f>E173</f>
        <v>23</v>
      </c>
      <c r="F176" s="55">
        <v>0</v>
      </c>
      <c r="G176" s="40">
        <f t="shared" ref="G176:G179" si="30">E176*F176</f>
        <v>0</v>
      </c>
      <c r="H176" s="55"/>
      <c r="I176" s="55"/>
      <c r="J176" s="40">
        <f t="shared" si="29"/>
        <v>0</v>
      </c>
    </row>
    <row r="177" spans="1:10" x14ac:dyDescent="0.25">
      <c r="A177" s="41"/>
      <c r="B177" s="7" t="s">
        <v>110</v>
      </c>
      <c r="C177" s="3" t="s">
        <v>90</v>
      </c>
      <c r="D177" s="1"/>
      <c r="E177" s="55">
        <f>E173</f>
        <v>23</v>
      </c>
      <c r="F177" s="55">
        <v>0</v>
      </c>
      <c r="G177" s="40">
        <f t="shared" si="30"/>
        <v>0</v>
      </c>
      <c r="H177" s="55"/>
      <c r="I177" s="55"/>
      <c r="J177" s="40">
        <f t="shared" si="29"/>
        <v>0</v>
      </c>
    </row>
    <row r="178" spans="1:10" x14ac:dyDescent="0.25">
      <c r="A178" s="41"/>
      <c r="B178" s="7" t="s">
        <v>135</v>
      </c>
      <c r="C178" s="3" t="s">
        <v>90</v>
      </c>
      <c r="D178" s="1"/>
      <c r="E178" s="55">
        <f>E175</f>
        <v>47</v>
      </c>
      <c r="F178" s="55">
        <v>0</v>
      </c>
      <c r="G178" s="40">
        <f t="shared" si="30"/>
        <v>0</v>
      </c>
      <c r="H178" s="55"/>
      <c r="I178" s="55"/>
      <c r="J178" s="40">
        <f t="shared" si="29"/>
        <v>0</v>
      </c>
    </row>
    <row r="179" spans="1:10" x14ac:dyDescent="0.25">
      <c r="A179" s="41"/>
      <c r="B179" s="7" t="s">
        <v>112</v>
      </c>
      <c r="C179" s="3" t="s">
        <v>0</v>
      </c>
      <c r="D179" s="1"/>
      <c r="E179" s="55">
        <f>E175*0.0025</f>
        <v>0.11750000000000001</v>
      </c>
      <c r="F179" s="55">
        <v>0</v>
      </c>
      <c r="G179" s="40">
        <f t="shared" si="30"/>
        <v>0</v>
      </c>
      <c r="H179" s="55"/>
      <c r="I179" s="55"/>
      <c r="J179" s="40">
        <f t="shared" si="29"/>
        <v>0</v>
      </c>
    </row>
    <row r="180" spans="1:10" x14ac:dyDescent="0.25">
      <c r="A180" s="41">
        <f>A175+1</f>
        <v>23</v>
      </c>
      <c r="B180" s="8" t="s">
        <v>108</v>
      </c>
      <c r="C180" s="10" t="s">
        <v>0</v>
      </c>
      <c r="D180" s="1"/>
      <c r="E180" s="11">
        <v>2.25</v>
      </c>
      <c r="F180" s="11"/>
      <c r="G180" s="11"/>
      <c r="H180" s="11">
        <v>0</v>
      </c>
      <c r="I180" s="11">
        <f>E180*H180</f>
        <v>0</v>
      </c>
      <c r="J180" s="11">
        <f t="shared" si="29"/>
        <v>0</v>
      </c>
    </row>
    <row r="181" spans="1:10" x14ac:dyDescent="0.25">
      <c r="A181" s="41"/>
      <c r="B181" s="7" t="s">
        <v>132</v>
      </c>
      <c r="C181" s="3" t="s">
        <v>0</v>
      </c>
      <c r="D181" s="1"/>
      <c r="E181" s="55">
        <f>E180*1.02</f>
        <v>2.2949999999999999</v>
      </c>
      <c r="F181" s="55">
        <v>0</v>
      </c>
      <c r="G181" s="40">
        <f t="shared" ref="G181:G183" si="31">E181*F181</f>
        <v>0</v>
      </c>
      <c r="H181" s="55"/>
      <c r="I181" s="55"/>
      <c r="J181" s="40">
        <f t="shared" si="29"/>
        <v>0</v>
      </c>
    </row>
    <row r="182" spans="1:10" x14ac:dyDescent="0.25">
      <c r="A182" s="41"/>
      <c r="B182" s="7" t="s">
        <v>114</v>
      </c>
      <c r="C182" s="3" t="s">
        <v>23</v>
      </c>
      <c r="D182" s="1"/>
      <c r="E182" s="55">
        <f>7.77*1.015/1000*45</f>
        <v>0.35489474999999998</v>
      </c>
      <c r="F182" s="55">
        <v>0</v>
      </c>
      <c r="G182" s="40">
        <f t="shared" si="31"/>
        <v>0</v>
      </c>
      <c r="H182" s="55"/>
      <c r="I182" s="55"/>
      <c r="J182" s="40">
        <f t="shared" si="29"/>
        <v>0</v>
      </c>
    </row>
    <row r="183" spans="1:10" x14ac:dyDescent="0.25">
      <c r="A183" s="41"/>
      <c r="B183" s="7" t="s">
        <v>115</v>
      </c>
      <c r="C183" s="3" t="s">
        <v>23</v>
      </c>
      <c r="D183" s="1"/>
      <c r="E183" s="55">
        <f>4.97*1.015/1000*45</f>
        <v>0.22700474999999998</v>
      </c>
      <c r="F183" s="55">
        <v>0</v>
      </c>
      <c r="G183" s="40">
        <f t="shared" si="31"/>
        <v>0</v>
      </c>
      <c r="H183" s="55"/>
      <c r="I183" s="55"/>
      <c r="J183" s="40">
        <f t="shared" si="29"/>
        <v>0</v>
      </c>
    </row>
    <row r="184" spans="1:10" x14ac:dyDescent="0.25">
      <c r="A184" s="104"/>
      <c r="B184" s="105"/>
      <c r="C184" s="106"/>
      <c r="D184" s="104"/>
      <c r="E184" s="107"/>
      <c r="F184" s="108"/>
      <c r="G184" s="108"/>
      <c r="H184" s="108"/>
      <c r="I184" s="108"/>
      <c r="J184" s="108"/>
    </row>
    <row r="185" spans="1:10" x14ac:dyDescent="0.25">
      <c r="A185" s="127"/>
      <c r="B185" s="126" t="s">
        <v>13</v>
      </c>
      <c r="C185" s="125"/>
      <c r="D185" s="125"/>
      <c r="E185" s="125"/>
      <c r="F185" s="124"/>
      <c r="G185" s="124"/>
      <c r="H185" s="124"/>
      <c r="I185" s="124"/>
      <c r="J185" s="124">
        <f>SUM(J9:J159)</f>
        <v>0</v>
      </c>
    </row>
    <row r="186" spans="1:10" x14ac:dyDescent="0.25">
      <c r="A186" s="127"/>
      <c r="B186" s="126" t="s">
        <v>14</v>
      </c>
      <c r="C186" s="125"/>
      <c r="D186" s="125"/>
      <c r="E186" s="125"/>
      <c r="F186" s="124"/>
      <c r="G186" s="124">
        <f>SUM(G9:G159)</f>
        <v>0</v>
      </c>
      <c r="H186" s="124"/>
      <c r="I186" s="124">
        <f>SUM(I9:I159)</f>
        <v>0</v>
      </c>
      <c r="J186" s="124">
        <f>J185</f>
        <v>0</v>
      </c>
    </row>
    <row r="187" spans="1:10" x14ac:dyDescent="0.25">
      <c r="A187" s="127"/>
      <c r="B187" s="123" t="s">
        <v>15</v>
      </c>
      <c r="C187" s="122"/>
      <c r="D187" s="122"/>
      <c r="E187" s="122"/>
      <c r="F187" s="121"/>
      <c r="G187" s="121">
        <f>G186*0.2</f>
        <v>0</v>
      </c>
      <c r="H187" s="121"/>
      <c r="I187" s="121">
        <f>I186*0.2</f>
        <v>0</v>
      </c>
      <c r="J187" s="121">
        <f>J186*0.2</f>
        <v>0</v>
      </c>
    </row>
    <row r="188" spans="1:10" x14ac:dyDescent="0.25">
      <c r="A188" s="127"/>
      <c r="B188" s="126" t="s">
        <v>16</v>
      </c>
      <c r="C188" s="122"/>
      <c r="D188" s="122"/>
      <c r="E188" s="122"/>
      <c r="F188" s="121"/>
      <c r="G188" s="121">
        <f>SUM(G186:G187)</f>
        <v>0</v>
      </c>
      <c r="H188" s="121"/>
      <c r="I188" s="121">
        <f>SUM(I186:I187)</f>
        <v>0</v>
      </c>
      <c r="J188" s="124">
        <f>SUM(J186:J187)</f>
        <v>0</v>
      </c>
    </row>
    <row r="189" spans="1:10" x14ac:dyDescent="0.25">
      <c r="A189" s="120"/>
      <c r="B189" s="119" t="s">
        <v>17</v>
      </c>
      <c r="C189" s="120"/>
      <c r="D189" s="120"/>
      <c r="E189" s="120"/>
      <c r="F189" s="118"/>
      <c r="G189" s="118">
        <v>0</v>
      </c>
      <c r="H189" s="118"/>
      <c r="I189" s="118"/>
      <c r="J189" s="117">
        <f>G189</f>
        <v>0</v>
      </c>
    </row>
    <row r="190" spans="1:10" ht="24" x14ac:dyDescent="0.25">
      <c r="A190" s="120"/>
      <c r="B190" s="119" t="s">
        <v>18</v>
      </c>
      <c r="C190" s="120"/>
      <c r="D190" s="120"/>
      <c r="E190" s="120"/>
      <c r="F190" s="118"/>
      <c r="G190" s="118">
        <f>G188-G189</f>
        <v>0</v>
      </c>
      <c r="H190" s="118"/>
      <c r="I190" s="118"/>
      <c r="J190" s="116">
        <f>J188-J189</f>
        <v>0</v>
      </c>
    </row>
    <row r="191" spans="1:10" x14ac:dyDescent="0.25">
      <c r="A191" s="109"/>
      <c r="B191" s="110"/>
      <c r="C191" s="109"/>
      <c r="D191" s="109"/>
      <c r="E191" s="109"/>
      <c r="F191" s="109"/>
      <c r="G191" s="109"/>
      <c r="H191" s="109"/>
      <c r="I191" s="109"/>
      <c r="J191" s="109"/>
    </row>
    <row r="192" spans="1:10" x14ac:dyDescent="0.25">
      <c r="A192" s="109"/>
      <c r="B192" s="110"/>
      <c r="C192" s="109"/>
      <c r="D192" s="109"/>
      <c r="E192" s="109"/>
      <c r="F192" s="109"/>
      <c r="G192" s="109"/>
      <c r="H192" s="109"/>
      <c r="I192" s="109"/>
      <c r="J192" s="109"/>
    </row>
    <row r="193" spans="1:10" x14ac:dyDescent="0.25">
      <c r="A193" s="109"/>
      <c r="B193" s="110"/>
      <c r="C193" s="109"/>
      <c r="D193" s="109"/>
      <c r="E193" s="109"/>
      <c r="F193" s="109"/>
      <c r="G193" s="109"/>
      <c r="H193" s="109"/>
      <c r="I193" s="109"/>
      <c r="J193" s="109"/>
    </row>
  </sheetData>
  <mergeCells count="11">
    <mergeCell ref="J5:J6"/>
    <mergeCell ref="B1:K1"/>
    <mergeCell ref="A2:J2"/>
    <mergeCell ref="A3:J3"/>
    <mergeCell ref="A5:A6"/>
    <mergeCell ref="B5:B6"/>
    <mergeCell ref="C5:C6"/>
    <mergeCell ref="D5:D6"/>
    <mergeCell ref="E5:E6"/>
    <mergeCell ref="F5:G5"/>
    <mergeCell ref="H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7C21-774A-444A-9E74-C58B6D666C49}">
  <dimension ref="A1:N71"/>
  <sheetViews>
    <sheetView workbookViewId="0">
      <selection activeCell="A3" sqref="A3:J3"/>
    </sheetView>
  </sheetViews>
  <sheetFormatPr defaultRowHeight="15" x14ac:dyDescent="0.25"/>
  <cols>
    <col min="1" max="1" width="7.7109375" customWidth="1"/>
    <col min="2" max="2" width="48.42578125" style="6" customWidth="1"/>
    <col min="3" max="3" width="5.7109375" customWidth="1"/>
    <col min="4" max="4" width="11.42578125" customWidth="1"/>
    <col min="5" max="5" width="10.7109375" customWidth="1"/>
    <col min="6" max="6" width="12.7109375" customWidth="1"/>
    <col min="7" max="7" width="11.85546875" bestFit="1" customWidth="1"/>
    <col min="8" max="8" width="9.85546875" bestFit="1" customWidth="1"/>
    <col min="9" max="9" width="14" bestFit="1" customWidth="1"/>
    <col min="10" max="10" width="13.28515625" customWidth="1"/>
  </cols>
  <sheetData>
    <row r="1" spans="1:10" ht="17.45" customHeight="1" x14ac:dyDescent="0.25">
      <c r="A1" s="151" t="s">
        <v>145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28.15" customHeight="1" x14ac:dyDescent="0.25">
      <c r="A2" s="153" t="s">
        <v>173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24" customHeight="1" x14ac:dyDescent="0.25">
      <c r="A3" s="154" t="s">
        <v>175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x14ac:dyDescent="0.25">
      <c r="A4" s="140"/>
      <c r="B4" s="141"/>
      <c r="C4" s="140"/>
      <c r="D4" s="140"/>
      <c r="E4" s="140"/>
      <c r="F4" s="140"/>
      <c r="G4" s="140"/>
      <c r="H4" s="140"/>
      <c r="I4" s="140"/>
      <c r="J4" s="140"/>
    </row>
    <row r="5" spans="1:10" x14ac:dyDescent="0.25">
      <c r="A5" s="150" t="s">
        <v>2</v>
      </c>
      <c r="B5" s="150" t="s">
        <v>3</v>
      </c>
      <c r="C5" s="150" t="s">
        <v>4</v>
      </c>
      <c r="D5" s="150" t="s">
        <v>5</v>
      </c>
      <c r="E5" s="150" t="s">
        <v>6</v>
      </c>
      <c r="F5" s="150" t="s">
        <v>7</v>
      </c>
      <c r="G5" s="150"/>
      <c r="H5" s="150" t="s">
        <v>8</v>
      </c>
      <c r="I5" s="150"/>
      <c r="J5" s="150" t="s">
        <v>9</v>
      </c>
    </row>
    <row r="6" spans="1:10" ht="51" x14ac:dyDescent="0.25">
      <c r="A6" s="150"/>
      <c r="B6" s="150"/>
      <c r="C6" s="150"/>
      <c r="D6" s="150"/>
      <c r="E6" s="150"/>
      <c r="F6" s="60" t="s">
        <v>10</v>
      </c>
      <c r="G6" s="60" t="s">
        <v>11</v>
      </c>
      <c r="H6" s="60" t="s">
        <v>10</v>
      </c>
      <c r="I6" s="60" t="s">
        <v>12</v>
      </c>
      <c r="J6" s="150"/>
    </row>
    <row r="7" spans="1:10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spans="1:10" ht="21" x14ac:dyDescent="0.35">
      <c r="A8" s="142" t="s">
        <v>146</v>
      </c>
      <c r="B8" s="46"/>
      <c r="C8" s="142"/>
      <c r="D8" s="142"/>
      <c r="E8" s="142"/>
      <c r="F8" s="142"/>
      <c r="G8" s="1"/>
      <c r="H8" s="1"/>
      <c r="I8" s="1"/>
      <c r="J8" s="1"/>
    </row>
    <row r="9" spans="1:10" ht="30" x14ac:dyDescent="0.25">
      <c r="A9" s="41" t="s">
        <v>147</v>
      </c>
      <c r="B9" s="8" t="s">
        <v>148</v>
      </c>
      <c r="C9" s="10" t="s">
        <v>131</v>
      </c>
      <c r="D9" s="1"/>
      <c r="E9" s="11">
        <f>18*25</f>
        <v>450</v>
      </c>
      <c r="F9" s="11"/>
      <c r="G9" s="11"/>
      <c r="H9" s="11">
        <v>0</v>
      </c>
      <c r="I9" s="11">
        <f>E9*H9</f>
        <v>0</v>
      </c>
      <c r="J9" s="11">
        <f>G9+I9</f>
        <v>0</v>
      </c>
    </row>
    <row r="10" spans="1:10" x14ac:dyDescent="0.25">
      <c r="A10" s="41"/>
      <c r="B10" s="7"/>
      <c r="C10" s="3"/>
      <c r="D10" s="1"/>
      <c r="E10" s="57"/>
      <c r="F10" s="40"/>
      <c r="G10" s="40"/>
      <c r="H10" s="40"/>
      <c r="I10" s="40"/>
      <c r="J10" s="40"/>
    </row>
    <row r="11" spans="1:10" ht="30" x14ac:dyDescent="0.25">
      <c r="A11" s="41" t="s">
        <v>149</v>
      </c>
      <c r="B11" s="85" t="s">
        <v>174</v>
      </c>
      <c r="C11" s="10" t="s">
        <v>0</v>
      </c>
      <c r="D11" s="1"/>
      <c r="E11" s="11">
        <f>E9*0.07</f>
        <v>31.500000000000004</v>
      </c>
      <c r="F11" s="39"/>
      <c r="G11" s="39"/>
      <c r="H11" s="11">
        <v>0</v>
      </c>
      <c r="I11" s="11">
        <f>E11*H11</f>
        <v>0</v>
      </c>
      <c r="J11" s="11">
        <f>G11+I11</f>
        <v>0</v>
      </c>
    </row>
    <row r="12" spans="1:10" x14ac:dyDescent="0.25">
      <c r="A12" s="41"/>
      <c r="B12" s="7" t="s">
        <v>150</v>
      </c>
      <c r="C12" s="3" t="s">
        <v>0</v>
      </c>
      <c r="D12" s="1">
        <v>1.02</v>
      </c>
      <c r="E12" s="57">
        <f>D12*E11</f>
        <v>32.130000000000003</v>
      </c>
      <c r="F12" s="55">
        <v>0</v>
      </c>
      <c r="G12" s="40">
        <f t="shared" ref="G12" si="0">E12*F12</f>
        <v>0</v>
      </c>
      <c r="H12" s="55"/>
      <c r="I12" s="55"/>
      <c r="J12" s="40">
        <f t="shared" ref="J12" si="1">G12+I12</f>
        <v>0</v>
      </c>
    </row>
    <row r="13" spans="1:10" x14ac:dyDescent="0.25">
      <c r="A13" s="143"/>
      <c r="B13" s="4"/>
      <c r="C13" s="5"/>
      <c r="D13" s="1"/>
      <c r="E13" s="144"/>
      <c r="F13" s="16"/>
      <c r="G13" s="1"/>
      <c r="H13" s="1"/>
      <c r="I13" s="1"/>
      <c r="J13" s="1"/>
    </row>
    <row r="14" spans="1:10" ht="30" x14ac:dyDescent="0.25">
      <c r="A14" s="41">
        <v>3</v>
      </c>
      <c r="B14" s="85" t="s">
        <v>151</v>
      </c>
      <c r="C14" s="10" t="s">
        <v>0</v>
      </c>
      <c r="D14" s="1"/>
      <c r="E14" s="11">
        <v>435</v>
      </c>
      <c r="F14" s="15"/>
      <c r="G14" s="1"/>
      <c r="H14" s="11">
        <v>0</v>
      </c>
      <c r="I14" s="11">
        <f>E14*H14</f>
        <v>0</v>
      </c>
      <c r="J14" s="11">
        <f>G14+I14</f>
        <v>0</v>
      </c>
    </row>
    <row r="15" spans="1:10" x14ac:dyDescent="0.25">
      <c r="A15" s="41"/>
      <c r="B15" s="7" t="s">
        <v>152</v>
      </c>
      <c r="C15" s="3" t="s">
        <v>0</v>
      </c>
      <c r="D15" s="1"/>
      <c r="E15" s="55">
        <v>443.7</v>
      </c>
      <c r="F15" s="55">
        <v>0</v>
      </c>
      <c r="G15" s="40">
        <f t="shared" ref="G15:G20" si="2">E15*F15</f>
        <v>0</v>
      </c>
      <c r="H15" s="55"/>
      <c r="I15" s="55"/>
      <c r="J15" s="40">
        <f t="shared" ref="J15:J20" si="3">G15+I15</f>
        <v>0</v>
      </c>
    </row>
    <row r="16" spans="1:10" x14ac:dyDescent="0.25">
      <c r="A16" s="41"/>
      <c r="B16" s="7" t="s">
        <v>153</v>
      </c>
      <c r="C16" s="3" t="s">
        <v>1</v>
      </c>
      <c r="D16" s="1"/>
      <c r="E16" s="55">
        <v>2965.1194999999998</v>
      </c>
      <c r="F16" s="55">
        <v>0</v>
      </c>
      <c r="G16" s="40">
        <f t="shared" si="2"/>
        <v>0</v>
      </c>
      <c r="H16" s="55"/>
      <c r="I16" s="55"/>
      <c r="J16" s="40">
        <f t="shared" si="3"/>
        <v>0</v>
      </c>
    </row>
    <row r="17" spans="1:10" x14ac:dyDescent="0.25">
      <c r="A17" s="41"/>
      <c r="B17" s="7" t="s">
        <v>154</v>
      </c>
      <c r="C17" s="3" t="s">
        <v>1</v>
      </c>
      <c r="D17" s="1"/>
      <c r="E17" s="55">
        <v>1116.2157999999999</v>
      </c>
      <c r="F17" s="55">
        <v>0</v>
      </c>
      <c r="G17" s="40">
        <f t="shared" si="2"/>
        <v>0</v>
      </c>
      <c r="H17" s="55"/>
      <c r="I17" s="55"/>
      <c r="J17" s="40">
        <f t="shared" si="3"/>
        <v>0</v>
      </c>
    </row>
    <row r="18" spans="1:10" x14ac:dyDescent="0.25">
      <c r="A18" s="41"/>
      <c r="B18" s="7" t="s">
        <v>155</v>
      </c>
      <c r="C18" s="3" t="s">
        <v>1</v>
      </c>
      <c r="D18" s="1"/>
      <c r="E18" s="55">
        <v>1162.6824999999999</v>
      </c>
      <c r="F18" s="55">
        <v>0</v>
      </c>
      <c r="G18" s="40">
        <f t="shared" si="2"/>
        <v>0</v>
      </c>
      <c r="H18" s="55"/>
      <c r="I18" s="55"/>
      <c r="J18" s="40">
        <f t="shared" si="3"/>
        <v>0</v>
      </c>
    </row>
    <row r="19" spans="1:10" x14ac:dyDescent="0.25">
      <c r="A19" s="41"/>
      <c r="B19" s="7" t="s">
        <v>156</v>
      </c>
      <c r="C19" s="3" t="s">
        <v>1</v>
      </c>
      <c r="D19" s="1"/>
      <c r="E19" s="55">
        <v>25250.053499999998</v>
      </c>
      <c r="F19" s="55">
        <v>0</v>
      </c>
      <c r="G19" s="40">
        <f t="shared" si="2"/>
        <v>0</v>
      </c>
      <c r="H19" s="55"/>
      <c r="I19" s="55"/>
      <c r="J19" s="40">
        <f t="shared" si="3"/>
        <v>0</v>
      </c>
    </row>
    <row r="20" spans="1:10" x14ac:dyDescent="0.25">
      <c r="A20" s="41"/>
      <c r="B20" s="7" t="s">
        <v>157</v>
      </c>
      <c r="C20" s="3" t="s">
        <v>1</v>
      </c>
      <c r="D20" s="1"/>
      <c r="E20" s="55">
        <v>2.8419999999999996</v>
      </c>
      <c r="F20" s="55">
        <v>0</v>
      </c>
      <c r="G20" s="40">
        <f t="shared" si="2"/>
        <v>0</v>
      </c>
      <c r="H20" s="55"/>
      <c r="I20" s="55"/>
      <c r="J20" s="40">
        <f t="shared" si="3"/>
        <v>0</v>
      </c>
    </row>
    <row r="21" spans="1:10" x14ac:dyDescent="0.25">
      <c r="A21" s="44"/>
      <c r="B21" s="4"/>
      <c r="C21" s="5"/>
      <c r="D21" s="1"/>
      <c r="E21" s="53"/>
      <c r="F21" s="16"/>
      <c r="G21" s="1"/>
      <c r="H21" s="1"/>
      <c r="I21" s="1"/>
      <c r="J21" s="1"/>
    </row>
    <row r="22" spans="1:10" ht="30" x14ac:dyDescent="0.25">
      <c r="A22" s="41">
        <v>4</v>
      </c>
      <c r="B22" s="85" t="s">
        <v>158</v>
      </c>
      <c r="C22" s="10" t="s">
        <v>131</v>
      </c>
      <c r="D22" s="1"/>
      <c r="E22" s="11">
        <v>860</v>
      </c>
      <c r="F22" s="39"/>
      <c r="G22" s="39"/>
      <c r="H22" s="11">
        <v>0</v>
      </c>
      <c r="I22" s="11">
        <f>E22*H22</f>
        <v>0</v>
      </c>
      <c r="J22" s="11">
        <f>G22+I22</f>
        <v>0</v>
      </c>
    </row>
    <row r="23" spans="1:10" x14ac:dyDescent="0.25">
      <c r="A23" s="42"/>
      <c r="B23" s="7" t="s">
        <v>159</v>
      </c>
      <c r="C23" s="3" t="s">
        <v>160</v>
      </c>
      <c r="D23" s="1"/>
      <c r="E23" s="51">
        <v>258</v>
      </c>
      <c r="F23" s="55">
        <v>0</v>
      </c>
      <c r="G23" s="40">
        <f t="shared" ref="G23:G24" si="4">E23*F23</f>
        <v>0</v>
      </c>
      <c r="H23" s="55"/>
      <c r="I23" s="55"/>
      <c r="J23" s="40">
        <f t="shared" ref="J23:J24" si="5">G23+I23</f>
        <v>0</v>
      </c>
    </row>
    <row r="24" spans="1:10" x14ac:dyDescent="0.25">
      <c r="A24" s="42"/>
      <c r="B24" s="7" t="s">
        <v>161</v>
      </c>
      <c r="C24" s="3" t="s">
        <v>1</v>
      </c>
      <c r="D24" s="1"/>
      <c r="E24" s="51">
        <v>2150</v>
      </c>
      <c r="F24" s="55">
        <v>0</v>
      </c>
      <c r="G24" s="40">
        <f t="shared" si="4"/>
        <v>0</v>
      </c>
      <c r="H24" s="55"/>
      <c r="I24" s="55"/>
      <c r="J24" s="40">
        <f t="shared" si="5"/>
        <v>0</v>
      </c>
    </row>
    <row r="25" spans="1:10" x14ac:dyDescent="0.25">
      <c r="A25" s="1"/>
      <c r="B25" s="17"/>
      <c r="C25" s="1"/>
      <c r="D25" s="1"/>
      <c r="E25" s="52"/>
      <c r="F25" s="1"/>
      <c r="G25" s="1"/>
      <c r="H25" s="1"/>
      <c r="I25" s="1"/>
      <c r="J25" s="1"/>
    </row>
    <row r="26" spans="1:10" ht="21" x14ac:dyDescent="0.35">
      <c r="A26" s="142" t="s">
        <v>162</v>
      </c>
      <c r="B26" s="46"/>
      <c r="C26" s="142"/>
      <c r="D26" s="142"/>
      <c r="E26" s="145"/>
      <c r="F26" s="142"/>
      <c r="G26" s="1"/>
      <c r="H26" s="1"/>
      <c r="I26" s="1"/>
      <c r="J26" s="1"/>
    </row>
    <row r="27" spans="1:10" x14ac:dyDescent="0.25">
      <c r="A27" s="1"/>
      <c r="B27" s="9"/>
      <c r="C27" s="1"/>
      <c r="D27" s="1"/>
      <c r="E27" s="52"/>
      <c r="F27" s="1"/>
      <c r="G27" s="1"/>
      <c r="H27" s="1"/>
      <c r="I27" s="1"/>
      <c r="J27" s="1"/>
    </row>
    <row r="28" spans="1:10" x14ac:dyDescent="0.25">
      <c r="A28" s="2">
        <v>1</v>
      </c>
      <c r="B28" s="8" t="s">
        <v>163</v>
      </c>
      <c r="C28" s="2" t="s">
        <v>0</v>
      </c>
      <c r="D28" s="1"/>
      <c r="E28" s="54">
        <v>92.5</v>
      </c>
      <c r="F28" s="1"/>
      <c r="G28" s="1"/>
      <c r="H28" s="11">
        <v>0</v>
      </c>
      <c r="I28" s="11">
        <f>E28*H28</f>
        <v>0</v>
      </c>
      <c r="J28" s="11">
        <f>G28+I28</f>
        <v>0</v>
      </c>
    </row>
    <row r="29" spans="1:10" x14ac:dyDescent="0.25">
      <c r="A29" s="3"/>
      <c r="B29" s="7" t="s">
        <v>152</v>
      </c>
      <c r="C29" s="3" t="s">
        <v>0</v>
      </c>
      <c r="D29" s="1"/>
      <c r="E29" s="55">
        <v>94.350000000000009</v>
      </c>
      <c r="F29" s="55">
        <v>0</v>
      </c>
      <c r="G29" s="40">
        <f t="shared" ref="G29:G33" si="6">E29*F29</f>
        <v>0</v>
      </c>
      <c r="H29" s="55"/>
      <c r="I29" s="55"/>
      <c r="J29" s="40">
        <f t="shared" ref="J29:J33" si="7">G29+I29</f>
        <v>0</v>
      </c>
    </row>
    <row r="30" spans="1:10" x14ac:dyDescent="0.25">
      <c r="A30" s="3"/>
      <c r="B30" s="7" t="s">
        <v>153</v>
      </c>
      <c r="C30" s="3" t="s">
        <v>1</v>
      </c>
      <c r="D30" s="1"/>
      <c r="E30" s="55">
        <v>363.44104999999996</v>
      </c>
      <c r="F30" s="55">
        <v>0</v>
      </c>
      <c r="G30" s="40">
        <f t="shared" si="6"/>
        <v>0</v>
      </c>
      <c r="H30" s="55"/>
      <c r="I30" s="55"/>
      <c r="J30" s="40">
        <f t="shared" si="7"/>
        <v>0</v>
      </c>
    </row>
    <row r="31" spans="1:10" x14ac:dyDescent="0.25">
      <c r="A31" s="3"/>
      <c r="B31" s="7" t="s">
        <v>156</v>
      </c>
      <c r="C31" s="3" t="s">
        <v>1</v>
      </c>
      <c r="D31" s="1"/>
      <c r="E31" s="55">
        <v>5202.14905</v>
      </c>
      <c r="F31" s="55">
        <v>0</v>
      </c>
      <c r="G31" s="40">
        <f t="shared" si="6"/>
        <v>0</v>
      </c>
      <c r="H31" s="55"/>
      <c r="I31" s="55"/>
      <c r="J31" s="40">
        <f t="shared" si="7"/>
        <v>0</v>
      </c>
    </row>
    <row r="32" spans="1:10" x14ac:dyDescent="0.25">
      <c r="A32" s="3"/>
      <c r="B32" s="7" t="s">
        <v>164</v>
      </c>
      <c r="C32" s="3" t="s">
        <v>1</v>
      </c>
      <c r="D32" s="1"/>
      <c r="E32" s="55">
        <v>1661.8391999999999</v>
      </c>
      <c r="F32" s="55">
        <v>0</v>
      </c>
      <c r="G32" s="40">
        <f t="shared" si="6"/>
        <v>0</v>
      </c>
      <c r="H32" s="55"/>
      <c r="I32" s="55"/>
      <c r="J32" s="40">
        <f t="shared" si="7"/>
        <v>0</v>
      </c>
    </row>
    <row r="33" spans="1:14" x14ac:dyDescent="0.25">
      <c r="A33" s="3"/>
      <c r="B33" s="7" t="s">
        <v>157</v>
      </c>
      <c r="C33" s="3" t="s">
        <v>1</v>
      </c>
      <c r="D33" s="1"/>
      <c r="E33" s="55">
        <v>350.17499999999995</v>
      </c>
      <c r="F33" s="55">
        <v>0</v>
      </c>
      <c r="G33" s="40">
        <f t="shared" si="6"/>
        <v>0</v>
      </c>
      <c r="H33" s="55"/>
      <c r="I33" s="55"/>
      <c r="J33" s="40">
        <f t="shared" si="7"/>
        <v>0</v>
      </c>
    </row>
    <row r="34" spans="1:14" x14ac:dyDescent="0.25">
      <c r="A34" s="1"/>
      <c r="B34" s="9"/>
      <c r="C34" s="1"/>
      <c r="D34" s="1"/>
      <c r="E34" s="52"/>
      <c r="F34" s="1"/>
      <c r="G34" s="1"/>
      <c r="H34" s="1"/>
      <c r="I34" s="1"/>
      <c r="J34" s="1"/>
    </row>
    <row r="35" spans="1:14" ht="30" x14ac:dyDescent="0.25">
      <c r="A35" s="10">
        <v>2</v>
      </c>
      <c r="B35" s="8" t="s">
        <v>165</v>
      </c>
      <c r="C35" s="2" t="s">
        <v>0</v>
      </c>
      <c r="D35" s="1"/>
      <c r="E35" s="54">
        <v>17.700000000000003</v>
      </c>
      <c r="F35" s="1"/>
      <c r="G35" s="1"/>
      <c r="H35" s="11">
        <v>0</v>
      </c>
      <c r="I35" s="11">
        <f>E35*H35</f>
        <v>0</v>
      </c>
      <c r="J35" s="11">
        <f>G35+I35</f>
        <v>0</v>
      </c>
      <c r="N35" s="56"/>
    </row>
    <row r="36" spans="1:14" x14ac:dyDescent="0.25">
      <c r="A36" s="3"/>
      <c r="B36" s="7" t="s">
        <v>152</v>
      </c>
      <c r="C36" s="3" t="s">
        <v>0</v>
      </c>
      <c r="D36" s="1"/>
      <c r="E36" s="55">
        <v>18.054000000000002</v>
      </c>
      <c r="F36" s="55">
        <v>0</v>
      </c>
      <c r="G36" s="40">
        <f t="shared" ref="G36:G38" si="8">E36*F36</f>
        <v>0</v>
      </c>
      <c r="H36" s="55"/>
      <c r="I36" s="55"/>
      <c r="J36" s="40">
        <f t="shared" ref="J36:J38" si="9">G36+I36</f>
        <v>0</v>
      </c>
    </row>
    <row r="37" spans="1:14" x14ac:dyDescent="0.25">
      <c r="A37" s="3"/>
      <c r="B37" s="7" t="s">
        <v>154</v>
      </c>
      <c r="C37" s="3" t="s">
        <v>1</v>
      </c>
      <c r="D37" s="1"/>
      <c r="E37" s="55">
        <v>1908.8496</v>
      </c>
      <c r="F37" s="55">
        <v>0</v>
      </c>
      <c r="G37" s="40">
        <f t="shared" si="8"/>
        <v>0</v>
      </c>
      <c r="H37" s="55"/>
      <c r="I37" s="55"/>
      <c r="J37" s="40">
        <f t="shared" si="9"/>
        <v>0</v>
      </c>
    </row>
    <row r="38" spans="1:14" x14ac:dyDescent="0.25">
      <c r="A38" s="1"/>
      <c r="B38" s="7" t="s">
        <v>157</v>
      </c>
      <c r="C38" s="3" t="s">
        <v>1</v>
      </c>
      <c r="D38" s="1"/>
      <c r="E38" s="55">
        <v>535.15874999999994</v>
      </c>
      <c r="F38" s="55">
        <v>0</v>
      </c>
      <c r="G38" s="40">
        <f t="shared" si="8"/>
        <v>0</v>
      </c>
      <c r="H38" s="55"/>
      <c r="I38" s="55"/>
      <c r="J38" s="40">
        <f t="shared" si="9"/>
        <v>0</v>
      </c>
    </row>
    <row r="39" spans="1:14" x14ac:dyDescent="0.25">
      <c r="A39" s="1"/>
      <c r="B39" s="17"/>
      <c r="C39" s="1"/>
      <c r="D39" s="1"/>
      <c r="E39" s="52"/>
      <c r="F39" s="1"/>
      <c r="G39" s="1"/>
      <c r="H39" s="1"/>
      <c r="I39" s="1"/>
      <c r="J39" s="1"/>
    </row>
    <row r="40" spans="1:14" ht="21" x14ac:dyDescent="0.35">
      <c r="A40" s="142" t="s">
        <v>166</v>
      </c>
      <c r="B40" s="17"/>
      <c r="C40" s="1"/>
      <c r="D40" s="1"/>
      <c r="E40" s="52"/>
      <c r="F40" s="1"/>
      <c r="G40" s="1"/>
      <c r="H40" s="1"/>
      <c r="I40" s="1"/>
      <c r="J40" s="1"/>
    </row>
    <row r="41" spans="1:14" x14ac:dyDescent="0.25">
      <c r="A41" s="1"/>
      <c r="B41" s="17"/>
      <c r="C41" s="1"/>
      <c r="D41" s="1"/>
      <c r="E41" s="52"/>
      <c r="F41" s="1"/>
      <c r="G41" s="1"/>
      <c r="H41" s="1"/>
      <c r="I41" s="1"/>
      <c r="J41" s="1"/>
    </row>
    <row r="42" spans="1:14" ht="30" x14ac:dyDescent="0.25">
      <c r="A42" s="10">
        <v>1</v>
      </c>
      <c r="B42" s="8" t="s">
        <v>167</v>
      </c>
      <c r="C42" s="2" t="s">
        <v>0</v>
      </c>
      <c r="D42" s="1"/>
      <c r="E42" s="54">
        <v>266.10000000000002</v>
      </c>
      <c r="F42" s="1"/>
      <c r="G42" s="1"/>
      <c r="H42" s="11">
        <v>0</v>
      </c>
      <c r="I42" s="11">
        <f>E42*H42</f>
        <v>0</v>
      </c>
      <c r="J42" s="11">
        <f>G42+I42</f>
        <v>0</v>
      </c>
      <c r="K42" s="56"/>
    </row>
    <row r="43" spans="1:14" x14ac:dyDescent="0.25">
      <c r="A43" s="3"/>
      <c r="B43" s="7" t="s">
        <v>152</v>
      </c>
      <c r="C43" s="3" t="s">
        <v>0</v>
      </c>
      <c r="D43" s="1"/>
      <c r="E43" s="55">
        <v>271.42200000000003</v>
      </c>
      <c r="F43" s="55">
        <v>0</v>
      </c>
      <c r="G43" s="40">
        <f t="shared" ref="G43:G46" si="10">E43*F43</f>
        <v>0</v>
      </c>
      <c r="H43" s="55"/>
      <c r="I43" s="55"/>
      <c r="J43" s="40">
        <f t="shared" ref="J43:J46" si="11">G43+I43</f>
        <v>0</v>
      </c>
    </row>
    <row r="44" spans="1:14" x14ac:dyDescent="0.25">
      <c r="A44" s="3"/>
      <c r="B44" s="7" t="s">
        <v>153</v>
      </c>
      <c r="C44" s="3" t="s">
        <v>1</v>
      </c>
      <c r="D44" s="1"/>
      <c r="E44" s="55">
        <v>2520.3870999999995</v>
      </c>
      <c r="F44" s="55">
        <v>0</v>
      </c>
      <c r="G44" s="40">
        <f t="shared" si="10"/>
        <v>0</v>
      </c>
      <c r="H44" s="55"/>
      <c r="I44" s="55"/>
      <c r="J44" s="40">
        <f t="shared" si="11"/>
        <v>0</v>
      </c>
    </row>
    <row r="45" spans="1:14" x14ac:dyDescent="0.25">
      <c r="A45" s="3"/>
      <c r="B45" s="7" t="s">
        <v>154</v>
      </c>
      <c r="C45" s="3" t="s">
        <v>1</v>
      </c>
      <c r="D45" s="1"/>
      <c r="E45" s="55">
        <v>5386.8993499999997</v>
      </c>
      <c r="F45" s="55">
        <v>0</v>
      </c>
      <c r="G45" s="40">
        <f t="shared" si="10"/>
        <v>0</v>
      </c>
      <c r="H45" s="55"/>
      <c r="I45" s="55"/>
      <c r="J45" s="40">
        <f t="shared" si="11"/>
        <v>0</v>
      </c>
    </row>
    <row r="46" spans="1:14" x14ac:dyDescent="0.25">
      <c r="A46" s="3"/>
      <c r="B46" s="7" t="s">
        <v>168</v>
      </c>
      <c r="C46" s="3" t="s">
        <v>1</v>
      </c>
      <c r="D46" s="1"/>
      <c r="E46" s="55">
        <v>17895.018400000001</v>
      </c>
      <c r="F46" s="55">
        <v>0</v>
      </c>
      <c r="G46" s="40">
        <f t="shared" si="10"/>
        <v>0</v>
      </c>
      <c r="H46" s="55"/>
      <c r="I46" s="55"/>
      <c r="J46" s="40">
        <f t="shared" si="11"/>
        <v>0</v>
      </c>
    </row>
    <row r="47" spans="1:14" x14ac:dyDescent="0.25">
      <c r="A47" s="1"/>
      <c r="B47" s="9"/>
      <c r="C47" s="1"/>
      <c r="D47" s="1"/>
      <c r="E47" s="52"/>
      <c r="F47" s="1"/>
      <c r="G47" s="1"/>
      <c r="H47" s="1"/>
      <c r="I47" s="1"/>
      <c r="J47" s="1"/>
    </row>
    <row r="48" spans="1:14" x14ac:dyDescent="0.25">
      <c r="A48" s="2">
        <v>2</v>
      </c>
      <c r="B48" s="8" t="s">
        <v>169</v>
      </c>
      <c r="C48" s="2" t="s">
        <v>0</v>
      </c>
      <c r="D48" s="1"/>
      <c r="E48" s="54">
        <v>15.1</v>
      </c>
      <c r="F48" s="1"/>
      <c r="G48" s="1"/>
      <c r="H48" s="11">
        <v>0</v>
      </c>
      <c r="I48" s="11">
        <f>E48*H48</f>
        <v>0</v>
      </c>
      <c r="J48" s="11">
        <f>G48+I48</f>
        <v>0</v>
      </c>
    </row>
    <row r="49" spans="1:10" x14ac:dyDescent="0.25">
      <c r="A49" s="3"/>
      <c r="B49" s="7" t="s">
        <v>152</v>
      </c>
      <c r="C49" s="3" t="s">
        <v>0</v>
      </c>
      <c r="D49" s="1"/>
      <c r="E49" s="55">
        <v>15.401999999999999</v>
      </c>
      <c r="F49" s="55">
        <v>0</v>
      </c>
      <c r="G49" s="40">
        <f t="shared" ref="G49:G50" si="12">E49*F49</f>
        <v>0</v>
      </c>
      <c r="H49" s="55"/>
      <c r="I49" s="55"/>
      <c r="J49" s="40">
        <f t="shared" ref="J49:J50" si="13">G49+I49</f>
        <v>0</v>
      </c>
    </row>
    <row r="50" spans="1:10" x14ac:dyDescent="0.25">
      <c r="A50" s="3"/>
      <c r="B50" s="7" t="s">
        <v>168</v>
      </c>
      <c r="C50" s="3" t="s">
        <v>1</v>
      </c>
      <c r="D50" s="1"/>
      <c r="E50" s="55">
        <v>808.55914999999982</v>
      </c>
      <c r="F50" s="55">
        <v>0</v>
      </c>
      <c r="G50" s="40">
        <f t="shared" si="12"/>
        <v>0</v>
      </c>
      <c r="H50" s="55"/>
      <c r="I50" s="55"/>
      <c r="J50" s="40">
        <f t="shared" si="13"/>
        <v>0</v>
      </c>
    </row>
    <row r="51" spans="1:10" x14ac:dyDescent="0.25">
      <c r="A51" s="1"/>
      <c r="B51" s="9"/>
      <c r="C51" s="1"/>
      <c r="D51" s="1"/>
      <c r="E51" s="52"/>
      <c r="F51" s="1"/>
      <c r="G51" s="1"/>
      <c r="H51" s="1"/>
      <c r="I51" s="1"/>
      <c r="J51" s="1"/>
    </row>
    <row r="52" spans="1:10" x14ac:dyDescent="0.25">
      <c r="A52" s="2">
        <v>3</v>
      </c>
      <c r="B52" s="8" t="s">
        <v>170</v>
      </c>
      <c r="C52" s="2" t="s">
        <v>0</v>
      </c>
      <c r="D52" s="1"/>
      <c r="E52" s="54">
        <v>15.7</v>
      </c>
      <c r="F52" s="1"/>
      <c r="G52" s="1"/>
      <c r="H52" s="11">
        <v>0</v>
      </c>
      <c r="I52" s="11">
        <f>E52*H52</f>
        <v>0</v>
      </c>
      <c r="J52" s="11">
        <f>G52+I52</f>
        <v>0</v>
      </c>
    </row>
    <row r="53" spans="1:10" x14ac:dyDescent="0.25">
      <c r="A53" s="3"/>
      <c r="B53" s="7" t="s">
        <v>152</v>
      </c>
      <c r="C53" s="3" t="s">
        <v>0</v>
      </c>
      <c r="D53" s="1"/>
      <c r="E53" s="55">
        <v>16.013999999999999</v>
      </c>
      <c r="F53" s="55">
        <v>0</v>
      </c>
      <c r="G53" s="40">
        <f t="shared" ref="G53:G54" si="14">E53*F53</f>
        <v>0</v>
      </c>
      <c r="H53" s="55"/>
      <c r="I53" s="55"/>
      <c r="J53" s="40">
        <f t="shared" ref="J53:J54" si="15">G53+I53</f>
        <v>0</v>
      </c>
    </row>
    <row r="54" spans="1:10" x14ac:dyDescent="0.25">
      <c r="A54" s="3"/>
      <c r="B54" s="7" t="s">
        <v>168</v>
      </c>
      <c r="C54" s="3" t="s">
        <v>1</v>
      </c>
      <c r="D54" s="1"/>
      <c r="E54" s="55">
        <v>815.50175000000002</v>
      </c>
      <c r="F54" s="55">
        <v>0</v>
      </c>
      <c r="G54" s="40">
        <f t="shared" si="14"/>
        <v>0</v>
      </c>
      <c r="H54" s="55"/>
      <c r="I54" s="55"/>
      <c r="J54" s="40">
        <f t="shared" si="15"/>
        <v>0</v>
      </c>
    </row>
    <row r="55" spans="1:10" x14ac:dyDescent="0.25">
      <c r="A55" s="1"/>
      <c r="B55" s="9"/>
      <c r="C55" s="1"/>
      <c r="D55" s="1"/>
      <c r="E55" s="52"/>
      <c r="F55" s="1"/>
      <c r="G55" s="1"/>
      <c r="H55" s="1"/>
      <c r="I55" s="1"/>
      <c r="J55" s="1"/>
    </row>
    <row r="56" spans="1:10" x14ac:dyDescent="0.25">
      <c r="A56" s="2">
        <v>4</v>
      </c>
      <c r="B56" s="8" t="s">
        <v>171</v>
      </c>
      <c r="C56" s="2" t="s">
        <v>0</v>
      </c>
      <c r="D56" s="1"/>
      <c r="E56" s="54">
        <v>20.7</v>
      </c>
      <c r="F56" s="1"/>
      <c r="G56" s="1"/>
      <c r="H56" s="11">
        <v>0</v>
      </c>
      <c r="I56" s="11">
        <f>E56*H56</f>
        <v>0</v>
      </c>
      <c r="J56" s="11">
        <f>G56+I56</f>
        <v>0</v>
      </c>
    </row>
    <row r="57" spans="1:10" x14ac:dyDescent="0.25">
      <c r="A57" s="3"/>
      <c r="B57" s="7" t="s">
        <v>152</v>
      </c>
      <c r="C57" s="3" t="s">
        <v>0</v>
      </c>
      <c r="D57" s="1"/>
      <c r="E57" s="55">
        <v>21.114000000000001</v>
      </c>
      <c r="F57" s="55">
        <v>0</v>
      </c>
      <c r="G57" s="40">
        <f t="shared" ref="G57:G58" si="16">E57*F57</f>
        <v>0</v>
      </c>
      <c r="H57" s="55"/>
      <c r="I57" s="55"/>
      <c r="J57" s="40">
        <f t="shared" ref="J57:J58" si="17">G57+I57</f>
        <v>0</v>
      </c>
    </row>
    <row r="58" spans="1:10" x14ac:dyDescent="0.25">
      <c r="A58" s="3"/>
      <c r="B58" s="7" t="s">
        <v>168</v>
      </c>
      <c r="C58" s="3" t="s">
        <v>1</v>
      </c>
      <c r="D58" s="1"/>
      <c r="E58" s="55">
        <v>1022.2064999999999</v>
      </c>
      <c r="F58" s="55">
        <v>0</v>
      </c>
      <c r="G58" s="40">
        <f t="shared" si="16"/>
        <v>0</v>
      </c>
      <c r="H58" s="55"/>
      <c r="I58" s="55"/>
      <c r="J58" s="40">
        <f t="shared" si="17"/>
        <v>0</v>
      </c>
    </row>
    <row r="59" spans="1:10" x14ac:dyDescent="0.25">
      <c r="A59" s="146"/>
      <c r="B59" s="147"/>
      <c r="C59" s="146"/>
      <c r="D59" s="148"/>
      <c r="E59" s="146"/>
      <c r="F59" s="149"/>
      <c r="G59" s="146"/>
      <c r="H59" s="146"/>
      <c r="I59" s="146"/>
      <c r="J59" s="146"/>
    </row>
    <row r="60" spans="1:10" x14ac:dyDescent="0.25">
      <c r="A60" s="18"/>
      <c r="B60" s="47"/>
      <c r="C60" s="18"/>
      <c r="D60" s="18"/>
      <c r="E60" s="18"/>
      <c r="F60" s="18"/>
      <c r="G60" s="18"/>
      <c r="H60" s="18"/>
      <c r="I60" s="18"/>
      <c r="J60" s="18"/>
    </row>
    <row r="61" spans="1:10" x14ac:dyDescent="0.25">
      <c r="A61" s="19"/>
      <c r="B61" s="20" t="s">
        <v>13</v>
      </c>
      <c r="C61" s="21"/>
      <c r="D61" s="21"/>
      <c r="E61" s="21"/>
      <c r="F61" s="22"/>
      <c r="G61" s="22"/>
      <c r="H61" s="22"/>
      <c r="I61" s="22"/>
      <c r="J61" s="22">
        <f>SUM(J8:J58)</f>
        <v>0</v>
      </c>
    </row>
    <row r="62" spans="1:10" x14ac:dyDescent="0.25">
      <c r="A62" s="19"/>
      <c r="B62" s="20" t="s">
        <v>14</v>
      </c>
      <c r="C62" s="21"/>
      <c r="D62" s="21"/>
      <c r="E62" s="21"/>
      <c r="F62" s="22"/>
      <c r="G62" s="22">
        <f>SUM(G8:G58)</f>
        <v>0</v>
      </c>
      <c r="H62" s="22"/>
      <c r="I62" s="22">
        <f>SUM(I8:I58)</f>
        <v>0</v>
      </c>
      <c r="J62" s="22">
        <f>J57+J61</f>
        <v>0</v>
      </c>
    </row>
    <row r="63" spans="1:10" x14ac:dyDescent="0.25">
      <c r="A63" s="19"/>
      <c r="B63" s="23" t="s">
        <v>15</v>
      </c>
      <c r="C63" s="24"/>
      <c r="D63" s="24"/>
      <c r="E63" s="24"/>
      <c r="F63" s="25"/>
      <c r="G63" s="25">
        <f t="shared" ref="G63:J63" si="18">G62*0.2</f>
        <v>0</v>
      </c>
      <c r="H63" s="25"/>
      <c r="I63" s="25">
        <f t="shared" ref="I63" si="19">I62*0.2</f>
        <v>0</v>
      </c>
      <c r="J63" s="25">
        <f t="shared" si="18"/>
        <v>0</v>
      </c>
    </row>
    <row r="64" spans="1:10" ht="15.75" thickBot="1" x14ac:dyDescent="0.3">
      <c r="A64" s="19"/>
      <c r="B64" s="20" t="s">
        <v>16</v>
      </c>
      <c r="C64" s="24"/>
      <c r="D64" s="24"/>
      <c r="E64" s="24"/>
      <c r="F64" s="25"/>
      <c r="G64" s="25">
        <f t="shared" ref="G64:I64" si="20">SUM(G62:G63)</f>
        <v>0</v>
      </c>
      <c r="H64" s="25"/>
      <c r="I64" s="25">
        <f t="shared" si="20"/>
        <v>0</v>
      </c>
      <c r="J64" s="22">
        <f>SUM(J62:J63)</f>
        <v>0</v>
      </c>
    </row>
    <row r="65" spans="1:10" x14ac:dyDescent="0.25">
      <c r="A65" s="26"/>
      <c r="B65" s="48" t="s">
        <v>17</v>
      </c>
      <c r="C65" s="27"/>
      <c r="D65" s="27"/>
      <c r="E65" s="28"/>
      <c r="F65" s="29"/>
      <c r="G65" s="30">
        <v>0</v>
      </c>
      <c r="H65" s="29"/>
      <c r="I65" s="31"/>
      <c r="J65" s="32">
        <f>G65</f>
        <v>0</v>
      </c>
    </row>
    <row r="66" spans="1:10" ht="24.75" thickBot="1" x14ac:dyDescent="0.3">
      <c r="A66" s="33"/>
      <c r="B66" s="49" t="s">
        <v>18</v>
      </c>
      <c r="C66" s="34"/>
      <c r="D66" s="34"/>
      <c r="E66" s="35"/>
      <c r="F66" s="36"/>
      <c r="G66" s="37">
        <f>G64-G65</f>
        <v>0</v>
      </c>
      <c r="H66" s="36"/>
      <c r="I66" s="36"/>
      <c r="J66" s="59">
        <f>J64-J65</f>
        <v>0</v>
      </c>
    </row>
    <row r="67" spans="1:10" x14ac:dyDescent="0.25">
      <c r="A67" s="18"/>
      <c r="B67" s="47"/>
      <c r="C67" s="18"/>
      <c r="D67" s="18"/>
      <c r="E67" s="18"/>
      <c r="F67" s="18"/>
      <c r="G67" s="18"/>
      <c r="H67" s="18"/>
      <c r="I67" s="18"/>
      <c r="J67" s="18"/>
    </row>
    <row r="68" spans="1:10" x14ac:dyDescent="0.25">
      <c r="A68" s="18"/>
      <c r="B68" s="47"/>
      <c r="C68" s="18"/>
      <c r="D68" s="18"/>
      <c r="E68" s="18"/>
      <c r="F68" s="18"/>
      <c r="G68" s="18"/>
      <c r="H68" s="18"/>
      <c r="I68" s="18"/>
      <c r="J68" s="18"/>
    </row>
    <row r="69" spans="1:10" x14ac:dyDescent="0.25">
      <c r="A69" s="18"/>
      <c r="B69" s="47"/>
      <c r="C69" s="18"/>
      <c r="D69" s="18"/>
      <c r="E69" s="18"/>
      <c r="F69" s="18"/>
      <c r="G69" s="18"/>
      <c r="H69" s="18"/>
      <c r="I69" s="18"/>
      <c r="J69" s="18"/>
    </row>
    <row r="70" spans="1:10" x14ac:dyDescent="0.25">
      <c r="B70" s="50"/>
      <c r="I70" s="38"/>
      <c r="J70" s="38"/>
    </row>
    <row r="71" spans="1:10" x14ac:dyDescent="0.25">
      <c r="A71" s="111"/>
      <c r="B71" s="112"/>
      <c r="C71" s="111"/>
      <c r="D71" s="111"/>
      <c r="E71" s="111"/>
      <c r="F71" s="111"/>
      <c r="G71" s="111"/>
      <c r="H71" s="111"/>
      <c r="I71" s="86"/>
      <c r="J71" s="86"/>
    </row>
  </sheetData>
  <mergeCells count="11">
    <mergeCell ref="A1:J1"/>
    <mergeCell ref="A2:J2"/>
    <mergeCell ref="A3:J3"/>
    <mergeCell ref="A5:A6"/>
    <mergeCell ref="B5:B6"/>
    <mergeCell ref="C5:C6"/>
    <mergeCell ref="D5:D6"/>
    <mergeCell ref="E5:E6"/>
    <mergeCell ref="F5:G5"/>
    <mergeCell ref="H5:I5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Сек2</vt:lpstr>
      <vt:lpstr>Сек 3</vt:lpstr>
      <vt:lpstr>Сек 4</vt:lpstr>
      <vt:lpstr>Паркінг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Vadim</cp:lastModifiedBy>
  <dcterms:created xsi:type="dcterms:W3CDTF">2015-06-05T18:19:34Z</dcterms:created>
  <dcterms:modified xsi:type="dcterms:W3CDTF">2022-08-26T18:09:34Z</dcterms:modified>
</cp:coreProperties>
</file>